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FDC720C-5234-9443-A25D-C40B6A4BA27D}"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T85"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T136" i="1"/>
  <c r="BF137" i="1"/>
  <c r="BT137" i="1"/>
  <c r="BF138" i="1"/>
  <c r="BT138" i="1"/>
  <c r="BF139" i="1"/>
  <c r="BT139" i="1"/>
  <c r="BF140" i="1"/>
  <c r="BT140" i="1"/>
  <c r="BF141" i="1"/>
  <c r="BT141" i="1"/>
  <c r="BF142" i="1"/>
  <c r="BT142" i="1"/>
  <c r="BT143" i="1"/>
  <c r="BF144" i="1"/>
  <c r="BT144" i="1"/>
  <c r="BF145" i="1"/>
  <c r="BT145" i="1"/>
  <c r="BF146" i="1"/>
  <c r="BT146" i="1"/>
  <c r="BF147" i="1"/>
  <c r="BT147" i="1"/>
  <c r="BF148" i="1"/>
  <c r="BT148" i="1"/>
  <c r="BF149" i="1"/>
  <c r="BT149" i="1"/>
  <c r="BT150" i="1"/>
  <c r="BT151"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T169" i="1"/>
  <c r="BT170" i="1"/>
  <c r="BT171" i="1"/>
  <c r="BT172" i="1"/>
  <c r="BT173" i="1"/>
  <c r="BT174" i="1"/>
  <c r="BT175" i="1"/>
  <c r="BT176" i="1"/>
  <c r="BT177" i="1"/>
  <c r="BT178" i="1"/>
  <c r="BT179" i="1"/>
  <c r="BT180" i="1"/>
  <c r="BT181" i="1"/>
  <c r="BT182" i="1"/>
  <c r="BT183" i="1"/>
  <c r="BT184" i="1"/>
  <c r="BT185" i="1"/>
  <c r="BT186" i="1"/>
  <c r="BT187" i="1"/>
  <c r="BF188" i="1"/>
  <c r="BT188" i="1"/>
  <c r="BF189" i="1"/>
  <c r="BT189" i="1"/>
  <c r="BF190" i="1"/>
  <c r="BT190" i="1"/>
  <c r="BF191" i="1"/>
  <c r="BT191" i="1"/>
  <c r="BF192" i="1"/>
  <c r="BT192" i="1"/>
  <c r="BT193" i="1"/>
  <c r="BT194" i="1"/>
  <c r="BT195" i="1"/>
  <c r="BT196" i="1"/>
  <c r="BF197" i="1"/>
  <c r="BT197" i="1"/>
  <c r="BT198" i="1"/>
  <c r="BT199" i="1"/>
  <c r="BT200" i="1"/>
  <c r="BT201" i="1"/>
  <c r="BT202" i="1"/>
  <c r="BT203" i="1"/>
  <c r="BT204" i="1"/>
  <c r="BT205" i="1"/>
  <c r="BT206" i="1"/>
  <c r="BT207" i="1"/>
  <c r="BT208" i="1"/>
  <c r="BT209" i="1"/>
  <c r="BT210" i="1"/>
  <c r="BT211" i="1"/>
  <c r="BT212" i="1"/>
  <c r="BT213" i="1"/>
  <c r="BT214" i="1"/>
  <c r="BT215" i="1"/>
  <c r="BF216" i="1"/>
  <c r="BT216" i="1"/>
  <c r="BT217" i="1"/>
  <c r="BF218" i="1"/>
  <c r="BT218" i="1"/>
  <c r="BT219" i="1"/>
  <c r="BT220" i="1"/>
  <c r="BT221" i="1"/>
  <c r="BF222" i="1"/>
  <c r="BT222" i="1"/>
  <c r="BT223" i="1"/>
  <c r="BF224" i="1"/>
  <c r="BT224" i="1"/>
  <c r="BT225" i="1"/>
  <c r="BT226" i="1"/>
  <c r="BT227" i="1"/>
  <c r="BT228" i="1"/>
  <c r="BT229" i="1"/>
  <c r="BT230" i="1"/>
  <c r="BT231" i="1"/>
  <c r="BT232" i="1"/>
  <c r="BT233" i="1"/>
  <c r="BT234" i="1"/>
  <c r="BT235" i="1"/>
  <c r="BT236" i="1"/>
  <c r="BF237" i="1"/>
  <c r="BT237" i="1"/>
  <c r="BF238" i="1"/>
  <c r="BT238" i="1"/>
  <c r="BT239" i="1"/>
  <c r="BF240" i="1"/>
  <c r="BT240" i="1"/>
  <c r="BF241" i="1"/>
  <c r="BT241" i="1"/>
  <c r="BF242" i="1"/>
  <c r="BT242" i="1"/>
  <c r="BF243" i="1"/>
  <c r="BT243" i="1"/>
  <c r="BF244" i="1"/>
  <c r="BT244" i="1"/>
  <c r="BT245" i="1"/>
  <c r="BT246" i="1"/>
  <c r="BF247" i="1"/>
  <c r="BT247" i="1"/>
  <c r="BF248" i="1"/>
  <c r="BT248" i="1"/>
  <c r="BF249" i="1"/>
  <c r="BT249" i="1"/>
  <c r="BF250" i="1"/>
  <c r="BT250" i="1"/>
  <c r="BF251" i="1"/>
  <c r="BT251" i="1"/>
  <c r="BF252" i="1"/>
  <c r="BT252" i="1"/>
  <c r="BF253" i="1"/>
  <c r="BT253" i="1"/>
  <c r="BT254" i="1"/>
  <c r="BF255" i="1"/>
  <c r="BT255" i="1"/>
  <c r="BF256" i="1"/>
  <c r="BT256" i="1"/>
  <c r="BF257" i="1"/>
  <c r="BT257" i="1"/>
  <c r="BF258" i="1"/>
  <c r="BT258" i="1"/>
  <c r="BF259" i="1"/>
  <c r="BT259" i="1"/>
  <c r="BF260" i="1"/>
  <c r="BT260" i="1"/>
  <c r="BF261" i="1"/>
  <c r="BT261" i="1"/>
  <c r="BF262" i="1"/>
  <c r="BT262"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T294" i="1"/>
  <c r="BF295" i="1"/>
  <c r="BT295" i="1"/>
  <c r="BF296" i="1"/>
  <c r="BT296" i="1"/>
  <c r="BF297" i="1"/>
  <c r="BT297" i="1"/>
  <c r="BT298" i="1"/>
  <c r="BF299" i="1"/>
  <c r="BT299" i="1"/>
  <c r="BF300" i="1"/>
  <c r="BT300" i="1"/>
  <c r="BF301" i="1"/>
  <c r="BT301" i="1"/>
  <c r="BT302" i="1"/>
  <c r="BF303" i="1"/>
  <c r="BT303" i="1"/>
  <c r="BF304" i="1"/>
  <c r="BT304" i="1"/>
  <c r="BF305" i="1"/>
  <c r="BT305" i="1"/>
  <c r="BF306" i="1"/>
  <c r="BT306"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T329" i="1"/>
  <c r="BT330" i="1"/>
  <c r="BF331" i="1"/>
  <c r="BT331" i="1"/>
  <c r="BF332" i="1"/>
  <c r="BT332" i="1"/>
  <c r="BF333" i="1"/>
  <c r="BT333" i="1"/>
  <c r="BF334" i="1"/>
  <c r="BT334" i="1"/>
  <c r="BF335" i="1"/>
  <c r="BT335" i="1"/>
  <c r="BT336"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T351" i="1"/>
  <c r="BF352" i="1"/>
  <c r="BT352" i="1"/>
  <c r="BF353" i="1"/>
  <c r="BT353" i="1"/>
  <c r="BF354" i="1"/>
  <c r="BT354" i="1"/>
  <c r="BF355" i="1"/>
  <c r="BT355" i="1"/>
  <c r="BF356" i="1"/>
  <c r="BT356" i="1"/>
  <c r="BF357" i="1"/>
  <c r="BT357" i="1"/>
  <c r="BF358" i="1"/>
  <c r="BT358" i="1"/>
  <c r="BF359" i="1"/>
  <c r="BT359" i="1"/>
  <c r="BT360" i="1"/>
  <c r="BF361" i="1"/>
  <c r="BT361"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T375" i="1"/>
  <c r="BT376" i="1"/>
  <c r="BF377" i="1"/>
  <c r="BT377" i="1"/>
  <c r="BF378" i="1"/>
  <c r="BT378" i="1"/>
  <c r="BF379" i="1"/>
  <c r="BT379" i="1"/>
  <c r="BF380" i="1"/>
  <c r="BT380" i="1"/>
  <c r="BF381" i="1"/>
  <c r="BT381" i="1"/>
  <c r="BF382" i="1"/>
  <c r="BT382" i="1"/>
  <c r="BF383" i="1"/>
  <c r="BT383" i="1"/>
  <c r="BF384" i="1"/>
  <c r="BT384" i="1"/>
  <c r="BT385" i="1"/>
  <c r="BF386" i="1"/>
  <c r="BT386" i="1"/>
  <c r="BF387" i="1"/>
  <c r="BT387" i="1"/>
  <c r="BT388" i="1"/>
  <c r="BF389" i="1"/>
  <c r="BT389" i="1"/>
  <c r="BF390" i="1"/>
  <c r="BT390" i="1"/>
  <c r="BF391" i="1"/>
  <c r="BT391" i="1"/>
  <c r="BF392" i="1"/>
  <c r="BT392" i="1"/>
  <c r="BF393" i="1"/>
  <c r="BT393" i="1"/>
  <c r="BF394" i="1"/>
  <c r="BT394"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T503" i="1"/>
  <c r="BF504" i="1"/>
  <c r="BT504" i="1"/>
  <c r="BF505" i="1"/>
  <c r="BT505" i="1"/>
  <c r="BF506" i="1"/>
  <c r="BT506" i="1"/>
  <c r="BF507" i="1"/>
  <c r="BT507" i="1"/>
  <c r="BF508" i="1"/>
  <c r="BT508" i="1"/>
  <c r="BT509" i="1"/>
  <c r="BT510" i="1"/>
  <c r="BF511" i="1"/>
  <c r="BT511" i="1"/>
  <c r="BF512" i="1"/>
  <c r="BT512" i="1"/>
  <c r="BF513" i="1"/>
  <c r="BT513" i="1"/>
  <c r="BF514" i="1"/>
  <c r="BT514" i="1"/>
  <c r="BF515" i="1"/>
  <c r="BT515" i="1"/>
  <c r="BF516" i="1"/>
  <c r="BT516" i="1"/>
  <c r="BF517" i="1"/>
  <c r="BT517" i="1"/>
  <c r="BT518" i="1"/>
  <c r="BF519" i="1"/>
  <c r="BT519" i="1"/>
  <c r="BF520" i="1"/>
  <c r="BT520" i="1"/>
  <c r="BT521" i="1"/>
  <c r="BF522" i="1"/>
  <c r="BT522" i="1"/>
  <c r="BF523" i="1"/>
  <c r="BT523" i="1"/>
  <c r="BF524" i="1"/>
  <c r="BT524" i="1"/>
  <c r="BF525" i="1"/>
  <c r="BT525"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T553" i="1"/>
  <c r="BF554" i="1"/>
  <c r="BT554"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T600" i="1"/>
  <c r="BF601" i="1"/>
  <c r="BT601" i="1"/>
  <c r="BF602" i="1"/>
  <c r="BT602" i="1"/>
  <c r="BF603" i="1"/>
  <c r="BT603" i="1"/>
  <c r="BF604" i="1"/>
  <c r="BT604" i="1"/>
  <c r="BF605" i="1"/>
  <c r="BT605" i="1"/>
  <c r="BF606" i="1"/>
  <c r="BT606" i="1"/>
  <c r="BF607" i="1"/>
  <c r="BT607" i="1"/>
  <c r="BF608" i="1"/>
  <c r="BT608" i="1"/>
  <c r="BF609" i="1"/>
  <c r="BT609" i="1"/>
  <c r="BF610" i="1"/>
  <c r="BT610" i="1"/>
  <c r="BT611" i="1"/>
  <c r="BT612" i="1"/>
  <c r="BT613" i="1"/>
  <c r="BT614" i="1"/>
  <c r="BT615" i="1"/>
  <c r="BT616" i="1"/>
  <c r="BF617" i="1"/>
  <c r="BT617" i="1"/>
  <c r="BF618" i="1"/>
  <c r="BT618" i="1"/>
  <c r="BF619" i="1"/>
  <c r="BT619" i="1"/>
  <c r="BF620" i="1"/>
  <c r="BT620" i="1"/>
  <c r="BF621" i="1"/>
  <c r="BT621" i="1"/>
  <c r="BF622" i="1"/>
  <c r="BT622" i="1"/>
  <c r="BF623" i="1"/>
  <c r="BT623" i="1"/>
  <c r="BF624" i="1"/>
  <c r="BT624" i="1"/>
  <c r="BF625" i="1"/>
  <c r="BT625" i="1"/>
  <c r="BF626" i="1"/>
  <c r="BT626" i="1"/>
  <c r="BT627" i="1"/>
  <c r="BT628" i="1"/>
  <c r="BF629" i="1"/>
  <c r="BT629" i="1"/>
  <c r="BF630" i="1"/>
  <c r="BT630" i="1"/>
  <c r="BT631" i="1"/>
  <c r="BF632" i="1"/>
  <c r="BT632" i="1"/>
  <c r="BF633" i="1"/>
  <c r="BT633" i="1"/>
  <c r="BF634" i="1"/>
  <c r="BT634" i="1"/>
  <c r="BF635" i="1"/>
  <c r="BT635" i="1"/>
  <c r="BF636" i="1"/>
  <c r="BT636" i="1"/>
  <c r="BF637" i="1"/>
  <c r="BT637"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T663" i="1"/>
  <c r="BF664" i="1"/>
  <c r="BT664"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T697" i="1"/>
  <c r="BF698" i="1"/>
  <c r="BT698" i="1"/>
  <c r="BF699" i="1"/>
  <c r="BT699" i="1"/>
  <c r="BF700" i="1"/>
  <c r="BT700" i="1"/>
  <c r="BF701" i="1"/>
  <c r="BT701" i="1"/>
  <c r="BF702" i="1"/>
  <c r="BT702" i="1"/>
  <c r="BF703" i="1"/>
  <c r="BT703" i="1"/>
  <c r="BF704" i="1"/>
  <c r="BT704" i="1"/>
  <c r="BF705" i="1"/>
  <c r="BT705" i="1"/>
  <c r="BF706" i="1"/>
  <c r="BT706"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<sst xmlns="http://schemas.openxmlformats.org/spreadsheetml/2006/main" count="59749" uniqueCount="18773">
  <si>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</si>
  <si>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</si>
  <si>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</si>
  <si>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</si>
  <si>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</si>
  <si>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</si>
  <si>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</si>
  <si>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</si>
  <si>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</si>
  <si>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</si>
  <si>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</si>
  <si>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</si>
  <si>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</si>
  <si>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</si>
  <si>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</si>
  <si>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</si>
  <si>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</si>
  <si>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</si>
  <si>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</si>
  <si>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</si>
  <si>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</si>
  <si>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</si>
  <si>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</si>
  <si>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</si>
  <si>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</si>
  <si>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</si>
  <si>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</si>
  <si>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</si>
  <si>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</si>
  <si>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</si>
  <si>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</si>
  <si>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</si>
  <si>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</si>
  <si>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</si>
  <si>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</si>
  <si>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</si>
  <si>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</si>
  <si>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</si>
  <si>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</si>
  <si>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</si>
  <si>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</si>
  <si>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</si>
  <si>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</si>
  <si>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</si>
  <si>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</si>
  <si>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</si>
  <si>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</si>
  <si>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</si>
  <si>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</si>
  <si>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</si>
  <si>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</si>
  <si>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</si>
  <si>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</si>
  <si>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</si>
  <si>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</si>
  <si>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</si>
  <si>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</si>
  <si>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</si>
  <si>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</si>
  <si>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</si>
  <si>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</si>
  <si>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</si>
  <si>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</si>
  <si>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</si>
  <si>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</si>
  <si>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</si>
  <si>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</si>
  <si>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</si>
  <si>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</si>
  <si>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</si>
  <si>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</si>
  <si>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</si>
  <si>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</si>
  <si>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Vendrami, DLJ; Telesca, L; Weigand, H; Weiss, M; Fawcett, K; Lehman, K; Clark, MS; Leese, F; McMinn, C; Moore, H; Hoffman, JI</t>
  </si>
  <si>
    <t/>
  </si>
  <si>
    <t>Vendrami, David L. J.; Telesca, Luca; Weigand, Hannah; Weiss, Martina; Fawcett, Katie; Lehman, Katrin; Clark, M. S.; Leese, Florian; McMinn, Carrie; Moore, Heather; Hoffman, Joseph I.</t>
  </si>
  <si>
    <t>RAD sequencing resolves fine-scale population structure in a benthic invertebrate: implications for understanding phenotypic plasticity</t>
  </si>
  <si>
    <t>ROYAL SOCIETY OPEN SCIENCE</t>
  </si>
  <si>
    <t>English</t>
  </si>
  <si>
    <t>Article</t>
  </si>
  <si>
    <t>Pecten maximus; phenotypic plasticity; microsatellite; single nucleotide; polymorphism; morphometrics; great scallop</t>
  </si>
  <si>
    <t>SINGLE NUCLEOTIDE POLYMORPHISM; MITOCHONDRIAL-DNA VARIATION; PECTEN-MAXIMUS; LINKAGE DISEQUILIBRIUM; CONSERVATION GENETICS; PHYLOGEOGRAPHY; DISCOVERY; DIFFERENTIATION; CONNECTIVITY; INFERENCE</t>
  </si>
  <si>
    <t>The field of molecular ecology is transitioning from the use of small panels of classical genetic markers such as microsatellites to much larger panels of single nucleotide polymorphisms (SNPs) generated by approaches like RAD sequencing. However, few empirical studies have directly compared the ability of these methods to resolve population structure. This could have implications for understanding phenotypic plasticity, as many previous studies of natural populations may have lacked the power to detect genetic differences, especially over micro-geographic scales. We therefore compared the ability of microsatellites and RAD sequencing to resolve fine-scale population structure in a commercially important benthic invertebrate by genotyping great scallops (Pecten maximus) from nine populations around Northern Ireland at 13 microsatellites and 10 539 SNPs. The shells were then subjected to morphometric and colour analysis in order to compare patterns of phenotypic and genetic variation. We found that RAD sequencing was superior at resolving population structure, yielding higher F-st values and support for two distinct genetic clusters, whereas only one cluster could be detected in a Bayesian analysis of the microsatellite dataset. Furthermore, appreciable phenotypic variation was observed in size-independent shell shape and coloration, including among localities that could not be distinguished from one another genetically, providing support for the notion that these traits are phenotypically plastic. Taken together, our results suggest that RAD sequencing is a powerful approach for studying population structure and phenotypic plasticity in natural populations.</t>
  </si>
  <si>
    <t>[Vendrami, David L. J.; Fawcett, Katie; Lehman, Katrin; Hoffman, Joseph I.] Univ Bielefeld, Dept Anim Behav, Postfach 100131, D-33501 Bielefeld, Germany; [Telesca, Luca] Univ Cambridge, Dept Earth Sci, Downing St, Cambridge CB2 3EQ, Cambs, England; [Weigand, Hannah; Weiss, Martina; Leese, Florian] Univ Duisburg Essen, Fac Biol, Aquat Ecosyst Res, Univ Str 5, D-45141 Essen, Germany; [Clark, M. S.] British Antarctic Survey, NERC, Madingley Rd, Cambridge CB3 0ET, England; [McMinn, Carrie; Moore, Heather] Agri Food &amp; Biosci Inst, Fisheries &amp; Aquat Ecosyst, 18a Newforge Lane, Belfast BT9 5PX, Antrim, North Ireland</t>
  </si>
  <si>
    <t>University of Bielefeld; University of Cambridge; University of Duisburg Essen; UK Research &amp; Innovation (UKRI); Natural Environment Research Council (NERC); NERC British Antarctic Survey; Agri-Food &amp; Biosciences Institute</t>
  </si>
  <si>
    <t>Vendrami, DLJ (corresponding author), Univ Bielefeld, Dept Anim Behav, Postfach 100131, D-33501 Bielefeld, Germany.</t>
  </si>
  <si>
    <t>david.vendrami@student.unife.it</t>
  </si>
  <si>
    <t>Leese, Florian/D-4277-2012; Vendrami, David/AAH-1912-2021; Hoffman, Joseph/K-7725-2012; Clark, Melody/D-7371-2014</t>
  </si>
  <si>
    <t>Leese, Florian/0000-0002-5465-913X; Vendrami, David/0000-0001-9409-4084; Hoffman, Joseph/0000-0001-5895-8949; Weiss, Martina/0000-0002-7088-4644; Telesca, Luca/0000-0002-9060-2261; Clark, Melody/0000-0002-3442-3824</t>
  </si>
  <si>
    <t>European Union Marie Curie Seventh Framework Programme [605051]; NERC [bas0100036] Funding Source: UKRI; Natural Environment Research Council [bas0100036] Funding Source: researchfish</t>
  </si>
  <si>
    <t>European Union Marie Curie Seventh Framework Programme(European Union (EU)); NERC(UK Research &amp; Innovation (UKRI)Natural Environment Research Council (NERC)); Natural Environment Research Council(UK Research &amp; Innovation (UKRI)Natural Environment Research Council (NERC))</t>
  </si>
  <si>
    <t>The research leading to these results has received funding from the European Union Marie Curie Seventh Framework Programme under grant agreement no. 605051.</t>
  </si>
  <si>
    <t>ROYAL SOC</t>
  </si>
  <si>
    <t>LONDON</t>
  </si>
  <si>
    <t>6-9 CARLTON HOUSE TERRACE, LONDON SW1Y 5AG, ENGLAND</t>
  </si>
  <si>
    <t>2054-5703</t>
  </si>
  <si>
    <t>ROY SOC OPEN SCI</t>
  </si>
  <si>
    <t>R. Soc. Open Sci.</t>
  </si>
  <si>
    <t>FEB</t>
  </si>
  <si>
    <t>10.1098/rsos.160548</t>
  </si>
  <si>
    <t>Multidisciplinary Sciences</t>
  </si>
  <si>
    <t>Science Citation Index Expanded (SCI-EXPANDED)</t>
  </si>
  <si>
    <t>Science &amp; Technology - Other Topics</t>
  </si>
  <si>
    <t>EL2SI</t>
  </si>
  <si>
    <t>Green Published, gold, Green Accepted</t>
  </si>
  <si>
    <t>2024-04-21</t>
  </si>
  <si>
    <t>WOS:000394469300011</t>
  </si>
  <si>
    <t>Zupo, V; Alexander, TJ; Edgar, GJ</t>
  </si>
  <si>
    <t>Zupo, Valerio; Alexander, Timothy J.; Edgar, Graham J.</t>
  </si>
  <si>
    <t>Relating trophic resources to community structure: a predictive index of food availability</t>
  </si>
  <si>
    <t>food webs; trophic groups; feeding guilds; abundance; resources</t>
  </si>
  <si>
    <t>SEAGRASS POSIDONIA-OCEANICA; FISH ASSEMBLAGES; NORTH-SEA; PRODUCTIVITY; ECOSYSTEMS; DIVERSITY; CASCADES; VARIABILITY; PREDATORS; ECOLOGY</t>
  </si>
  <si>
    <t>The abundance and the distribution of trophic resources available for consumers influence the productivity and the diversity of natural communities. Nevertheless, assessment of the actual abundance of food items available for individual trophic groups has been constrained by differences in methods and metrics used by various authors. Here we develop an index of food abundance, the framework of which can be adapted for different ecosystems. The relative available food index (RAFI) is computed by considering standard resource conditions of a habitat and the influence of various generalized anthropogenic and natural factors. RAFI was developed using published literature on food abundance and validated by comparison of predictions versus observed trophic resources across various marine sites. RAFI tables here proposed can be applied to a range of marine ecosystems for predictions of the potential abundance of food available for each trophic group, hence permitting exploration of ecological theories by focusing on the deviation from the observed to the expected.</t>
  </si>
  <si>
    <t>[Zupo, Valerio] Benthic Ecol Ctr, Integrat Marine Ecol Dept, Stn Zool Anton Dohrn, I-80077 Punta San Pietro, Ischia, Italy; [Alexander, Timothy J.] EAWAG Swiss Fed Inst Aquat Sci &amp; Technol, Ctr Ecol Evolut &amp; Biogeochem, Dept Fish Ecol &amp; Evolut, Seestr 79, CH-6047 Kastanienbaum, Switzerland; [Alexander, Timothy J.] Univ Bern, Inst Ecol &amp; Evolut, Div Aquat Ecol &amp; Evolut, Baltzerstr 6, CH-3012 Bern, Switzerland; [Edgar, Graham J.] Univ Tasmania, Inst Marine &amp; Antarctic Studies, GPO Box 252-49, Hobart, Tas 7001, Australia</t>
  </si>
  <si>
    <t>Stazione Zoologica Anton Dohrn di Napoli; Swiss Federal Institutes of Technology Domain; Swiss Federal Institute of Aquatic Science &amp; Technology (EAWAG); University of Bern; University of Tasmania</t>
  </si>
  <si>
    <t>Zupo, V (corresponding author), Benthic Ecol Ctr, Integrat Marine Ecol Dept, Stn Zool Anton Dohrn, I-80077 Punta San Pietro, Ischia, Italy.</t>
  </si>
  <si>
    <t>vzupo@szn.it</t>
  </si>
  <si>
    <t>Edgar, Graham/AAY-3797-2020; Zupo, Valerio/A-5887-2011</t>
  </si>
  <si>
    <t>Edgar, Graham/0000-0003-0833-9001; Zupo, Valerio/0000-0001-9766-8784</t>
  </si>
  <si>
    <t>Flagship RITMARE-The Italian Research for the Sea-; Italian Ministry of Education, University and Research</t>
  </si>
  <si>
    <t>Flagship RITMARE-The Italian Research for the Sea-; Italian Ministry of Education, University and Research(Ministry of Education, Universities and Research (MIUR))</t>
  </si>
  <si>
    <t>Financial support was provided to V.Z. by the Flagship RITMARE-The Italian Research for the Sea-coordinated by the Italian National Research Council and supported by the Italian Ministry of Education, University and Research.</t>
  </si>
  <si>
    <t>10.1098/rsos.160515</t>
  </si>
  <si>
    <t>gold, Green Submitted, Green Accepted, Green Published</t>
  </si>
  <si>
    <t>WOS:000394469300009</t>
  </si>
  <si>
    <t>Kawamura, K; Abe-Ouchi, A; Motoyama, H; Ageta, Y; Aoki, S; Azuma, N; Fujii, Y; Fujita, K; Fujita, S; Fukui, K; Furukawa, T; Furusaki, A; Goto-Azuma, K; Greve, R; Hirabayashi, M; Hondoh, T; Hori, A; Horikawa, S; Horiuchi, K; Igarashi, M; Iizuka, Y; Kameda, T; Kanda, H; Kohno, M; Kuramoto, T; Matsushi, Y; Miyahara, M; Miyake, T; Miyamoto, A; Nagashima, Y; Nakayama, Y; Nakazawa, T; Nakazawa, F; Nishio, F; Obinata, I; Ohgaito, R; Oka, A; Okuno, J; Okuyama, J; Oyabu, I; Parrenin, F; Pattyn, F; Saito, F; Saito, T; Saito, T; Sakurai, T; Sasa, K; Seddik, H; Shibata, Y; Shinbori, K; Suzuki, K; Suzuki, T; Takahashi, A; Takahashi, K; Takahashi, S; Takata, M; Tanaka, Y; Uemura, R; Watanabe, G; Watanabe, O; Yamasaki, T; Yokoyama, K; Yoshimori, M; Yoshimoto, T</t>
  </si>
  <si>
    <t>Kawamura, Kenji; Abe-Ouchi, Ayako; Motoyama, Hideaki; Ageta, Yutaka; Aoki, Shuji; Azuma, Nobuhiko; Fujii, Yoshiyuki; Fujita, Koji; Fujita, Shuji; Fukui, Kotaro; Furukawa, Teruo; Furusaki, Atsushi; Goto-Azuma, Kumiko; Greve, Ralf; Hirabayashi, Motohiro; Hondoh, Takeo; Hori, Akira; Horikawa, Shinichiro; Horiuchi, Kazuho; Igarashi, Makoto; Iizuka, Yoshinori; Kameda, Takao; Kanda, Hiroshi; Kohno, Mika; Kuramoto, Takayuki; Matsushi, Yuki; Miyahara, Morihiro; Miyake, Takayuki; Miyamoto, Atsushi; Nagashima, Yasuo; Nakayama, Yoshiki; Nakazawa, Takakiyo; Nakazawa, Fumio; Nishio, Fumihiko; Obinata, Ichio; Ohgaito, Rumi; Oka, Akira; Okuno, Jun'ichi; Okuyama, Junichi; Oyabu, Ikumi; Parrenin, Frederic; Pattyn, Frank; Saito, Fuyuki; Saito, Takashi; Saito, Takeshi; Sakurai, Toshimitsu; Sasa, Kimikazu; Seddik, Hakime; Shibata, Yasuyuki; Shinbori, Kunio; Suzuki, Keisuke; Suzuki, Toshitaka; Takahashi, Akiyoshi; Takahashi, Kunio; Takahashi, Shuhei; Takata, Morimasa; Tanaka, Yoichi; Uemura, Ryu; Watanabe, Genta; Watanabe, Okitsugu; Yamasaki, Tetsuhide; Yokoyama, Kotaro; Yoshimori, Masakazu; Yoshimoto, Takayasu</t>
  </si>
  <si>
    <t>Dome Fuji Ice Core Project</t>
  </si>
  <si>
    <t>State dependence of climatic instability over the past 720,000 years from Antarctic ice cores and climate modeling</t>
  </si>
  <si>
    <t>SCIENCE ADVANCES</t>
  </si>
  <si>
    <t>LAST GLACIAL MAXIMUM; MERIDIONAL OVERTURNING CIRCULATION; EPICA DOME-C; SUB-MILLENNIAL SCALE; DRONNING MAUD LAND; THERMOHALINE CIRCULATION; CHRONOLOGY AICC2012; SUBGLACIAL LAKES; DEEP CONVECTION; SOUTHERN-OCEAN</t>
  </si>
  <si>
    <t>Climatic variabilities on millennial and longer time scales with a bipolar seesaw pattern have been documented in paleoclimatic records, but their frequencies, relationships with mean climatic state, and mechanisms remain unclear. Understanding the processes and sensitivities that underlie these changes will underpin better understanding of the climate system and projections of its future change. We investigate the long-term characteristics of climatic variability using a new ice-core record from Dome Fuji, East Antarctica, combined with an existing long record from the Dome C ice core. Antarctic warming events over the past 720,000 years are most frequent when the Antarctic temperature is slightly below average on orbital time scales, equivalent to an intermediate climate during glacial periods, whereas interglacial and fully glaciated climates are unfavourable for a millennial-scale bipolar seesaw. Numerical experiments using a fully coupled atmosphere-ocean general circulation model with freshwater hosing in the northern North Atlantic showed that climate becomes most unstable in intermediate glacial conditions associated with large changes in sea ice and the Atlantic Meridional Overturning Circulation. Model sensitivity experiments suggest that the prerequisite for the most frequent climate instabilitywith bipolar seesaw pattern during the late Pleistocene era is associated with reduced atmospheric CO2 concentration via global cooling and sea ice formation in the North Atlantic, in addition to extended Northern Hemisphere ice sheets.</t>
  </si>
  <si>
    <t>[Kawamura, Kenji; Motoyama, Hideaki; Fujii, Yoshiyuki; Fujita, Shuji; Fukui, Kotaro; Furukawa, Teruo; Goto-Azuma, Kumiko; Hirabayashi, Motohiro; Igarashi, Makoto; Kanda, Hiroshi; Kohno, Mika; Kuramoto, Takayuki; Miyake, Takayuki; Nakazawa, Fumio; Okuno, Jun'ichi; Oyabu, Ikumi; Sakurai, Toshimitsu; Uemura, Ryu] Natl Inst Polar Res, Res Org Informat &amp; Syst, 10-3 Midori Cho, Tachikawa, Tokyo 1908518, Japan; [Kawamura, Kenji; Motoyama, Hideaki; Fujii, Yoshiyuki; Fujita, Shuji; Furukawa, Teruo; Goto-Azuma, Kumiko; Kanda, Hiroshi; Nakazawa, Fumio; Okuno, Jun'ichi] Grad Univ Adv Studies SOKENDAI, Dept Polar Sci, 10-3 Midori Cho, Tachikawa, Tokyo 1908518, Japan; [Kawamura, Kenji] Japan Agcy Marine Earth Sci &amp; Technol, Inst Biogeosci, 2-15 Natsushima Cho, Yokosuka, Kanagawa 2370061, Japan; [Abe-Ouchi, Ayako; Oka, Akira] Univ Tokyo, Atmosphere &amp; Ocean Res Inst, 5-1-5 Kashiwanoha, Kashiwa, Chiba 2778568, Japan; [Abe-Ouchi, Ayako; Ohgaito, Rumi; Saito, Fuyuki; Takahashi, Kunio] Japan Agcy Marine Earth Sci &amp; Technol, 3173-25 Showamachi, Yokohama, Kanagawa 2360001, Japan; [Ageta, Yutaka; Fujita, Koji] Nagoya Univ, Grad Sch Environm Studies, Chikusa Ku, Nagoya, Aichi 4648601, Japan; [Aoki, Shuji; Nakazawa, Takakiyo] Tohoku Univ, Grad Sch Sci, Aoba Ku, 6-3 Aramaki Aza Aoba, Sendai, Miyagi 9808578, Japan; [Azuma, Nobuhiko; Takata, Morimasa] Nagaoka Univ Technol, Dept Mech Engn, 1603-1 Kamitomioka, Nagaoka, Niigata 9402188, Japan; [Furusaki, Atsushi] Asahikawa Natl Coll Technol, 2-1-6,2 Jou, Asahikawa, Hokkaido 0718142, Japan; [Greve, Ralf; Hondoh, Takeo; Horikawa, Shinichiro; Iizuka, Yoshinori; Miyamoto, Atsushi; Okuyama, Junichi; Saito, Takeshi; Seddik, Hakime; Shinbori, Kunio] Hokkaido Univ, Inst Low Temp Sci, Kita Ku, Kita 19,Nishi 8, Sapporo, Hokkaido 0600819, Japan; [Hori, Akira; Kameda, Takao; Takahashi, Shuhei] Kitami Inst Technol, Dept Civil &amp; Environm Engn, 165 Koen Cho, Kitami, Hokkaido 0908507, Japan; [Horiuchi, Kazuho] Hirosaki Univ, Grad Sch Sci &amp; Technol, 3 Bunkyo Cho, Hirosaki, Aomori 0368561, Japan; [Matsushi, Yuki] Univ Tokyo, Micro Anal Lab, Tandem Accelerator, Bunkyo Ku, 2-11-16 Yayoi, Tokyo 1130032, Japan; [Miyahara, Morihiro; Takahashi, Akiyoshi; Yamasaki, Tetsuhide] Geo Tecs Co Ltd, Naka Ku, 1-5-14-705 Kanayama, Nagoya, Aichi 4600022, Japan; [Nagashima, Yasuo; Sasa, Kimikazu] Univ Tsukuba, Tandem Accelerator Complex, AMS Grp, 1-1-1 Tennodai, Tsukuba, Ibaraki 3058577, Japan; [Nakayama, Yoshiki] 3D Geosci Inc, Minato Ku, Nogizaka Bldg,9-6-41 Akasaka, Tokyo 1070052, Japan; [Nishio, Fumihiko] Chiba Univ, Ctr Environm Remote Sensing, Inage Ku, 1-33 Yayoi, Chiba 2638522, Japan; [Obinata, Ichio] Obinata Clin, 3-2-1 Terazawa, Niigata 9591837, Japan; [Parrenin, Frederic] Univ Grenoble Alpes, CNRS, IRD, IGE, F-38000 Grenoble, France; [Pattyn, Frank] Univ Libre Bruxelles, Fac Sci, Lab Glaciol, CP160-03, B-1050 Brussels, Belgium; [Saito, Takashi] Kyoto Univ, Disaster Prevent Res Inst, Uji, Kyoto 6110011, Japan; [Shibata, Yasuyuki] Natl Inst Environm Studies, 16-2 Onogawa, Tsukuba, Ibaraki 3058506, Japan; [Suzuki, Keisuke] Shinshu Univ, Fac Sci, 3-1-1 Asahi, Matsumoto, Nagano 3908621, Japan; [Suzuki, Toshitaka] Yamagata Univ, Fac Sci, 1-4-12 Kojirakawa Machi, Yamagata 9908560, Japan; [Tanaka, Yoichi] Geosystems Inc, Oshidate 4-11-20, Fuchu, Tokyo 1830012, Japan; [Uemura, Ryu] Univ Ryukyus, Dept Chem Biol &amp; Marine Sci, 1 Senbaru, Nishihara, Okinawa 9030213, Japan; [Watanabe, Genta] Chiken Consultants Co Ltd, 11-27 Wakitahonmachi, Kawagoe, Saitama 3501123, Japan; [Watanabe, Okitsugu] Grad Univ Adv Studies, Hayama, Kanagawa 2400193, Japan; [Yokoyama, Kotaro] Natl Agr Res Ctr, Hokuriku Res Ctr, 1-2-1 Inada, Niigata 9430193, Japan; [Yoshimori, Masakazu] Hokkaido Univ, Fac Environm Earth Sci, Global Inst Collaborat Res &amp; Educ, Kita Ku, Kita 10,BNishi 5, Sapporo, Hokkaido 0600810, Japan; [Yoshimori, Masakazu] Hokkaido Univ, Arctic Res Ctr, Kita Ku, Kita 10,BNishi 5, Sapporo, Hokkaido 0600810, Japan; [Yoshimoto, Takayasu] IOK Kyushu Olympia Kogyo Co Ltd, Kunitomi, Miyazaki 8801106, Japan; [Fukui, Kotaro] Tateyama Caldera Sabo Museum, 68 Bunazaka Ashikuraji, Tateyama, Toyama 9301305, Japan; [Horikawa, Shinichiro] Nagoya Univ, Earthquake &amp; Volcano Res Ctr, Grad Sch Environm Studies, Chikusa Ku, Furo Cho, Nagoya, Aichi 4648601, Japan; [Kohno, Mika] Univ Gottingen, Dept Geochem, Geosci Ctr, Goldschmidtstr 1, D-37077 Gottingen, Germany; [Matsushi, Yuki] Kyoto Univ, Disaster Prevent Res Inst, Uji, Kyoto 6110011, Japan; [Okuyama, Junichi] IHI Co, Adv Appl Sci Dept, Yokohama, Kanagawa, Japan; [Sakurai, Toshimitsu] Publ Work Res Inst, Civil Engn Res Inst Cold Reg, Toyohira Ku, Sapporo, Hokkaido 0628602, Japan</t>
  </si>
  <si>
    <t>Research Organization of Information &amp; Systems (ROIS); National Institute of Polar Research (NIPR) - Japan; Graduate University for Advanced Studies - Japan; Japan Agency for Marine-Earth Science &amp; Technology (JAMSTEC); University of Tokyo; Japan Agency for Marine-Earth Science &amp; Technology (JAMSTEC); Nagoya University; Tohoku University; Nagaoka University of Technology; Hokkaido University; Kitami Institute of Technology; Hirosaki University; University of Tokyo; University of Tsukuba; Chiba University; Communaute Universite Grenoble Alpes; Universite Grenoble Alpes (UGA); Institut de Recherche pour le Developpement (IRD); Centre National de la Recherche Scientifique (CNRS); Universite Libre de Bruxelles; Kyoto University; National Institute for Environmental Studies - Japan; Shinshu University; Yamagata University; University of the Ryukyus; Graduate University for Advanced Studies - Japan; National Agriculture &amp; Food Research Organization - Japan; Hokkaido University; Hokkaido University; Nagoya University; University of Gottingen; Kyoto University; IHI Corporation; PWRI: Public Works Research Institute</t>
  </si>
  <si>
    <t>Kawamura, K; Motoyama, H (corresponding author), Natl Inst Polar Res, Res Org Informat &amp; Syst, 10-3 Midori Cho, Tachikawa, Tokyo 1908518, Japan.;Kawamura, K; Motoyama, H (corresponding author), Grad Univ Adv Studies SOKENDAI, Dept Polar Sci, 10-3 Midori Cho, Tachikawa, Tokyo 1908518, Japan.;Kawamura, K (corresponding author), Japan Agcy Marine Earth Sci &amp; Technol, Inst Biogeosci, 2-15 Natsushima Cho, Yokosuka, Kanagawa 2370061, Japan.;Abe-Ouchi, A (corresponding author), Univ Tokyo, Atmosphere &amp; Ocean Res Inst, 5-1-5 Kashiwanoha, Kashiwa, Chiba 2778568, Japan.;Abe-Ouchi, A (corresponding author), Japan Agcy Marine Earth Sci &amp; Technol, 3173-25 Showamachi, Yokohama, Kanagawa 2360001, Japan.</t>
  </si>
  <si>
    <t>abeouchi@aori.u-tokyo.ac.jp; motoyama@nipr.ac.jp</t>
  </si>
  <si>
    <t>SAITO, Fuyuki/B-8776-2013; Pattyn, Frank/AAA-9640-2019; Uemura, Ryu/C-9793-2012; Ohgaito, Rumi/O-7968-2018; Nakazawa, Fumio/R-4031-2018; Sasa, Kimikazu/ITR-9279-2023; HONDOH, TAKEO/E-7551-2011; Oyabu, Ikumi/AGE-1164-2022; Motoyama, Hideaki/E-6103-2013; Abe-Ouchi, Ayako A/M-6359-2013; Parrenin, Frédéric/H-3054-2014; Fujita, Koji/E-6104-2010; Uemura, Ryu/AGR-0677-2022; Iizuka, Yoshinori/D-9112-2012; Kawamura, Kenji/C-7660-2011; Greve, Ralf/G-2336-2010; Fujita, Shuji/A-7884-2016; FUKUI, Kotaro/H-5600-2018</t>
  </si>
  <si>
    <t>Pattyn, Frank/0000-0003-4805-5636; Uemura, Ryu/0000-0002-4236-0085; Sasa, Kimikazu/0000-0001-8705-886X; Oyabu, Ikumi/0000-0001-8017-1085; Motoyama, Hideaki/0000-0003-2533-320X; Abe-Ouchi, Ayako A/0000-0003-1745-5952; Parrenin, Frédéric/0000-0002-9489-3991; Fujita, Koji/0000-0003-3753-4981; Uemura, Ryu/0000-0002-4236-0085; Ohgaito, Rumi/0000-0002-5717-1594; Sakurai, Toshimitsu/0000-0002-9943-361X; Iizuka, Yoshinori/0000-0001-7241-6062; Yoshimori, Masakazu/0000-0003-0236-8442; Takahashi, Shuhei/0000-0003-2303-8928; Kawamura, Kenji/0000-0003-1163-700X; Greve, Ralf/0000-0002-1341-4777; Kameda, Takao/0000-0001-6317-4399; Fujita, Shuji/0000-0003-0127-0777; Horiuchi, Kazuho/0000-0003-3185-8766; FUKUI, Kotaro/0000-0003-2106-0232</t>
  </si>
  <si>
    <t>KAKENHI from the Japan Society for the Promotion of Science; MEXT [14GS0202, 15101001, 16201005, 18340135, 19201003, 21221002, 21671001, 22101005, 25241005, 26241011]; Ministry of the Environment [S-10]; Grants-in-Aid for Scientific Research [18340135, 26400462, 15H02340, 14GS0202, 15101001, 17H01621, 25241005, 15H01731, 25247082, 16K01229, 19201003, 15KK0027, 21671001, 15K12194, 26241011, 25287051, 15H02958, 22101005, 15K13605, 16201005, 17H06323] Funding Source: KAKEN</t>
  </si>
  <si>
    <t>KAKENHI from the Japan Society for the Promotion of Science(Ministry of Education, Culture, Sports, Science and Technology, Japan (MEXT)Japan Society for the Promotion of ScienceGrants-in-Aid for Scientific Research (KAKENHI)); MEXT(Ministry of Education, Culture, Sports, Science and Technology, Japan (MEXT)); Ministry of the Environment(Ministry of the Environment, Japan); Grants-in-Aid for Scientific Research(Ministry of Education, Culture, Sports, Science and Technology, Japan (MEXT)Japan Society for the Promotion of ScienceGrants-in-Aid for Scientific Research (KAKENHI))</t>
  </si>
  <si>
    <t>This study was supported by KAKENHI from the Japan Society for the Promotion of Science and MEXT (grant numbers 14GS0202, 15101001, 16201005, 18340135, 19201003, 21221002, 21671001, 22101005, 25241005, and 26241011) and an Environment Research and Technology Development Fund (S-10) of the Ministry of the Environment. The numerical experiments were carried out on the National Institute for Environmental Studies supercomputer system (NEC SX-8R/128M16) and Japan Agency for Marine-Earth Science and Technology Earth Simulator (ES2 and ES3).</t>
  </si>
  <si>
    <t>AMER ASSOC ADVANCEMENT SCIENCE</t>
  </si>
  <si>
    <t>WASHINGTON</t>
  </si>
  <si>
    <t>1200 NEW YORK AVE, NW, WASHINGTON, DC 20005 USA</t>
  </si>
  <si>
    <t>2375-2548</t>
  </si>
  <si>
    <t>SCI ADV</t>
  </si>
  <si>
    <t>Sci. Adv.</t>
  </si>
  <si>
    <t>e1600446</t>
  </si>
  <si>
    <t>10.1126/sciadv.1600446</t>
  </si>
  <si>
    <t>EO9WT</t>
  </si>
  <si>
    <t>Green Published, Green Submitted, gold</t>
  </si>
  <si>
    <t>WOS:000397039500017</t>
  </si>
  <si>
    <t>Sharma, J; Shamim, K; Dubey, SK; Meena, RM</t>
  </si>
  <si>
    <t>Sharma, Jaya; Shamim, Kashif; Dubey, Santosh Kumar; Meena, Ram Murti</t>
  </si>
  <si>
    <t>Metallothionein assisted periplasmic lead sequestration as lead sulfite by Providencia vermicola strain SJ2A</t>
  </si>
  <si>
    <t>SCIENCE OF THE TOTAL ENVIRONMENT</t>
  </si>
  <si>
    <t>bmtA; Lead sequestration; SEM-EDX; TEM; FTIR; X-ray diffraction</t>
  </si>
  <si>
    <t>BIOLOGICAL CHARACTERIZATION; RESISTANT-BACTERIA; METAL RESISTANCE; BIOREMEDIATION; PROTEINS; CADMIUM; GENES</t>
  </si>
  <si>
    <t>Lead resistant Providencia vermicola strain SJ2A was isolated from the waste of a battery manufacturing industry which could tolerate upto 3.0 mM lead nitrate in the minimal medium. Interestingly, this isolate showed presence of a plasmid borne metallothionein gene, bmtA that matched significantly (96%) with that of Pseudomonas aeruginosa. Scanning electron micrographs of bacterial cells exposed to lead revealed a unique alteration in the cell morphology from rods to long inter-connected filaments: On the other hand, electron dispersive X-ray spectroscopy (EDX) clearly indicated no significant lead adsorption therefore, we speculated intracellular sequestration in this bacterial strain. Transmission electron micrographs of the bacterial cells exposed to lead evidently demonstrated periplasmic sequestration of lead which was also supported by Fourier transformed infrared spectroscopic (FTIR) analysis. The bacterium internalised 155.12 mg Pb2+/g biomass as determined by atomic absorption spectroscopy. Subsequently, the accumulated lead was identified as lead sulfite by X-ray diffraction studies. Therefore P. vermicola strain SJ2A has potential to bioremediate lead contaminated environmental sites. (C) 2016 Elsevier B.V. All rights reserved.</t>
  </si>
  <si>
    <t>[Sharma, Jaya; Shamim, Kashif; Dubey, Santosh Kumar] Goa Univ, Dept Microbiol, Lab Bacterial Genet &amp; Environm Biotechnol, Taleigao Plateau 403206, Goa, India; [Meena, Ram Murti] Natl Inst Oceanog, Panaji 403004, Goa, India</t>
  </si>
  <si>
    <t>Goa University; Council of Scientific &amp; Industrial Research (CSIR) - India; CSIR - National Institute of Oceanography (NIO)</t>
  </si>
  <si>
    <t>Dubey, SK (corresponding author), Goa Univ, Dept Microbiol, Taleigao Plateau 403206, Goa, India.</t>
  </si>
  <si>
    <t>santoshdubey.gu@gmail.com</t>
  </si>
  <si>
    <t>Shamim, Kashif/HCH-9033-2022</t>
  </si>
  <si>
    <t>Dubey, Santosh Kumar/0000-0002-4601-7655; SHARMA, JAYA/0000-0002-8769-9648; Shamim, Kashif/0000-0001-7996-1477</t>
  </si>
  <si>
    <t>University Grants Commission, New Delhi [F.17-72/2008(SA-1)]</t>
  </si>
  <si>
    <t>University Grants Commission, New Delhi(University Grants Commission, India)</t>
  </si>
  <si>
    <t>Ms. Jaya Sharma is grateful to University Grants Commission (F.17-72/2008(SA-1)), New Delhi for financial support as SRF. The authors gratefully acknowledge help from Dr. Anoop Tiwari, Dr. R. Mohan and Ms. Sahina Gazi from National Centre for Antarctic and Ocean Research, Goa for doing AAS and SEM-EDS analysis respectively. The authors are also grateful to Dr. N. Ramaiah and Mr. Girish Prabhu from National Institute of Oceanography, Goa for DNA sequencing and XRD analysis respectively. The authors are also obliged to Prof. B.R. Srinivasan, Head of Department, Ms. Mira, Mr. Vishal and Mr. Rahul from Dept. of Chemistry, Goa University for FTIR analysis and Dr. T.C. Nag from All India Institute of Medical Sciences, New Delhi for TEM analysis.</t>
  </si>
  <si>
    <t>ELSEVIER SCIENCE BV</t>
  </si>
  <si>
    <t>AMSTERDAM</t>
  </si>
  <si>
    <t>PO BOX 211, 1000 AE AMSTERDAM, NETHERLANDS</t>
  </si>
  <si>
    <t>0048-9697</t>
  </si>
  <si>
    <t>1879-1026</t>
  </si>
  <si>
    <t>SCI TOTAL ENVIRON</t>
  </si>
  <si>
    <t>Sci. Total Environ.</t>
  </si>
  <si>
    <t>FEB 1</t>
  </si>
  <si>
    <t>10.1016/j.scitotenv.2016.11.089</t>
  </si>
  <si>
    <t>Environmental Sciences</t>
  </si>
  <si>
    <t>Environmental Sciences &amp; Ecology</t>
  </si>
  <si>
    <t>EH6QA</t>
  </si>
  <si>
    <t>WOS:000391897800036</t>
  </si>
  <si>
    <t>Gannon, M</t>
  </si>
  <si>
    <t>Gannon, Megan</t>
  </si>
  <si>
    <t>Fruits for the Frozen A new Antarctic-proof greenhouse heads south to polar scientists</t>
  </si>
  <si>
    <t>SCIENTIFIC AMERICAN</t>
  </si>
  <si>
    <t>Editorial Material</t>
  </si>
  <si>
    <t>NATURE PUBLISHING GROUP</t>
  </si>
  <si>
    <t>NEW YORK</t>
  </si>
  <si>
    <t>75 VARICK ST, 9TH FLR, NEW YORK, NY 10013-1917 USA</t>
  </si>
  <si>
    <t>0036-8733</t>
  </si>
  <si>
    <t>SCI AM</t>
  </si>
  <si>
    <t>Sci.Am.</t>
  </si>
  <si>
    <t>10.1038/scientificamerican0217-18a</t>
  </si>
  <si>
    <t>EO9WA</t>
  </si>
  <si>
    <t>WOS:000397037600016</t>
  </si>
  <si>
    <t>Neto, ED; Guerra, MBB; Thomazini, A; Daher, M; de Andrade, AM; Schaefer, CEGR</t>
  </si>
  <si>
    <t>de Lima Neto, Elias; Bueno Guerra, Marcelo Braga; Thomazini, Andre; Daher, Mayara; de Andrade, Andre Medeiros; Schaefer, Carlos Ernesto G. R.</t>
  </si>
  <si>
    <t>Soil Contamination by Toxic Metals Near an Antarctic Refuge in Robert Island, Maritime Antarctica: A Monitoring Strategy</t>
  </si>
  <si>
    <t>WATER AIR AND SOIL POLLUTION</t>
  </si>
  <si>
    <t>Enrichment factor; Geoaccumulation index; Contamination; Soil; Antarctica; Toxic metals</t>
  </si>
  <si>
    <t>SOUTH SHETLAND ISLANDS; KING GEORGE ISLAND; HEAVY-METALS; TRACE-METALS; ELEMENT CONTAMINATION; ORGANIC POLLUTANTS; ENRICHMENT FACTOR; STATION; PENINSULA; ENVIRONMENT</t>
  </si>
  <si>
    <t>The anthropogenic effects of Antarctic refuge buildings and research stations on the surrounding soils are scarcely investigated, especially when the structures are small-sized, and sporadically used or visited. The Coppermine Peninsula (Robert Island, South Shetland Islands archipelago) possesses one of the richest flora in Antarctica, being classified as an Antarctic Specially Protected Area (ASPA). There, a small refuge (Luis Risopatron) has been seasonally occupied for scientific purposes since 1957, although no studies on the anthropic disturbances in the surroundings soils are reported. The aim of this study was the determination of the potentially toxic metals (Cd, Cr, Cu, Mn, Ni, Pb, V, and Zn) mass fractions in surface soils (n = 40) collected at the surroundings of the Luis Risopatron refuge. Enrichment factors (EF) and geoaccumulation index (I-geo) were also calculated, using Zr as the reference element, in order to evaluate the anthropogenic impacts of these small buildings in the studied area. The main contaminants were Pb and Zn, which presented EF and Igeo values ranging from 1.0 to 18.3 and from -1.8 to 3.5. The mass fractions of these elements determined after an aqua regia extraction varied from 5.4 to 102 mg kg(-1) Pb and from 43 to 210 mg kg(-1) Zn. These results highlight that a small refuge can show environmental disturbance from low to moderate, with few hotspots with heavily contaminated soils. Environmental monitoring strategy for similar refuges anywhere in Antarctica is recommended.</t>
  </si>
  <si>
    <t>[de Lima Neto, Elias; Thomazini, Andre; Daher, Mayara; Schaefer, Carlos Ernesto G. R.] Univ Fed Vicosa, Dept Solos, Ave Peter Henry Rolfs, BR-36570900 Vicosa, MG, Brazil; [Bueno Guerra, Marcelo Braga] Black Hills State Univ, Sch Nat Sci, 1200 Univ St, Spearfish, SD 57799 USA; [de Andrade, Andre Medeiros] Univ Fed Vales Jequitinhonha &amp; Mucuri, Inst Ciencias Agr, Ave Vereador Joao Narciso 1380, BR-38610000 Unai, MG, Brazil; [de Lima Neto, Elias] Univ Sao Paulo, Escola Engn Sao Carlos, Dept Hidraul &amp; Saneamento, Ave Trabalhador Sao Carlense 400, BR-13566590 Sao Carlos, SP, Brazil</t>
  </si>
  <si>
    <t>Universidade Federal de Vicosa; Black Hills State University; Universidade Federal dos Vales do Jequitinhonha e Mucuri (UFVJM); Universidade de Sao Paulo</t>
  </si>
  <si>
    <t>Neto, ED (corresponding author), Univ Sao Paulo, Escola Engn Sao Carlos, Dept Hidraul &amp; Saneamento, Ave Trabalhador Sao Carlense 400, BR-13566590 Sao Carlos, SP, Brazil.</t>
  </si>
  <si>
    <t>eliasneto87@hotmail.com</t>
  </si>
  <si>
    <t>Daher, Mayara/N-7857-2019; Schaefer, Carlos Ernesto/AAY-4977-2020; Guerra, Marcelo B. B./D-3294-2015</t>
  </si>
  <si>
    <t>Daher, Mayara/0000-0003-4937-2289; Ernesto Goncalves Reynaud Schaefer, Carlos/0000-0001-5735-3227; Braga Bueno Guerra, Marcelo/0000-0002-0058-2640; Thomazini, Andre/0000-0001-5613-0494</t>
  </si>
  <si>
    <t>National Council of Technological and Scientific Development (CNPq); National Science Foundation (NSF MRI) [1429544]</t>
  </si>
  <si>
    <t>National Council of Technological and Scientific Development (CNPq)(Conselho Nacional de Desenvolvimento Cientifico e Tecnologico (CNPQ)); National Science Foundation (NSF MRI)(National Science Foundation (NSF)NSF - Office of the Director (OD))</t>
  </si>
  <si>
    <t>We wish to thank the National Council of Technological and Scientific Development (CNPq) for financing this research, the Brazilian Navy for the logistic support during the Antarctic expeditions, and the Universidade Federal de Vicosa for technical support. This is a contribution of the Terrantar Laboratory, part of the Brazilian National Institute of Cryospheric Science and Technology (INCT da Criosfera). We also thank the Chilean Antarctic Institute (INACH) for the logistical support to the field activities and National Science Foundation (NSF MRI Award 1429544) for financial support. We also express our gratitude to Dr. Brianna Mount for language improvement.</t>
  </si>
  <si>
    <t>SPRINGER</t>
  </si>
  <si>
    <t>DORDRECHT</t>
  </si>
  <si>
    <t>VAN GODEWIJCKSTRAAT 30, 3311 GZ DORDRECHT, NETHERLANDS</t>
  </si>
  <si>
    <t>0049-6979</t>
  </si>
  <si>
    <t>1573-2932</t>
  </si>
  <si>
    <t>WATER AIR SOIL POLL</t>
  </si>
  <si>
    <t>Water Air Soil Pollut.</t>
  </si>
  <si>
    <t>10.1007/s11270-017-3245-4</t>
  </si>
  <si>
    <t>Environmental Sciences; Meteorology &amp; Atmospheric Sciences; Water Resources</t>
  </si>
  <si>
    <t>Environmental Sciences &amp; Ecology; Meteorology &amp; Atmospheric Sciences; Water Resources</t>
  </si>
  <si>
    <t>EL0ZX</t>
  </si>
  <si>
    <t>WOS:000394351400014</t>
  </si>
  <si>
    <t>Wegscheidl, CJ; Sheaves, M; McLeod, IM; Hedge, PT; Gillies, CL; Creighton, C</t>
  </si>
  <si>
    <t>Wegscheidl, Carla J.; Sheaves, Marcus; McLeod, Ian M.; Hedge, Paul T.; Gillies, Chris L.; Creighton, Colin</t>
  </si>
  <si>
    <t>Sustainable management of Australia's coastal seascapes: a case for collecting and communicating quantitative evidence to inform decision-making</t>
  </si>
  <si>
    <t>WETLANDS ECOLOGY AND MANAGEMENT</t>
  </si>
  <si>
    <t>Function; Ecosystem service; Seascape; Mangrove; Saltmarsh</t>
  </si>
  <si>
    <t>SALT-MARSH; ECOSYSTEM SERVICES; FISH HABITAT; BLUE CARBON; MANGROVE; WETLANDS; CONSERVATION; RESTORATION; TERRESTRIAL; VALUATION</t>
  </si>
  <si>
    <t>Australia's developed coasts are a heavily competed space, subject to urban, industrial and agricultural development. A diversity of habitats, such as mangroves, saltmarshes and seagrasses, comprise Australia's coastal seascape and provide numerous benefits including fish productivity, carbon sequestration, nutrient cycling, coastal protection and recreation. Decision makers need to be able to weigh up the relative costs and benefits of coastal development, protection or repair and to do this they need robust, accessible and defensible data on the ecological function and economic value of Australia's coastal seascapes. We reviewed the published literature, with a focus on saltmarsh as a vulnerable ecological community, to determine the availability of information on key ecological functions that could inform ecosystem service valuation. None of the publications we reviewed quantified nutrient cycling, coastal protection or recreation functions. Only 13 publications presented quantitative information on carbon sequestration and fish productivity. These were limited geographically, with the majority of studies on sub-tropical and temperate saltmarsh communities between south-east Queensland and Victoria. This demonstrates a lack of quantitative information needed to substantiate and communicate the value of Australia's saltmarshes in different locations, scales and contexts. Research should focus on addressing these knowledge gaps and communicating evidence in a relevant form and context for decision-making. We discuss four principles for research funding organisations and researchers to consider when prioritising and undertaking research on key ecological functions of Australia's saltmarshes, and coastal seascapes more broadly, to support sustainable coastal development, protection and repair for long-term economic and community benefit.</t>
  </si>
  <si>
    <t>[Wegscheidl, Carla J.; Sheaves, Marcus; McLeod, Ian M.; Creighton, Colin] James Cook Univ, Ctr Trop Water &amp; Aquat Ecosyst Res TropWATER, Townsville, Qld, Australia; [Hedge, Paul T.] Univ Tasmania, Inst Marine &amp; Antarctic Studies, Battery Point, Tas, Australia; [Gillies, Chris L.] Nature Conservancy, Carlton, Vic, Australia</t>
  </si>
  <si>
    <t>James Cook University; University of Tasmania; Nature Conservancy</t>
  </si>
  <si>
    <t>Wegscheidl, CJ (corresponding author), James Cook Univ, Ctr Trop Water &amp; Aquat Ecosyst Res TropWATER, Townsville, Qld, Australia.</t>
  </si>
  <si>
    <t>carla.wegscheidl@jcu.edu.au</t>
  </si>
  <si>
    <t>Sheaves, Marcus J/G-4283-2012; McLeod, Ian/J-9062-2014</t>
  </si>
  <si>
    <t>Sheaves, Marcus J/0000-0003-0662-3439; McLeod, Ian/0000-0001-5375-4402; Hedge, Paul/0000-0002-2040-9618</t>
  </si>
  <si>
    <t>Australian Government's National Environmental Science Programme: Marine Biodiversity Hub</t>
  </si>
  <si>
    <t>Australian Government's National Environmental Science Programme: Marine Biodiversity Hub(Australian Government)</t>
  </si>
  <si>
    <t>The Australian Government's National Environmental Science Programme: Marine Biodiversity Hub funded the synopsis of knowledge of Australia's saltmarshes, which formed part of this study. Heidi Alleway, Paul Boon, Agnes Le Port, Vishnu Prahalad and Kylie Russell contributed to the synopsis. For more information on this synopsis see www.saltmarshrepair.org.au. Thanks also to Elodie Ledee for preparing Fig. 2 and to Claudia Trave for the graphical abstract.</t>
  </si>
  <si>
    <t>0923-4861</t>
  </si>
  <si>
    <t>1572-9834</t>
  </si>
  <si>
    <t>WETL ECOL MANAG</t>
  </si>
  <si>
    <t>Wetl. Ecol. Manag.</t>
  </si>
  <si>
    <t>10.1007/s11273-016-9515-x</t>
  </si>
  <si>
    <t>Environmental Sciences; Water Resources</t>
  </si>
  <si>
    <t>Science Citation Index Expanded (SCI-EXPANDED); Social Science Citation Index (SSCI)</t>
  </si>
  <si>
    <t>Environmental Sciences &amp; Ecology; Water Resources</t>
  </si>
  <si>
    <t>EK8HS</t>
  </si>
  <si>
    <t>WOS:000394165100002</t>
  </si>
  <si>
    <t>Ferter, K; Rikardsen, AH; Evensen, TH; Svenning, MA; Tracey, SR</t>
  </si>
  <si>
    <t>Ferter, Keno; Rikardsen, Audun H.; Evensen, Tor H.; Svenning, Martin-A.; Tracey, Sean R.</t>
  </si>
  <si>
    <t>Survival of Atlantic halibut (Hippoglossus hippoglossus) following catch-and-release angling</t>
  </si>
  <si>
    <t>FISHERIES RESEARCH</t>
  </si>
  <si>
    <t>Acoustic telemetry; Behavior; Pop-up satellite archival tags; Post-release mortality; Recreational fisheries; Tagging</t>
  </si>
  <si>
    <t>COD GADUS-MORHUA; POSTRELEASE MORTALITY; REFLEX IMPAIRMENT; PACIFIC HALIBUT; CAPTURE DEPTH; MARINE; BAROTRAUMA; BEHAVIOR; FISH; PERSPECTIVES</t>
  </si>
  <si>
    <t>Catch-and-release (C&amp;R) of Atlantic halibut (Hippoglossus hippoglossus) has been heavily debated as a management strategy to reduce fishing mortality of this species while maintaining angling opportunities in Norwegian recreational fisheries. However, little information exists on what proportion of the fish survive post release. To test if C&amp;R affects short- and long-term survival of Atlantic halibut, halibut (&gt;120 cm; N = 11) were caught on angling gear using commonly used fishing lures, and tagged with both pop-up satellite archival tags (PSATs) and acoustic transmitters. Survival was determined by the vertical migration patterns of individuals measured by the tags during individual monitoring periods ranging from 3 to 248 days (median 80 days) after the C&amp;R event. No short-term mortality was observed post release. In terms of long-term survival, eight halibut were confirmed to have survived the monitoring periods while one halibut had insufficient data. For the other two individuals, the acoustic transmitters showed a cessation of vertical movement after 38 and 44 days, which could neither be verified nor disproven by the PSAT recordings (due to earlier detachment and tag malfunction of the PSATs). Since premature tag shedding was frequent in this study, it cannot be concluded if the cessation of vertical movement was because of tag shedding or delayed mortality. The results of this study indicate that Atlantic halibut is resilient to C&amp;R angling, and that C&amp;R of Atlantic halibut may be an effective management strategy to reduce fishing induced mortality. However, the effects of severe hooking injuries, impacts on smaller individuals, and potential sublethal consequences of C&amp;R were not covered in this study, and are still poorly understood. To minimize negative impacts of C&amp;R and to promote fish welfare, fisheries managers are encouraged to implement best practice C&amp;R angling guidelines for Atlantic halibut. (C) 2016 Elsevier B.V. All rights reserved.</t>
  </si>
  <si>
    <t>[Ferter, Keno] Inst Marine Res, POB 1870, N-5817 Bergen, Norway; [Rikardsen, Audun H.] Arctic Univ Norway, UiT, Dept Arctic &amp; Marine Biol, N-9037 Tromso, Norway; [Evensen, Tor H.] Nofima AS, Muninbakken 9-13,Breivika,POB 6122, N-9291 Tromso, Norway; [Svenning, Martin-A.] Norwegian Inst Nat Res, Fram Ctr, Arctic Ecol Dept, POB 6606, N-9296 Tromso, Norway; [Tracey, Sean R.] Univ Tasmania, Inst Marine &amp; Antarctic Studies, Private Bag 49, Hobart, Tas 7052, Australia</t>
  </si>
  <si>
    <t>Institute of Marine Research - Norway; UiT The Arctic University of Tromso; Nofima; Norwegian Institute Nature Research; University of Tasmania</t>
  </si>
  <si>
    <t>Ferter, K (corresponding author), Inst Marine Res, POB 1870, N-5817 Bergen, Norway.</t>
  </si>
  <si>
    <t>Keno@imr.no</t>
  </si>
  <si>
    <t>Tracey, Sean/J-7446-2014</t>
  </si>
  <si>
    <t>Tracey, Sean/0000-0002-6735-5899</t>
  </si>
  <si>
    <t>UiT - The Arctic University of Tromso; Norwegian Institute for Nature Research in Tromso; tourist fishing project (Kartlegging av turistfiske) through Coastal Zone Ecosystem Program at the Institute of Marine Research</t>
  </si>
  <si>
    <t>Funding for this project was provided by UiT - The Arctic University of Tromso and the Norwegian Institute for Nature Research in Tromso. Further funding was provided by the tourist fishing project (Kartlegging av turistfiske) to KF through the Coastal Zone Ecosystem Program at the Institute of Marine Research. The authors are especially thankful to Per Jonasson and Tom Sivertsen for their great help during fishing and tagging, and Per Arne Homeland for assistance in graphical design. Moreover, the authors would like to thank three anonymous reviewers for the constructive feedback on an earlier version of this manuscript. All experimental procedures were conducted in accordance with the Norwegian regulation on animal experimentation and were approved by the Norwegian animal research authority (Forsoksdyrutvalget (www.fdu.no); FOTS IDs 3454 and 3641).</t>
  </si>
  <si>
    <t>ELSEVIER</t>
  </si>
  <si>
    <t>RADARWEG 29, 1043 NX AMSTERDAM, NETHERLANDS</t>
  </si>
  <si>
    <t>0165-7836</t>
  </si>
  <si>
    <t>1872-6763</t>
  </si>
  <si>
    <t>FISH RES</t>
  </si>
  <si>
    <t>Fish Res.</t>
  </si>
  <si>
    <t>SI</t>
  </si>
  <si>
    <t>10.1016/j.fishres.2016.05.022</t>
  </si>
  <si>
    <t>Fisheries</t>
  </si>
  <si>
    <t>EG0SY</t>
  </si>
  <si>
    <t>WOS:000390743700006</t>
  </si>
  <si>
    <t>Day, JMD; Corder, CA; Cartigny, P; Steele, A; Assayag, N; Rumble, D; Taylor, LA</t>
  </si>
  <si>
    <t>Day, James M. D.; Corder, Christopher A.; Cartigny, Pierre; Steele, Andrew; Assayag, Nelly; Rumble, Douglas, III; Taylor, Lawrence A.</t>
  </si>
  <si>
    <t>A carbon-rich region in Miller Range 091004 and implications for ureilite petrogenesis</t>
  </si>
  <si>
    <t>GEOCHIMICA ET COSMOCHIMICA ACTA</t>
  </si>
  <si>
    <t>Graphite; Ureilite; MIL 091004; Melt-depletion; Late-stage carbon; Reduction</t>
  </si>
  <si>
    <t>HIGHLY SIDEROPHILE ELEMENTS; PARENT BODY; OXYGEN-ISOTOPE; POLYMICT UREILITE; TRACE-ELEMENT; FEO-RICH; ORIGIN; METEORITES; ACHONDRITES; CHONDRITES</t>
  </si>
  <si>
    <t>Ureilite meteorites are partially melted asteroidal-peridotite residues, or more rarely, cumulates that can contain greater than three weight percent carbon. Here we describe an exceptional C-rich lithology, composed of 34 modal % large (up to 0.8 mm long) crystalline graphite grains, in the Antarctic ureilite meteorite Miller Range (MIL) 091004. This C-rich lithology is embedded within a silicate region composed dominantly of granular olivine with lesser quantities of low-Ca pyroxene, and minor FeNi metal, high-Ca pyroxene, spinel, schreibersite and troilite. Petrological evidence indicates that the graphite was added after formation of the silicate region and melt depletion. Associated with graphite is localized reduction of host olivine (Fo(88-89)) to nearly pure forsterite (Fo(99)), which is associated with FeNi metal grains containing up to 11 wt.% Si. The main silicate region is typical of ureilite composition, with highly siderophile element (HSE) abundances similar to 0.3 x chondrite, Os-187/Os-188 of 0.1260-0.1262 and Delta O-17 of -0.81 +/- 0.16 parts per thousand. Mineral trace-element analyses reveal that the rare earth elements (REE) and the HSE are controlled by pyroxene and FeNi metal phases in the meteorite, respectively. Modeling of bulk-rock REE and HSE abundances indicates that the main silicate region experienced similar to 6% silicate and &gt;50% sulfide melt extraction, which is at the lower end of partial melt removal estimated for ureilites. Miller Range 091004 demonstrates heterogeneous distribution of carbon at centimeter scales and a limited range in Mg/(Mg + Fe) compositions of silicate grain cores, despite significant quantities of carbon. These observations demonstrate that silicate rim reduction was a rapid disequilibrium process, and came after silicate and sulfide melt removal in MIL 091004. The petrography and mineral chemistry of MIL 091004 is permissive of the graphite representing late-stage C-rich melt that pervaded silicates, or carbon that acted as a lubricant during anatexis and impact disruption in the parent body. Positive correlation of Pt/Os ratios with olivine core compositions, but a wide range of oxygen isotope compositions, indicates that ureilites formed from a compositionally heterogeneous parent body that experienced variable sulfide and metal melt-loss that is most pronounced in relatively oxidized ureilites with Delta O-17 between similar to 1.5 and similar to 0 parts per thousand. (C) 2016 Elsevier Ltd. All rights reserved.</t>
  </si>
  <si>
    <t>[Day, James M. D.; Corder, Christopher A.] Scripps Inst Oceanog, Geosci Res Div, La Jolla, CA 92093 USA; [Cartigny, Pierre; Assayag, Nelly] Univ Paris Diderot, CNRS, Inst Phys Globe Paris, UMR 7154, Sorbonne Paris Cite,1 Rue Jussieu, F-75238 Paris, France; [Steele, Andrew; Rumble, Douglas, III] Carnegie Inst Sci, Geophys Lab, Washington, DC 20015 USA; [Taylor, Lawrence A.] Univ Tennessee, Planetary Geosci Inst, Dept Earth &amp; Planetary Sci, Knoxville, TN 37996 USA</t>
  </si>
  <si>
    <t>University of California System; University of California San Diego; Scripps Institution of Oceanography; Centre National de la Recherche Scientifique (CNRS); CNRS - National Institute for Earth Sciences &amp; Astronomy (INSU); Universite Paris Cite; Carnegie Institution for Science; University of Tennessee System; University of Tennessee Knoxville</t>
  </si>
  <si>
    <t>Day, JMD (corresponding author), Scripps Inst Oceanog, Geosci Res Div, La Jolla, CA 92093 USA.</t>
  </si>
  <si>
    <t>jmdday@ucsd.edu</t>
  </si>
  <si>
    <t>Rumble, Douglas/AAU-3930-2020; Cartigny, Pierre/A-6251-2011; ASSAYAG, Nelly/G-2267-2017; Day, James/A-5099-2010; Steele, Andrew/A-3573-2013</t>
  </si>
  <si>
    <t>Rumble, Douglas/0000-0002-7440-9189; ASSAYAG, Nelly/0000-0002-5105-9876; Day, James/0000-0001-9520-3465; Steele, Andrew/0000-0001-9643-2841</t>
  </si>
  <si>
    <t>NSF; NASA; NASA Cosmochemistry and Emerging Worlds [NNX12AH75G, NNX15AL74G, NNX11AG586]; NASA [NNX15AL74G, 799648] Funding Source: Federal RePORTER</t>
  </si>
  <si>
    <t>NSF(National Science Foundation (NSF)); NASA(National Aeronautics &amp; Space Administration (NASA)); NASA Cosmochemistry and Emerging Worlds; NASA(National Aeronautics &amp; Space Administration (NASA))</t>
  </si>
  <si>
    <t>We thank the Meteorite Working Group for provision of MIL 091004.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Comments made on versions of this manuscript by J.-A. Barrat, H. Downes, C. Goodrich, D. Mittlefehldt, P. Warren and an anonymous reviewer are gratefully acknowledged. We are especially grateful to P. Warren for highly constructive suggestions and suggesting 'hot jumbling'. Support for this work came from NASA Cosmochemistry and Emerging Worlds (NNX12AH75G &amp; NNX15AL74G to JMDD and NNX11AG586 to LAT). Day and Rumble both thank the IPGP/Universite Paris Diderot for support as Visiting Professors.</t>
  </si>
  <si>
    <t>PERGAMON-ELSEVIER SCIENCE LTD</t>
  </si>
  <si>
    <t>OXFORD</t>
  </si>
  <si>
    <t>THE BOULEVARD, LANGFORD LANE, KIDLINGTON, OXFORD OX5 1GB, ENGLAND</t>
  </si>
  <si>
    <t>0016-7037</t>
  </si>
  <si>
    <t>1872-9533</t>
  </si>
  <si>
    <t>GEOCHIM COSMOCHIM AC</t>
  </si>
  <si>
    <t>Geochim. Cosmochim. Acta</t>
  </si>
  <si>
    <t>10.1016/j.gca.2016.11.026</t>
  </si>
  <si>
    <t>Geochemistry &amp; Geophysics</t>
  </si>
  <si>
    <t>EG4BH</t>
  </si>
  <si>
    <t>hybrid</t>
  </si>
  <si>
    <t>WOS:000390987900023</t>
  </si>
  <si>
    <t>Saggiomo, M; Poulin, M; Mangoni, O; Lazzara, L; De Stefano, M; Sarno, D; Zingone, A</t>
  </si>
  <si>
    <t>Saggiomo, Maria; Poulin, Michel; Mangoni, Olga; Lazzara, Luigi; De Stefano, Mario; Sarno, Diana; Zingone, Adriana</t>
  </si>
  <si>
    <t>Spring-time dynamics of diatom communities in landfast and underlying platelet ice in Terra Nova Bay, Ross Sea, Antarctica</t>
  </si>
  <si>
    <t>JOURNAL OF MARINE SYSTEMS</t>
  </si>
  <si>
    <t>Diatoms; Antarctica; Sea ice; Ross Sea</t>
  </si>
  <si>
    <t>SOUTHERN WEDDELL SEA; MICROBIAL COMMUNITIES; PRIMARY PRODUCTIVITY; MCMURDO-SOUND; BIOLOGICAL COMMUNITIES; ENVIRONMENTAL-FACTORS; VERTICAL ZONATION; 1ST-YEAR ICE; ASSEMBLAGES; MICROALGAL</t>
  </si>
  <si>
    <t>We investigated the composition of diatom communities in annual fast ice and their variations over time during the 1999 austral spring in Terra Nova Bay (Ross Sea, Antarctica). Diatoms varied along the ice core in both cell abundance and species composition, with a minimum in the lower layer and a peak in the platelet ice. Planktonic species constituted in total about 98% of the diatom assemblage in the surface layers of the ice core down to the thickness of 220 cm. In the bottom ice and the underlying platelet-ice layer, the contribution of planktonic diatoms was lower (60% and 65%, respectively) at the beginning of the sampling period, and then decreased further to reach 30% in the bottom ice, where a remarkable biomass increase over time was caused by in situ growth and accumulation of benthic species. By contrast in the platelet-ice layer only small changes were recorded in the composition of the diatom assemblage, which was mainly constituted by the bloom of Fragilariopsis nana. The benthic species are generally not found in the water column, while species in the platelet-ice layer presumably constitute the seed for the initial plankton bloom during the ice-free periods in Terra Nova Bay. (C) 2016 Elsevier B.V. All tights reserved.</t>
  </si>
  <si>
    <t>[Saggiomo, Maria; Sarno, Diana; Zingone, Adriana] Staz Zool Anton Dohrn, Villa Comunale 1, I-80121 Naples, Italy; [Poulin, Michel] Canadian Museum Nat, Res &amp; Collect Div, POB 3443,Stn D, Ottawa, ON K1P 6P4, Canada; [Mangoni, Olga] Univ Napoli Federico II, Dipartimento Biol, Via Mezzocannone 8, I-80134 Naples, Italy; [Lazzara, Luigi] Univ Firenze, Dipartimento Biol, Via Micheli 1, I-50121 Florence, Italy; [De Stefano, Mario] Seconda Univ Napoli, Dipartimento Sci Ambientali, I-81100 Caserta, Italy</t>
  </si>
  <si>
    <t>Stazione Zoologica Anton Dohrn di Napoli; University of Naples Federico II; University of Florence; Universita della Campania Vanvitelli</t>
  </si>
  <si>
    <t>Saggiomo, M (corresponding author), Staz Zool Anton Dohrn, Villa Comunale 1, I-80121 Naples, Italy.</t>
  </si>
  <si>
    <t>m.saggio@szn.it</t>
  </si>
  <si>
    <t>Lazzara, Luigi Carlo/C-6838-2012; Zingone, Adriana/E-4518-2010</t>
  </si>
  <si>
    <t>Lazzara, Luigi Carlo/0000-0002-1351-9683; SARNO, DIANA/0000-0001-9697-5301; Zingone, Adriana/0000-0001-5946-6532; DE STEFANO, Mario/0000-0003-0342-192X; Saggiomo, Maria/0000-0001-5794-0050</t>
  </si>
  <si>
    <t>Italian National Project for Antarctic Research (PNRA); Canadian Museum of Nature</t>
  </si>
  <si>
    <t>We are grateful to V. Saggiomo and G.R. Di Tullio for constructive criticism on the manuscript. We wish to thank F. Iamunno for assistance with the Electron Microscope and F. Margiotta for help with statistical analyses. This research was supported by the Italian National Project for Antarctic Research (PNRA) as part of a larger study on Pack Ice Ecosystem Dynamics (PIED), and by the Canadian Museum of Nature to M.P.</t>
  </si>
  <si>
    <t>0924-7963</t>
  </si>
  <si>
    <t>1879-1573</t>
  </si>
  <si>
    <t>J MARINE SYST</t>
  </si>
  <si>
    <t>J. Mar. Syst.</t>
  </si>
  <si>
    <t>10.1016/j.jmarsys.2016.06.007</t>
  </si>
  <si>
    <t>Geosciences, Multidisciplinary; Marine &amp; Freshwater Biology; Oceanography</t>
  </si>
  <si>
    <t>Geology; Marine &amp; Freshwater Biology; Oceanography</t>
  </si>
  <si>
    <t>EG5HG</t>
  </si>
  <si>
    <t>WOS:000391074300003</t>
  </si>
  <si>
    <t>Castagno, P; Falco, P; Dinniman, MS; Spezie, G; Budillon, G</t>
  </si>
  <si>
    <t>Castagno, Pasquale; Falco, Pierpaolo; Dinniman, Michael S.; Spezie, Giancarlo; Budillon, Giorgio</t>
  </si>
  <si>
    <t>Temporal variability of the Circumpolar Deep Water inflow onto the Ross Sea continental shelf</t>
  </si>
  <si>
    <t>Cross-shelf exchange; Warm water intrusion; Tidal mixing</t>
  </si>
  <si>
    <t>ANTARCTIC BOTTOM WATER; SOUTHERN WEDDELL SEA; COASTAL-TRAPPED WAVES; CIRCULATION; BREAK; EXCHANGE; STRATIFICATION; OCEANOGRAPHY; CURRENTS; DRIVEN</t>
  </si>
  <si>
    <t>The intrusion of Circumpolar Deep Water (CDW) is the primary source of heat, salt and nutrients onto Antarctica's continental shelves and plays a major role in the shelf physical and biological processes. Different studies have analyzed the processes responsible for the transport of CDW across the Ross Sea shelf break, but until now, there are no continuous observations that investigate the timing of the intrusions. Also, few works have focused on the effect of the tides that control these intrusions. In the Ross Sea, the CDW intrudes onto the shelf in several locations, but mostly along the troughs. We use hydrographic observations and a mooring placed on the outer shelf in the middle of the Drygalski Trough in order to characterize the spatial and temporal variability of CDW inflow onto the shelf. Our data span from 2004 to the beginning of 2014. In the Drygalski Trough, the CDW enters as a 150 m thick layer between 250 and 400 m, and moves upward towards the south. At the mooring location, about 50 km from the shelf break, two main CDW cores can be observed: one on the east side of the trough spreading along the west slope of Mawson Bank from about 200 m to the bottom and the other one in the central-west side from 200 m to about 350 m depth. A signature of this lighter and relatively warm water is detected by the instruments on the mooring at bottom of the Drygalski Trough. High frequency periodic CDW intrusion at the bottom of the trough is related to the diurnal and spring/neap tidal cycles. At lower frequency, a seasonal variability of the CDW intrusion is noticed. A strong inflow of CDW is observed every year at the end of December, while the CDW inflow is at its seasonal minimum during the beginning of the austral fall. In addition an interannual variability is also evident. A change of the CDW intrusion before and after 2010 is observed. (C) 2016 Elsevier B.V. All rights reserved.</t>
  </si>
  <si>
    <t>[Castagno, Pasquale; Falco, Pierpaolo; Spezie, Giancarlo; Budillon, Giorgio] Univ Napoli Parthenope, Dipartimento Sci &amp; Tecnol, Naples, Italy; [Dinniman, Michael S.] Old Dominion Univ, Ctr Coastal Phys Oceanog, Norfolk, VA 23529 USA</t>
  </si>
  <si>
    <t>Parthenope University Naples; Old Dominion University</t>
  </si>
  <si>
    <t>Castagno, P (corresponding author), Univ Napoli Parthenope, Dipartimento Sci &amp; Tecnol, Naples, Italy.</t>
  </si>
  <si>
    <t>pasquale.castagno@uniparthenope.it</t>
  </si>
  <si>
    <t>Castagno, Pasquale/JAC-6923-2023; Castagno, Pasquale/HCI-3939-2022</t>
  </si>
  <si>
    <t>Dinniman, Michael/0000-0001-7519-9278; Castagno, Pasquale/0000-0002-5705-1066</t>
  </si>
  <si>
    <t>Italian National Program for Antarctic Research (PNRA) [2009/B.09, 2009/A2.04, 2004/08.03]; CONISMA (COnsorzio Nazionale Interuniversitario per le Scienze del MAre); Office of Polar Programs (OPP); Directorate For Geosciences [0944174] Funding Source: National Science Foundation</t>
  </si>
  <si>
    <t>Italian National Program for Antarctic Research (PNRA); CONISMA (COnsorzio Nazionale Interuniversitario per le Scienze del MAre); Office of Polar Programs (OPP); Directorate For Geosciences(National Science Foundation (NSF)NSF - Directorate for Geosciences (GEO))</t>
  </si>
  <si>
    <t>This study was performed using the CLIMA IV, T-Rex and MORSea data sets. Logistical and financial supports for these projects were provided by the Italian National Program for Antarctic Research (PNRA), grants: 2009/B.09 (MORSea); 2009/A2.04 (T-Rex); 2004/08.03 (CLIMA IV). We thank the CLIMA IV, T-Rex and MORSea teams and the crew of the RV Italica who provided excellent support during the field operations. The publication of this paper was supported by CONISMA (COnsorzio Nazionale Interuniversitario per le Scienze del MAre). The atmospheric re-analysis data were supplied by European Centre for Medium-range Weather Forecast.</t>
  </si>
  <si>
    <t>10.1016/j.jmarsys.2016.05.006</t>
  </si>
  <si>
    <t>WOS:000391074300004</t>
  </si>
  <si>
    <t>Hatta, M; Measures, CI; Lam, PJ; Ohnemus, DC; Auro, ME; Grand, MM; Selph, KE</t>
  </si>
  <si>
    <t>Hatta, Mariko; Measures, Chris I.; Lam, Phoebe J.; Ohnemus, Daniel C.; Auro, Maureen E.; Grand, Maxime M.; Selph, Karen E.</t>
  </si>
  <si>
    <t>The relative roles of modified circumpolar deep water and benthic sources in supplying iron to the recurrent phytoplankton blooms above Pennell and Mawson Banks, Ross Sea, Antarctica</t>
  </si>
  <si>
    <t>Iron; Banks; Ross Sea; Modified circumpolar deep water; Water mixing; Manganese</t>
  </si>
  <si>
    <t>FLOW-INJECTION-ANALYSIS; DISSOLVED FE; DRAKE PASSAGE; SHELF; DISTRIBUTIONS; SEAWATER; GROWTH; OCEAN; AL; PRECONCENTRATION</t>
  </si>
  <si>
    <t>The role that dissolved iron (dFe) rich Circumpolar Deep Water (CDW) might play in sustaining the consistently observed discrete patches of high chlorophyll biomass over Pennell Bank (PB) and Mawson Bank (MB) in the Ross Sea, was investigated during January/February 2011. Over a 26-day period, hydrographic and trace metal clean water sampling was carried out adjacent to both of these banks, in some cases repeatedly. Particulate sampling was also accomplished at selected stations by in situ pumping. The results indicate that the dFe content of the CDW is in fact reduced by on-shelf mixing with Antarctic Surface Water as it transitions into modified CDW (MCDW). Our stations above PB, where the maximum bloom is encountered, show no evidence of MCDW presence. In contrast, above MB, where there is a smaller persistent bloom, MCDW was observed. Although both of these stations displayed the imprint of sedimentary Fe input connected to the strong tidal cycles above the banks, the stronger near-bottom density gradient that MCDW produces appears to contribute to reduced vertical mixing of the sedimentary source. Thus, ironically, the presence of MCDW may be hindering the Fe supply to the surface waters, rather than being the source, as originally hypothesized. (C) 2016 Elsevier B.V. All rights reserved.</t>
  </si>
  <si>
    <t>[Hatta, Mariko; Measures, Chris I.; Grand, Maxime M.; Selph, Karen E.] Univ Hawaii Manoa, Sch Ocean &amp; Earth Sci &amp; Technol, Dept Oceanog, 1000 Pope Rd, Honolulu, HI 96822 USA; [Lam, Phoebe J.; Ohnemus, Daniel C.; Auro, Maureen E.] Woods Hole Oceanog Inst, Dept Marine Chem &amp; Geochem, 266 Woods Hole Rd, Woods Hole, MA 02543 USA; [Lam, Phoebe J.] Univ Calif Santa Cruz, Dept Ocean Sci, 1156 High St, Santa Cruz, CA 95064 USA; [Ohnemus, Daniel C.] Bigelow Lab Ocean Sci, East Boothbay, ME USA; [Grand, Maxime M.] Univ Southampton, Natl Oceanog Ctr Southampton, Ocean &amp; Earth Sci, Waterfront Campus,European Way, Southampton SO14 3ZH, Hants, England</t>
  </si>
  <si>
    <t>University of Hawaii System; University of Hawaii Manoa; Woods Hole Oceanographic Institution; University of California System; University of California Santa Cruz; Bigelow Laboratory for Ocean Sciences; NERC National Oceanography Centre; University of Southampton</t>
  </si>
  <si>
    <t>Hatta, M (corresponding author), Univ Hawaii Manoa, Sch Ocean &amp; Earth Sci &amp; Technol, Dept Oceanog, 1000 Pope Rd, Honolulu, HI 96822 USA.</t>
  </si>
  <si>
    <t>mhatta@hawaii.edu</t>
  </si>
  <si>
    <t>Ohnemus, Daniel C/X-7728-2018; Grand, Maxime/S-1898-2019; Lam, Phoebe/GQQ-7325-2022</t>
  </si>
  <si>
    <t>Ohnemus, Daniel C/0000-0001-6362-4134; Grand, Maxime/0000-0001-9338-694X; Selph, Karen/0000-0001-7281-4706; Hatta, Mariko/0000-0002-4892-7708; Lam, Phoebe J./0000-0001-6609-698X</t>
  </si>
  <si>
    <t>National Science Foundation [ANT-0839024, ANT-0838921]</t>
  </si>
  <si>
    <t>National Science Foundation(National Science Foundation (NSF))</t>
  </si>
  <si>
    <t>We also thank the National Science Foundation for its financial support of this project through Office of Polar Programs Grant numbers ANT-0839024 to CIM and ANT-0838921 to PJL. This is contribution no. 9675 of the School of Ocean Earth Science and Technology, University of Hawaii.</t>
  </si>
  <si>
    <t>10.1016/j.jmarsys.2016.07.009</t>
  </si>
  <si>
    <t>hybrid, Green Accepted</t>
  </si>
  <si>
    <t>WOS:000391074300006</t>
  </si>
  <si>
    <t>Mack, SL; Dinniman, MS; McGillicuddy, DJ; Sedwick, PN; Klinck, JM</t>
  </si>
  <si>
    <t>Mack, Stefanie L.; Dinniman, Michael S.; McGillicuddy, Dennis J., Jr.; Sedwick, Peter N.; Klinck, John M.</t>
  </si>
  <si>
    <t>Dissolved iron transport pathways in the Ross Sea: Influence of tides and horizontal resolution in a regional ocean model</t>
  </si>
  <si>
    <t>Ross Sea; Tides; Mesoscale; Modeling; Tracers</t>
  </si>
  <si>
    <t>SHELF; VARIABILITY; WATER; CIRCULATION; PERFORMANCE</t>
  </si>
  <si>
    <t>Phytoplankton production in the Ross Sea is regulated by the availability of dissolved iron (dFe), a limiting micro-nutrient, whose sources include Circumpolar Deep Water, sea ice melt, glacial melt, and benthic sources (sediment efflux and remineralization). We employ a passive tracer dye to model the benthic dFe sources and track pathways from deep areas of the continental shelf to the surface mixed layer in simulations with and without tidal forcing, and at 5 and 1.5 km horizontal resolution. This, combined with dyes for each of the other dFe sources, provides an estimate of total dFe supply to surface waters. We find that tidal forcing increases the amount of benthic dye that covers the banks on the continental shelf. Calculations of mixed layer depth to define the surface ocean give similar average values over the shelf, but spatial patterns differ between simulations, particularly along the ice shelf front. Benthic dFe supply in simulations shows an increase with tidal forcing and a decrease with higher resolution. The changes in benthic dFe supply control the difference in total supply between simulations. Overall, the total dFe supply from simulations varies from 5.60 to 7.95 mu mol m(-2) year(-1), with benthic supply comprising 32-50%, comparing well with recent data and model synthesis. We suggest that including tides and using high horizontal resolution is important, especially when considering spatial variability of iron supply on the Ross Sea shelf. (C) 2016 Elsevier B.V. All rights reserved.</t>
  </si>
  <si>
    <t>[Mack, Stefanie L.; Dinniman, Michael S.; Klinck, John M.] Old Dominion Univ, Ctr Coastal Phys Oceanog, Norfolk, VA 23529 USA; [McGillicuddy, Dennis J., Jr.] Woods Hole Oceanog Inst, Woods Hole, MA 02543 USA; [Sedwick, Peter N.] Old Dominion Univ, Dept Ocean Earth &amp; Atmospher Sci, Norfolk, VA 23529 USA; [Mack, Stefanie L.] Univ Washington, Appl Phys Lab, Seattle, WA 98105 USA</t>
  </si>
  <si>
    <t>Old Dominion University; Woods Hole Oceanographic Institution; Old Dominion University; University of Washington; University of Washington Seattle</t>
  </si>
  <si>
    <t>Mack, SL (corresponding author), Old Dominion Univ, Ctr Coastal Phys Oceanog, Norfolk, VA 23529 USA.;Mack, SL (corresponding author), Univ Washington, Appl Phys Lab, Seattle, WA 98105 USA.</t>
  </si>
  <si>
    <t>macksl@uw.edu</t>
  </si>
  <si>
    <t>Mack, Stefanie L/I-1592-2019</t>
  </si>
  <si>
    <t>Mack, Stefanie L/0000-0002-0995-9678; McGillicuddy, Dennis/0000-0002-1437-2425; Klinck, John/0000-0003-4312-5201; Sedwick, Peter/0000-0003-0663-8323; Dinniman, Michael/0000-0001-7519-9278</t>
  </si>
  <si>
    <t>NSF's Antarctic Research Program [ANT-0944174, ANT-0094165]; Turing High Performance Computing Cluster at Old Dominion University; Office of Polar Programs (OPP); Directorate For Geosciences [0944174] Funding Source: National Science Foundation</t>
  </si>
  <si>
    <t>NSF's Antarctic Research Program; Turing High Performance Computing Cluster at Old Dominion University; Office of Polar Programs (OPP); Directorate For Geosciences(National Science Foundation (NSF)NSF - Directorate for Geosciences (GEO))</t>
  </si>
  <si>
    <t>The data used in this paper are archived at the Biological and Chemical Oceanography Data Management Office: www.bco-dmo.org/project/2155. The authors acknowledge funding from NSF's Antarctic Research Program (ODU: ANT-0944174; WHOI: ANT-0094165), assistance from S. Howard and S. Springer in adding tidal forcing to the model, and support from members of the PRISM RS project. Thanks to two anonymous reviewers whose comments greatly improved this manuscript. This research was supported by the Turing High Performance Computing Cluster at Old Dominion University.</t>
  </si>
  <si>
    <t>10.1016/j.jmarsys.2016.10.008</t>
  </si>
  <si>
    <t>Green Submitted</t>
  </si>
  <si>
    <t>WOS:000391074300007</t>
  </si>
  <si>
    <t>Li, YZ; McGillicuddy, DJ; Dinniman, MS; Klinck, JM</t>
  </si>
  <si>
    <t>Li, Yizhen; McGillicuddy, Dennis J., Jr.; Dinniman, Michael S.; Klinck, John M.</t>
  </si>
  <si>
    <t>Processes influencing formation of low-salinity high-biomass lenses near the edge of the Ross Ice Shelf</t>
  </si>
  <si>
    <t>Eddies; Instability; Basal melting; Mixed layer processes; Ice shelf geometry</t>
  </si>
  <si>
    <t>SOUTHERN-OCEAN; BASAL MELT; DRIVEN CIRCULATION; SEA; SURFACE; ANTARCTICA; WIND; IRON; PHYTOPLANKTON; OCEANOGRAPHY</t>
  </si>
  <si>
    <t>Both remotely sensed and in situ observations in austral summer of early 2012 in the Ross Sea suggest the presence of cold, low-salinity, and high-biomass eddies along the edge of the Ross Ice Shelf (RIS). Satellite measurements include sea surface temperature and ocean color, and shipboard data sets include hydrographic profiles, towed instrumentation, and underway acoustic Doppler current profilers. Idealized model simulations are utilized to examine the processes responsible for ice shelf eddy formation. 3-D model simulations produce similar cold and fresh eddies, although the simulated vertical lenses are quantitatively thinner than observed. Model sensitivity tests show that both basal melting underneath the ice shelf and irregularity of the ice shelf edge facilitate generation of cold andfresh eddies. 2-D model simulations further suggest that both basal melting and downwelling-favorable winds play crucial roles in forming a thick layer of low-salinity water observed along the edge of the RIS. These properties may have been entrained into the observed eddies, whereas that entrainment process was not captured in the specific eddy formation events studied in our 3-D model which may explain the discrepancy between the simulated and observed eddies, at least in part. Additional sensitivity experiments imply that uncertainties associated with background stratification and wind stress may also explain why the model underestimates the thickness of the low-salinity lens in the eddy interiors. Our study highlights the importance of incorporating accurate wind forcirig, basal melting, and ice shelf irregularity for simulating eddy formation near the RIS edge. The processes responsible for generating the high phytoplankton biomass inside these eddies remain to be elucidated. (C) 2016 Elsevier B.V. All rights reserved.</t>
  </si>
  <si>
    <t>[Li, Yizhen; McGillicuddy, Dennis J., Jr.] Woods Hole Oceanog Inst, Dept Appl Ocean Phys &amp; Engn, Woods Hole, MA 02543 USA; [Dinniman, Michael S.; Klinck, John M.] Old Dominion Univ, Ctr Coastal Phys Oceanog, Norfolk, VA 23529 USA</t>
  </si>
  <si>
    <t>Woods Hole Oceanographic Institution; Old Dominion University</t>
  </si>
  <si>
    <t>Li, YZ (corresponding author), Woods Hole Oceanog Inst, Dept Appl Ocean Phys &amp; Engn, Woods Hole, MA 02543 USA.</t>
  </si>
  <si>
    <t>yzli@whoi.edu</t>
  </si>
  <si>
    <t>; Li, Yizhen/O-3869-2015</t>
  </si>
  <si>
    <t>Dinniman, Michael/0000-0001-7519-9278; Li, Yizhen/0000-0001-6565-1339; McGillicuddy, Dennis/0000-0002-1437-2425; Klinck, John/0000-0003-4312-5201</t>
  </si>
  <si>
    <t>National Science Foundation's United States Antarctic Program [0944165]; National Science Foundation; Woods Hole Oceanographic Institution; Dr. George D. Grice Postdoctoral Scholarship; Directorate For Geosciences; Office of Polar Programs (OPP) [0944174] Funding Source: National Science Foundation; Division Of Polar Programs; Directorate For Geosciences [0944165] Funding Source: National Science Foundation</t>
  </si>
  <si>
    <t>National Science Foundation's United States Antarctic Program; National Science Foundation(National Science Foundation (NSF)); Woods Hole Oceanographic Institution; Dr. George D. Grice Postdoctoral Scholarship; Directorate For Geosciences; Office of Polar Programs (OPP)(National Science Foundation (NSF)NSF - Directorate for Geosciences (GEO)); Division Of Polar Programs; Directorate For Geosciences(National Science Foundation (NSF)NSF - Directorate for Geosciences (GEO))</t>
  </si>
  <si>
    <t>The data used in this paper are archived at the Biological and Chemical Oceanography Data Management Office: http://www.bco-dmo.org/project/2155. Support of this research by the National Science Foundation's United States Antarctic Program (0944165) is gratefully acknowledged. We thank the officers, crew, and technical personnel on board the R/V Nathaniel B. Palmer for their outstanding support during our seagoing operations. O. Kosnyrev and V. Kosnyrev provided assistance with data analysis and figure preparation. YL thanks Drs. John Trowbridge, Jim Ledwell, and Weifeng Gordon Zhang for useful discussions on ocean mixing. YL also thanks Drs. Kenneth Brink and Steve Lentz for insights into instability processes that improved interpretation of the model results. We would also like to acknowledge high-performance computing [Yellowstone (ark:/85065/d7wd3xhc)] provided by NCAR's Computational and Information Systems Laboratory, sponsored by the National Science Foundation. MODIS level 2 satellite data and diffusion attenuation coefficient for downwelling irradiance at 490 nm were made publicly available by NASA Goddard Space Flight Center (http://modis.gsfc.nasa.gov/data/). Complete wind speed data in 2010-2014 at station VITO were kindly provided by Carol Costanza (carol.costanza@ssec.wisc.edu) at University of Wisconsin with addition input from Dr. Douglas MacAyeal (drm7@uchicago.edu) at Univesity of Chicago. Bedmap2 data is archived by British Antarctic Survey (http://nora.nerc.ac.uk/501469/). YL is supported by the Postdoctoral Scholarship Program at Woods Hole Oceanographic Institution, with funding provided by the Dr. George D. Grice Postdoctoral Scholarship.</t>
  </si>
  <si>
    <t>10.1016/j.jmarsys.2016.07.002</t>
  </si>
  <si>
    <t>Green Submitted, hybrid</t>
  </si>
  <si>
    <t>WOS:000391074300010</t>
  </si>
  <si>
    <t>Bochdansky, AB; Clouse, MA; Hansell, DA</t>
  </si>
  <si>
    <t>Bochdansky, Alexander B.; Clouse, Melissa A.; Hansell, Dennis A.</t>
  </si>
  <si>
    <t>Mesoscale and high-frequency variability of macroscopic particles (&gt;100 μm) in the Ross Sea and its relevance for late-season particulate carbon export</t>
  </si>
  <si>
    <t>Marine snow; Particulate flux; Patchiness; Spatial variations; Vertical distribution; Video particle profiler; Digital holographic microscope; Heterogeneity; Mesoscale variability; Phytoplankton; Zooplankton; Ross Sea; Antarctica</t>
  </si>
  <si>
    <t>VERTICAL-DISTRIBUTION; ORGANIC-MATTER; DIEL VARIATION; PLANKTON; IRON; ANTARCTICA; VELOCITY; DIATOMS; FLUX</t>
  </si>
  <si>
    <t>The Ross Sea plays a major role in the transfer of organic carbon from the surface into the deep sea due to the combination of high seasonal productivity and Antarctic bottom water formation. Here we present a particle inventory of the Ross Sea based on a combined deployment of a video particle profiler (VPP) and a high-resolution digital holographic microscope (DIHM). Long-distance (100 s of kilometers) and short-distance (10 s of kilometers) sections showed high variability of particle distributions that co-varied with the density structure of the water column. Particle export was apparent at sites of locally weakened pycnoclines, likely an indirect effect of nutrient mixing into the surface layer and local blooms that lead to export. Particle volume abundances at 200-300 m depth were highly correlated with particle volume abundances in the upper mixed layer (&lt;60 m), consistent with particles at depth primarily the result of export rather than lateral advection. Phaeocystis antarcrice (Haptophyta) colonies that were initially retained in the mixed layer sank below the euphotic zone within a period of two weeks. Fine-scale analysis at a resolution &lt; 1 m revealed a significantly overdispersed (i.e., highly patchy) environment in all casts. Patchiness, as determined by the Lloyd index of patchiness and the Index of Aggregation, increased in and below the pycnocline presumably due to aggregation of particles while accumulating on density gradients. In contrast, particles in the upper mixed layer and in the nepheloid layers were more randomly distributed. In 40 of the 84 VPP depth profiles, a periodicity of particle peaks ranged from 10 to 90 m with a mode of 30 m, which can be regarded as the relevant scale or characteristic patch size of the vertical distribution of particles. While chlorophyll fluorescence and particle mass determined by VPP were significantly correlated at higher particle abundances, the relationship changed from cast to cast, reflecting changes in the relative contribution of fresh phytoplankton to total particle mass. Particles that sank below the main pycnocline were composed of phytoplankton, marine snow with and without embedded phytoplankton, crustacean plankton, and a surprisingly high percentage of heterotrophic (and perhaps mixotrophic) protists, such as acantharians and tintinnids. (C) 2016 Elsevier B.V. All rights reserved.</t>
  </si>
  <si>
    <t>[Bochdansky, Alexander B.; Clouse, Melissa A.] Old Dominion Univ, Ocean Earth &amp; Atmospher Sci, Norfolk, VA 23529 USA; [Hansell, Dennis A.] Univ Miami, Dept Ocean Sci, Miami, FL USA</t>
  </si>
  <si>
    <t>Old Dominion University; University of Miami</t>
  </si>
  <si>
    <t>Bochdansky, AB (corresponding author), Old Dominion Univ, Ocean Earth &amp; Atmospher Sci, Norfolk, VA 23529 USA.</t>
  </si>
  <si>
    <t>abochdan@odu.edu</t>
  </si>
  <si>
    <t>Hansell, Dennis A./AAC-1271-2019</t>
  </si>
  <si>
    <t>Hansell, Dennis A./0000-0001-9275-3445</t>
  </si>
  <si>
    <t>National Science Foundation, Division of Polar Program [1142097, 1142117]; Directorate For Geosciences; Division Of Ocean Sciences [1436748] Funding Source: National Science Foundation; Directorate For Geosciences; Office of Polar Programs (OPP) [1142117] Funding Source: National Science Foundation; Directorate For Geosciences; Office of Polar Programs (OPP) [1142097] Funding Source: National Science Foundation</t>
  </si>
  <si>
    <t>National Science Foundation, Division of Polar Program(National Science Foundation (NSF)); Directorate For Geosciences; Division Of Ocean 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</si>
  <si>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We thank our co-Pls on this project Robert Dunbar, Jack DiTullio, and Monica Orellana. Cody Garrison helped with the deployment of the DIHM and the VPP. Martin Laan (Royal Netherlands Institute of Sea Research) greatly improved the electronics of the DIHM. We also thank the crew of the RVIB Nathaniel B Palmer and the Lockheed Martin Antarctic Support Contract team. This project was funded by the National Science Foundation, Division of Polar Program grants #1142097 to ABB and #1142117 to DAH.</t>
  </si>
  <si>
    <t>10.1016/j.jmarsys.2016.08.010</t>
  </si>
  <si>
    <t>WOS:000391074300011</t>
  </si>
  <si>
    <t>Leonori, I; De Felice, A; Canduci, G; Costantini, I; Biagiotti, I; Giuliani, G; Budillon, G</t>
  </si>
  <si>
    <t>Leonori, Iole; De Felice, Andrea; Canduci, Giovanni; Costantini, Ilaria; Biagiotti, Ilaria; Giuliani, Giordano; Budillon, Giorgio</t>
  </si>
  <si>
    <t>Krill distribution in relation to environmental parameters in mesoscale structures in the Ross Sea</t>
  </si>
  <si>
    <t>Krill; Acoustics; Ross Sea; Spatial distribution; Euphausia superba; Euphausia crystallorophias</t>
  </si>
  <si>
    <t>ANTARCTIC KRILL; EUPHAUSIA-SUPERBA; FREQUENCY-RESPONSE; TARGET STRENGTH; MINKE WHALES; ABUNDANCE; SOUTH; CRYSTALLOROPHIAS; PHYTOPLANKTON; VARIABILITY</t>
  </si>
  <si>
    <t>Krill, a key pelagic resource of the Antarctic food web, provides an important link between primary and secondary plankton production and top predators. Since krill abundance is a crucial factor in Antarctic ecosystem functioning, its monitoring supplies vital data. Acoustic surveys are an effective approach to estimating krill abundance. An acoustic survey was conducted in the western Ross Sea in January 2014-10 years after a similar survey by our team - to estimate krill abundance and biomass and monitor oceanographic conditions. Antarctic krill (Euphausia superba) was detected in the northern part of the western Ross Sea and dense swarms of ice krill (Euphausia crystallorophias) were found in its central coastal area. Data analysis revealed an inverse correlation between E. superba density and salinity in the water column, whereas a positive correlation was found between E. crystallorophias abundance and fluorescence; the latter relationship was confirmed in thematic maps of E. crystallorophias spatial distribution and fluorescence. Comparison of 2004 and 2014 biomass data showed a much greater abundance of both species in the more recent survey. (C) 2016 Elsevier B.V. All rights reserved.</t>
  </si>
  <si>
    <t>[Leonori, Iole; De Felice, Andrea; Canduci, Giovanni; Costantini, Ilaria; Biagiotti, Ilaria; Giuliani, Giordano] CNR Natl Res Council Italy, ISMAR Marine Sci Inst, Largo Fiera Pesca 1, I-60125 Ancona, Italy; [Budillon, Giorgio] Univ Napoli Parthenope, Dipartimento Sci &amp; Tecnol, Ctr Direz Isola, C4, I-80143 Naples, Italy</t>
  </si>
  <si>
    <t>Consiglio Nazionale delle Ricerche (CNR); Istituto di Scienze Marine (ISMAR-CNR); Parthenope University Naples</t>
  </si>
  <si>
    <t>Leonori, I (corresponding author), CNR ISMAR, Largo Fiera Pesca 1, I-60125 Ancona, Italy.</t>
  </si>
  <si>
    <t>i.leonori@ismar.cnr.it</t>
  </si>
  <si>
    <t>Leonori, Iole/AAD-7901-2020; De+Felice, Andrea/AHA-1500-2022; /P-7511-2018; Biagiotti, Ilaria/C-8893-2014</t>
  </si>
  <si>
    <t>Leonori, Iole/0000-0001-7673-1684; De+Felice, Andrea/0000-0002-0051-2052; /0000-0003-1991-1309; Biagiotti, Ilaria/0000-0002-5395-6896</t>
  </si>
  <si>
    <t>National Research Programme in Antarctica (PNRA) [PdR 2013/AN1.02]</t>
  </si>
  <si>
    <t>National Research Programme in Antarctica (PNRA)</t>
  </si>
  <si>
    <t>The authors acknowledge the Italian National Research Programme in Antarctica (PNRA) for the financial support of the acoustic survey in the Ross Sea (PdR 2013/AN1.02) and are grateful to the crew of R/V Italica for their help in carrying it out during the 29th Italian Expedition to Antarctica. Thanks also to Drs. Pierluigi Penna and Angelo Bonanno for their contribution to data acquisition.</t>
  </si>
  <si>
    <t>10.1016/j.jmarsys.2016.11.003</t>
  </si>
  <si>
    <t>WOS:000391074300014</t>
  </si>
  <si>
    <t>Picco, P; Schiano, ME; Pensieri, S; Bozzano, R</t>
  </si>
  <si>
    <t>Picco, Paola; Schiano, M. Elisabetta; Pensieri, Sara; Bozzano, Roberto</t>
  </si>
  <si>
    <t>Time-frequency analysis of migrating zooplankton in the Terra Nova Bay polynya (Ross Sea, Antarctica)</t>
  </si>
  <si>
    <t>ADCP; Polynya; Spectral analysis; Zooplankton migration; Antarctica; Ross Sea; Terra Nova Bay</t>
  </si>
  <si>
    <t>DOPPLER CURRENT PROFILER; EUPHAUSIA-CRYSTALLOROPHIAS; PLEURAGRAMMA-ANTARCTICUM; COMMUNITY STRUCTURE; FOOD-WEB; ABUNDANCE; BIOMASS; ICE; WATER; ADCP</t>
  </si>
  <si>
    <t>An upward-looking 150 kHz narrow-band Acoustic Doppler Current profiler was operated in Terra Nova Bay (Ross Sea, Antarctica) from 5 February 2000 to 16 January 2001 to monitor marine currents. The instrument sampled the upper 160 m of the water column with a time resolution of 1 h. Although the experimental setup was not specifically designed to assess zooplankton and fish distributions and behaviour, the Acoustic Doppler Current Profiler ancillary data provided useful information regarding the diel vertical migration of these acoustic targets. A time frequency analysis of the mean backscatter strength time series was conducted using a 240 h-wide window with a 1 day step. Assuming that the 24 h period peak is associated with zooplankton diet vertical migration, the amplitude of the power spectral energy on this band was extracted from each spectrum and the time series of amplitudes was analysed. The migration signal was very weak during summer, December to January, but was evident at the beginning and end of the polar night. Interestingly, the results indicated four migratory blooms, the first at the end of August and the others approximately every three weeks subsequently, ending at the end of October. The daily migration was found to have a good relation with the solar cycle, while it was apparently uncorrelated with the moon phase. Migration patterns in the upper and the lower ocean layers displayed significant differences. Due to the lack of contemporary in-situ net samples, the results are more qualitative than quantitative; nonetheless, they demonstrate the validity of the method to extract relevant information even when applied to data obtained from a non-devoted low-resolution system. This may be of particular interest in polar areas where it is difficult to perform continuous biological monitoring but where a long time series of Acoustic Doppler Current profiler data is available. (C) 2016 Elsevier B.V. All rights reserved.</t>
  </si>
  <si>
    <t>[Picco, Paola] Ist Idrog Marina, Passo Osservatorio 4, I-16134 Genoa, Italy; [Schiano, M. Elisabetta] Natl Res Council Italy, Inst Marine Sci, Via Marini 6, I-16149 Genoa, Italy; [Pensieri, Sara; Bozzano, Roberto] Natl Res Council Italy, Inst Intelligent Syst Automat, Via Marini 6, I-16149 Genoa, Italy</t>
  </si>
  <si>
    <t>Consiglio Nazionale delle Ricerche (CNR); Istituto di Scienze Marine (ISMAR-CNR); Consiglio Nazionale delle Ricerche (CNR); Istituto di Studi sui Sistemi Intelligenti per l'Automazione (ISSIA-CNR)</t>
  </si>
  <si>
    <t>Picco, P (corresponding author), Ist Idrog Marina, Passo Osservatorio 4, I-16134 Genoa, Italy.</t>
  </si>
  <si>
    <t>paola.picco@persociv.difesa.it</t>
  </si>
  <si>
    <t>Bozzano, Roberto/AAL-8735-2021; Pensieri, Sara/AAL-1889-2021</t>
  </si>
  <si>
    <t>Pensieri, Sara/0000-0002-7634-8543</t>
  </si>
  <si>
    <t>project Development and test of underwater acoustic methods for the remote monitoring of air-sea-ice interaction processes in polynya [PNRA 2010/A4.01]; Flagship Project RITMARE; Italian Research for the Sea; Italian Ministry of Education, University and Research within the National Research Program [CUP:B91J11000740001]</t>
  </si>
  <si>
    <t>project Development and test of underwater acoustic methods for the remote monitoring of air-sea-ice interaction processes in polynya; Flagship Project RITMARE; Italian Research for the Sea; Italian Ministry of Education, University and Research within the National Research Program(Ministry of Education, Universities and Research (MIUR))</t>
  </si>
  <si>
    <t>Methods for data analysis were tested in the framework of the project Development and test of underwater acoustic methods for the remote monitoring of air-sea-ice interaction processes in polynya, Contract PNRA 2010/A4.01. ADCP and CTD data were collected in the framework of the PNRA-CLIMA (Climatic Long-term Interactions for the Mass balance in Antarctic) Project. This work was also partially funded by the Flagship Project RITMARE, The Italian Research for the Sea, coordinated by the Italian National Research Council and funded by the Italian Ministry of Education, University and Research within the National Research Program 2011-2013 (CUP:B91J11000740001). The authors are grateful to Dr. Gabriele Buondonno (University of Rome) for useful discussions.</t>
  </si>
  <si>
    <t>10.1016/j.jmarsys.2016.07.010</t>
  </si>
  <si>
    <t>WOS:000391074300015</t>
  </si>
  <si>
    <t>Jones, RM; Smith, WO</t>
  </si>
  <si>
    <t>Jones, Randolph M.; Smith, Walker O., Jr.</t>
  </si>
  <si>
    <t>The influence of short-term events on the hydrographic and biological structure of the southwestern Ross Sea</t>
  </si>
  <si>
    <t>Mesoscale; Ross Sea,Antarctica; Winds; Chlorophyll; Mixed layers</t>
  </si>
  <si>
    <t>PARTICULATE ORGANIC-CARBON; PHYTOPLANKTON DYNAMICS; PHAEOCYSTIS-ANTARCTICA; OCEAN; ICE; VARIABILITY; PATTERNS; POLYNYA; BIOMASS; BLOOMS</t>
  </si>
  <si>
    <t>The Ross Sea continental shelf supports very high productivity and phytoplankton biomass. Conventional methods, including ship-based sampling, instrumented moorings, satellite imagery, and modelling, have illustrated the typical patterns of seasonal progression of the phytoplankton blooms. While variability in the Ross Sea is substantial over relatively large scales, our understanding of smaller scales of variability (on the order of a few hours or several kilometers) is limited. Utilizing data from an autonomous glider, we examined the mechanisms driving both the transitions between stages of the phytoplankton bloom and the short-term perturbations in chlorophyll concentrations. Three phases within the bloom were defined based on chlorophyll changes: an accumulation phase, a dissipation period, and a post-dissipation phase. Short-term perturbations in chlorophyll were repeatedly observed and correlated with wind speed. These chlorophyll perturbations were strongly influenced by the degree of temporal coupling between wind events and the depth of mixing, which varied among phases. Delays of 12-24 h between wind events and chlorophyll changes were observed during the accumulation phase, but shortened to 2-12 h in the dissipation phase. Furthermore, while physical factors contributed to the observed short-term reductions in biomass and the appearance of chlorophyll at depth throughout the study, we hypothesize that turbulence during the period of maximum biomass induced aggregate formation and led to rapid vertical flux. These results suggest that the small-scale, short-term physical perturbations may induce substantial vertical redistribution of biogenic material, which in turn can have significant biogeochemical impacts. (C) 2016 Elsevier B.V. All rights reserved.</t>
  </si>
  <si>
    <t>[Jones, Randolph M.; Smith, Walker O., Jr.] Virginia Inst Marine Sci, Coll William &amp; Mary, Gloucester Point, VA 23062 USA</t>
  </si>
  <si>
    <t>William &amp; Mary; Virginia Institute of Marine Science</t>
  </si>
  <si>
    <t>Smith, WO (corresponding author), Virginia Inst Marine Sci, Coll William &amp; Mary, Gloucester Point, VA 23062 USA.</t>
  </si>
  <si>
    <t>rjones7@gmail.com; wos@vims.edu</t>
  </si>
  <si>
    <t>National Science Foundation [ANT 1142174]; Office of Polar Programs (OPP); Directorate For Geosciences [1443258] Funding Source: National Science Foundation</t>
  </si>
  <si>
    <t>National Science Foundation(National Science Foundation (NSF)); Office of Polar Programs (OPP); Directorate For Geosciences(National Science Foundation (NSF)NSF - Directorate for Geosciences (GEO))</t>
  </si>
  <si>
    <t>This work was supported by a National Science Foundation grant (ANT 1142174 to WOS). Logistic support was provided by the United States Antarctic Program, Raytheon Polar Services, and the RVIB Nathaniel B. Palmer. We thank David Ainley, Vernon Asper, and Kevin Martin for programmatic guidance and glider support. This is VIMS contribution number 3586.</t>
  </si>
  <si>
    <t>10.1016/j.jmarsys.2016.09.006</t>
  </si>
  <si>
    <t>hybrid, Green Submitted</t>
  </si>
  <si>
    <t>WOS:000391074300016</t>
  </si>
  <si>
    <t>Ramos, M; Vieira, G; de Pablo, MA; Molina, A; Abramov, A; Goyanes, G</t>
  </si>
  <si>
    <t>Ramos, M.; Vieira, G.; de Pablo, M. A.; Molina, A.; Abramov, A.; Goyanes, G.</t>
  </si>
  <si>
    <t>Recent shallowing of the thaw depth at Crater Lake, Deception Island, Antarctica (2006-2014)</t>
  </si>
  <si>
    <t>CATENA</t>
  </si>
  <si>
    <t>Permafrost; Decreasing thaw depth; Active layer; Snow insulation; Antarctic peninsula</t>
  </si>
  <si>
    <t>GROUND SURFACE-TEMPERATURE; ACTIVE-LAYER THICKNESS; LIVINGSTON ISLAND; MARITIME ANTARCTICA; THERMAL REGIME; PERMAFROST; VARIABILITY; BALANCE</t>
  </si>
  <si>
    <t>The Western Antarctic Peninsula region is one of the hot spots of climate change and one of the most ecologically sensitive regions of Antarctica, where permafrost is near its climatic limits. The research was conducted in Deception Island, an active stratovolcano in the South Shetlands archipelago off the northern tip of the Antarctic Peninsula. The climate is polar oceanic, with high precipitation and mean annual air temperatures (MAAT) close to -3 degrees C. The soils are composed by ashes and pyroclasts with high porosity and high water content, with ice rich permafrost at -0.8 degrees C at the depth of zero annual amplitude, with an active layer of about 30 cm. Results from thaw depth, ground temperature and snow cover monitoring at the Crater Lake CALM-S site over the period 2006 to 2014 are analyzed. Thaw depth (TD) was measured by mechanical probing once per year in the end of January or early February in a 100 x 100 m with a 10 m spacing grid. The results show a trend for decreasing thaw depth from ci. 36 cm in 2006 to 23 cm in 2014, while MAAT, as well as ground temperatures at the base of the active layer, remained stable. However, the duration of the snow cover at the CALM-S site, measured through the Snow Pack Factor (SF) showed an increase from 2006 to 2014, especially with longer lasting snow cover in the spring and early summer. The negative correlation between SF and the thaw depth supports the significance of the influence of the increasing snow cover in thaw depth, even with no trend in the MAAT. The lack of observed ground cooling in the base of the active layer is probably linked to the high ice/water content at the transient layer. The pyroclastic soils of Deception Island, with high porosity, are key to the shallow active layer depths, when compared to other sites in the Western Antarctic Peninsula (WAP). These findings support the lack of linearity between atmospheric warming and permafrost warming and induce an extra complexity to the understanding of the effects of climate change in the ice-free areas of the WAP, especially in scenarios with increased precipitation as snow fall. (C) 2016 Elsevier B.V. All rights reserved.</t>
  </si>
  <si>
    <t>[Ramos, M.] Univ Alcala, Dept Math &amp; Phys, Madrid, Spain; [Vieira, G.] Univ Lisbon, Ctr Geog Studies IGOT, Lisbon, Portugal; [de Pablo, M. A.; Molina, A.] Univ Alcala, Dept Geol Geog &amp; Environm, Madrid, Spain; [Abramov, A.] Russian Acad Sci, Inst Geog, Moscow 117901, Russia; [Goyanes, G.] Univ Buenos Aires, Inst Estudios Andinos Don Pablo Groeber UBA CONIC, RA-1053 Buenos Aires, DF, Argentina</t>
  </si>
  <si>
    <t>Universidad de Alcala; Universidade de Lisboa; Universidad de Alcala; Russian Academy of Sciences; Institute of Geography, Russian Academy of Sciences; University of Buenos Aires</t>
  </si>
  <si>
    <t>Ramos, M (corresponding author), Univ Alcala, Dept Math &amp; Phys, Madrid, Spain.</t>
  </si>
  <si>
    <t>miguel.ramos@uah.es</t>
  </si>
  <si>
    <t>Molina, Antonio/AAE-1314-2020; De Pablo, Miguel Ángel/J-6442-2014; Vieira, Goncalo/G-5958-2010; Andrey, Abramov/AAL-5410-2020; Goyanes Díaz, Gabriel Alejandro/JXM-1643-2024; Ramos, Miguel/K-2230-2014; Abramov, Andrey/A-2705-2012</t>
  </si>
  <si>
    <t>Molina, Antonio/0000-0002-5038-2022; De Pablo, Miguel Ángel/0000-0002-4496-2741; Vieira, Goncalo/0000-0001-7611-3464; Goyanes Díaz, Gabriel Alejandro/0000-0001-5241-254X; Ramos, Miguel/0000-0003-3648-6818; Abramov, Andrey/0000-0002-3602-1159</t>
  </si>
  <si>
    <t>Spanish National Research Program [CONV-2015/001, CTM2014-50521-R, CTM2011-15565-E, CTM2009-10165]</t>
  </si>
  <si>
    <t>Spanish National Research Program(Spanish Government)</t>
  </si>
  <si>
    <t>Authors thank to the Spanish Polar Program, Unit of Marine Technology from Spanish National Research Council, as well as to the Spanish Army and Spanish Navy crews involved on Antarctic Campaigns for made possible the continuous data acquisition. Our special thanks to Gabriel de Castilla Spanish Antarctic Station. This research was possible thanks to financial support of PERMATHERMAL (CONV-2015/001), PERMASNOW (CTM2014-50521-R), ANTARPERMA (CTM2011-15565-E), and PERMAPLANET (CTM2009-10165) research projects from the Spanish National Research Program.</t>
  </si>
  <si>
    <t>0341-8162</t>
  </si>
  <si>
    <t>1872-6887</t>
  </si>
  <si>
    <t>Catena</t>
  </si>
  <si>
    <t>10.1016/j.catena.2016.07.019</t>
  </si>
  <si>
    <t>Geosciences, Multidisciplinary; Soil Science; Water Resources</t>
  </si>
  <si>
    <t>Geology; Agriculture; Water Resources</t>
  </si>
  <si>
    <t>EG0PE</t>
  </si>
  <si>
    <t>Green Accepted, Green Published</t>
  </si>
  <si>
    <t>WOS:000390733900002</t>
  </si>
  <si>
    <t>Correia, A; Oliva, M; Ruiz-Fernández, J</t>
  </si>
  <si>
    <t>Correia, Antonio; Oliva, Marc; Ruiz-Fernandez, Jesus</t>
  </si>
  <si>
    <t>Evaluation of frozen ground conditions along a coastal topographic gradient at Byers Peninsula (Livingston Island, Antarctica) by geophysical and geoecological methods</t>
  </si>
  <si>
    <t>Byers Peninsula; Maritime Antarctica; Geophysical surveying; Electrical resistivity tomography; Geomorphology; Permafrost</t>
  </si>
  <si>
    <t>SOUTH SHETLAND ISLANDS; ACTIVE-LAYER; THERMAL STATE; PERMAFROST; ECOSYSTEMS; BEACHES; LAND; SITE</t>
  </si>
  <si>
    <t>Geophysical surveying and geoelectrical methods are effective to study permafrost distribution and conditions in polar environments. Geoelectrical methods are particularly suited to study the spatial distribution of permafrost because of its high electrical resistivity in comparison with that of soil or rock above 0 degrees C. In the South Shetland Islands permafrost is considered to be discontinuous up to elevations of 20-40 m a.s.l., changing to continuous at higher altitudes. There are no specific data about the distribution of permafrost in Byers Peninsula, in Livingston Island, which is the largest ice-free area in the South Shetland Islands. With the purpose of better understanding the occurrence of permanent frozen conditions in this area, a geophysical survey using an electrical resistivity tomography (ERT) methodology was conducted during the January 2015 field season, combined with geomorphological and ecological studies. Three overlapping electrical resistivity tomographies of 78 m each were done along the same profile which ran from the coast to the highest raised beaches. The three electrical resistivity tomographies are combined in an electrical resistivity model which represents the distribution of the electrical resistivity of the ground to depths of about 13 m along 158 m. Several patches of high electrical resistivity were found, and interpreted as patches of sporadic permafrost. The lower limits of sporadic to discontinuous permafrost in the area are confirmed by the presence of permafrost-related landforms nearby. There is a close correspondence between moss patches and permafrost patches along the geoelectrical transect. (C) 2016 Elsevier B.V. All rights reserved.</t>
  </si>
  <si>
    <t>[Correia, Antonio] Univ Evora, Inst Earth Sci, Colegio Luis Antonio Verney,Rua Romao Ramalho,59, P-7002554 Evora, Portugal; [Correia, Antonio] Univ Evora, Dept Phys, Colegio Luis Antonio Verney,Rua Romao Ramalho,59, P-7002554 Evora, Portugal; [Oliva, Marc] Univ Lisbon, Ctr Geog Studies IGOT, Lisbon, Portugal; [Ruiz-Fernandez, Jesus] Univ Oviedo, Dept Geog, Oviedo, Spain</t>
  </si>
  <si>
    <t>University of Evora; University of Evora; Universidade de Lisboa; University of Oviedo</t>
  </si>
  <si>
    <t>Correia, A (corresponding author), Univ Evora, Inst Earth Sci, Colegio Luis Antonio Verney,Rua Romao Ramalho,59, P-7002554 Evora, Portugal.;Correia, A (corresponding author), Univ Evora, Dept Phys, Colegio Luis Antonio Verney,Rua Romao Ramalho,59, P-7002554 Evora, Portugal.</t>
  </si>
  <si>
    <t>correia@uevora.pt</t>
  </si>
  <si>
    <t>Correia, Antonio/B-2584-2014; Oliva, Marc/K-5423-2014</t>
  </si>
  <si>
    <t>Correia, Antonio/0000-0001-7317-2709; Oliva, Marc/0000-0001-6521-6388</t>
  </si>
  <si>
    <t>Portuguese Science Foundation [PTDC/CTE-GIX/119582/2010]; AXA Research Fund; Fundação para a Ciência e a Tecnologia [PTDC/CTE-GIX/119582/2010] Funding Source: FCT</t>
  </si>
  <si>
    <t>Portuguese Science Foundation(Fundacao para a Ciencia e a Tecnologia (FCT)); AXA Research Fund(AXA Research Fund); Fundação para a Ciência e a Tecnologia(Fundacao para a Ciencia e a Tecnologia (FCT))</t>
  </si>
  <si>
    <t>This research has been funded by the Portuguese Science Foundation (PTDC/CTE-GIX/119582/2010) through the research project HOLOANTAR (Holocene environmental change in the Maritime Antarctic. Interactions Between permafrost and the lacustrine environment) and the Portuguese Polar Program (PROPOLAR). We are grateful to the Chilean Antarctic Institute (INACH) for providing logistic support of field work activities. M. Oliva acknowledges the AXA Research Fund for funding his research activities in Antarctica. The authors also acknowledge and thank the comments and suggestions of Enrique Serrano, Carlos Schaefer, and Matt Strzelecki.</t>
  </si>
  <si>
    <t>10.1016/j.catena.2016.08.006</t>
  </si>
  <si>
    <t>Green Published</t>
  </si>
  <si>
    <t>WOS:000390733900003</t>
  </si>
  <si>
    <t>Schaefer, CEGR; Michel, RFM; Delpupo, C; Senra, EO; Bremer, UF; Bockheim, JG</t>
  </si>
  <si>
    <t>Schaefer, Carlos Ernesto G. R.; Michel, Roberto F. M.; Delpupo, Caroline; Senra, Eduardo O.; Bremer, Ulisses F.; Bockheim, James G.</t>
  </si>
  <si>
    <t>Active layer thermal monitoring of a Dry Valley of the Ellsworth Mountains, Continental Antarctica</t>
  </si>
  <si>
    <t>Active layer; Dry Valley; Ellsworth Mountains; Continental Antarctica</t>
  </si>
  <si>
    <t>PERMAFROST; TEMPERATURE; MOISTURE; SOILS; PATRIOT; REGIME; ALASKA</t>
  </si>
  <si>
    <t>The Ellsworth Mountains are located along the southern edge of the Ronne-Filchner Ice Shelf and are subdivided by the Minnesota Glacier into the Heritage Range to the east, and the Sentinel Range to the west (Figure 1). The climate of the Ellsworth Mountains is strongly controlled by proximity to the Ronne-Filchner Ice Shelf and elevation. The entire ice free area is underlain by continuous permafrost of unknown thickness, most in the form of dry permafrost. Active-layer depths in drift sheets of the Ellsworth Mountains range from 15 to 50 cm. Detailed knowledge on Antarctic permafrost is patchy, especially at the continent. Two adjacent active layer monitoring sites were installed at Mt. Dolence, Ellsworth Mountains, in the summer of 2012. Two dry-valley soils at Mt. Dolence area, on quartzite drift deposits were studied: (i) a convex-slope site exposed to the wind (Lithic Haplorthel 886 m asl, 5 cm, 10 cm, 30 cm); and a sheltered concave-slope site protected from winds (Lithic Anhyorthel 850 m asl, 5 cm, 10 cm, 30 cm). Data was recorded at hourly intervals from January 2nd 2012 until December 29th 2013. The soil climate temperature at 5 cm reaches a maximum daily mean in late December, reaching a minimum in mid July at both sites. Active layer thickness reaches a maximum of 48.4 cm at P1 on January 17th 2013 and 47.8 cm at P2 on January 7th 2012. The soil thermal regime at the dry valley of Mt. Dolence, Ellsworth Mountains is characteristic of cold desert affected by dry-frozen permafrost. Although air temperature does not reach elevated positive values, variations in soil temperature are intense, showing the soil's response to solar radiation. The origins of typical surface periglacial features and landform on the widespread Ellsworth drifts may be inherited from past events of warmer climates, since liquid water is unlikely to play any significant role under the present climate. (C) 2016 Elsevier B.V. All rights reserved.</t>
  </si>
  <si>
    <t>[Schaefer, Carlos Ernesto G. R.; Delpupo, Caroline; Senra, Eduardo O.] Univ Fed Vicosa, Dept Solos, Vicosa, MG, Brazil; [Michel, Roberto F. M.] Univ Estadual Santa Cruz, Dept Ciencias Agr &amp; Ambientais, Ilheus, Brazil; [Bremer, Ulisses F.] Univ Fed Rio Grande do Sul, Inst Geociencias, Porto Alegre, RS, Brazil; [Bockheim, James G.] Univ Wisconsin, Dept Soil Sci, Madison, WI 53706 USA</t>
  </si>
  <si>
    <t>Universidade Federal de Vicosa; Universidade Estadual de Santa Cruz; Universidade Federal do Rio Grande do Sul; University of Wisconsin System; University of Wisconsin Madison</t>
  </si>
  <si>
    <t>Michel, RFM (corresponding author), Univ Estadual Santa Cruz, Dept Ciencias Agr &amp; Ambientais, Ilheus, Brazil.</t>
  </si>
  <si>
    <t>carlos.schaefer@ufv.br; roberto@michel.com; caroldelpupo@yahoo.com.br; senra.eduardo@gmail.com; bremer@ufrgs.br; bockheim@wisc.edu</t>
  </si>
  <si>
    <t>Souza, Caroline Delpupo/L-7578-2017; Schaefer, Carlos Ernesto/AAY-4977-2020; Bremer, Ulisses Franz/AAT-8733-2021; Bremer, Ulisses F/D-3308-2013; Michel, Roberto Ferreira Machado/H-4578-2016</t>
  </si>
  <si>
    <t>Souza, Caroline Delpupo/0000-0001-5055-3963; Bremer, Ulisses Franz/0000-0003-0519-5807; Michel, Roberto Ferreira Machado/0000-0001-5951-4610</t>
  </si>
  <si>
    <t>CAPES; CNPq (MCTI/CNPq/FNDCT - Acao Transversal) [64/2013]</t>
  </si>
  <si>
    <t>CAPES(Coordenacao de Aperfeicoamento de Pessoal de Nivel Superior (CAPES)); CNPq (MCTI/CNPq/FNDCT - Acao Transversal)</t>
  </si>
  <si>
    <t>This study was funded by CAPES and CNPq (MCTI/CNPq/FNDCT - Acao Transversal no. 64/2013). This research is a contribution of the TERRANTAR Laboratory of the Brazilian National Science and Technology Institute for the Cryosphere (INCT Criosfera).</t>
  </si>
  <si>
    <t>10.1016/j.catena.2016.07.020</t>
  </si>
  <si>
    <t>WOS:000390733900010</t>
  </si>
  <si>
    <t>Otero, RA; Soto-Acuña, S; Rubilar-Rogers, D; Gutstein, CS</t>
  </si>
  <si>
    <t>Otero, Rodrigo A.; Soto-Acuna, Sergio; Rubilar-Rogers, David; Gutstein, Carolina S.</t>
  </si>
  <si>
    <t>Kaikaifilu hervei gen. et sp nov., a new large mosasaur (Squamata, Mosasauridae) from the upper Maastrichtian of Antarctica</t>
  </si>
  <si>
    <t>CRETACEOUS RESEARCH</t>
  </si>
  <si>
    <t>Marine reptiles; Mosasaurs; Upper Cretaceous; Marambio Island; Antarctic Peninsula</t>
  </si>
  <si>
    <t>FAMILY MOSASAURIDAE; MARINE REPTILES; SEYMOUR ISLAND; NORTH-ISLAND; PENINSULA; AMERICA; TURTLE; TEXAS; SKULL</t>
  </si>
  <si>
    <t>We present a large, fragmentary skull and the humerus of a mosasaur (Squamata, Mosasauroidea) recovered from upper Maastrichtian beds of the Lopez de Bertodano Formation in Marambio (=Seymour) Island, Antarctica. The material belongs to a large, adult individual with marked heterodonty as well as unusual humeral features. Different phylogenetic analyses returned the studied specimen within the Tylosaurinae, while the distinctive features of the skull and humerus allow distinguish it from the unique Antarctic known tylosaurine species, Taniwhasaurus antarcticus (Novas et al., 2002), as well as from other known Late Cretaceous mosasaurids from the Southern Hemisphere, thus, justifying the erection of a new taxon, Kaikaifilu hervei gen. et. sp. nov. The different dental types documented in the specimen studied have been previously recorded through isolated teeth from the same locality and were subsequently referred to several genera. This new find is relevant for assessing the previously known fragmentary records of Antarctic mosasaurids, suggesting that its local diversity could be more reduced than previously interpreted. The new material represents the youngest occurrence of tylosaurines in Antarctica. (C) 2016 Elsevier Ltd. All rights reserved.</t>
  </si>
  <si>
    <t>[Otero, Rodrigo A.; Soto-Acuna, Sergio; Gutstein, Carolina S.] Univ Chile, Fac Ciencias, Dept Biol, Lab Ontogenia &amp; Filogenia, Santiago 3425, Chile; [Soto-Acuna, Sergio; Rubilar-Rogers, David] Museo Nacl Hist Nat, Area Paleontol, Casilla 787, Santiago, Chile; [Gutstein, Carolina S.] Comis Patrimonio Nat, Consejo Monumentos Nacl, Vicuna Mackenna 84, Santiago, Chile</t>
  </si>
  <si>
    <t>Universidad de Chile</t>
  </si>
  <si>
    <t>Otero, RA (corresponding author), Univ Chile, Fac Ciencias, Dept Biol, Lab Ontogenia &amp; Filogenia, Santiago 3425, Chile.</t>
  </si>
  <si>
    <t>otero2112@gmail.com</t>
  </si>
  <si>
    <t>S. Gutstein, Carolina/AGO-2836-2022</t>
  </si>
  <si>
    <t>S. Gutstein, Carolina/0000-0002-0823-2434; Soto Acuna, Sergio/0000-0002-9311-9355; Otero, Rodrigo/0000-0002-3046-2973</t>
  </si>
  <si>
    <t>Antarctic Ring Fund (Anillos de Ciencia Antartica) [ACT-105]; Antarctic Ring Fund (Conicyt-Chile)</t>
  </si>
  <si>
    <t>Antarctic Ring Fund (Anillos de Ciencia Antartica); Antarctic Ring Fund (Conicyt-Chile)</t>
  </si>
  <si>
    <t>The authors were supported by the Antarctic Ring Fund (Anillos de Ciencia Antartica ACT-105, Conicyt-Chile, 2010-2013). Especial thanks to the Armada de Chile and the crew of the Icebreaker AP Almirante Oscar Viel, for the professional logistics and goodwill that made this field campaign possible. Thanks to J. Simes and M. Terezow (GNS, Wellington, New Zealand) for granting access to collections and to the specimens here compared, during May, 2013. F. Novas (Museo Argentino de Ciencias Naturales Bernardino Rivadavia, Buenos Aires, Argentina) is also acknowledged for allowing access to the holotype of Taniwhasaurus antarcticus. Special thanks to Dr. M.W. Caldwell (University of Alberta, Canada) and a second anonymous reviewer, for their reviews and very valuable comments that improved this paper.</t>
  </si>
  <si>
    <t>ACADEMIC PRESS LTD- ELSEVIER SCIENCE LTD</t>
  </si>
  <si>
    <t>24-28 OVAL RD, LONDON NW1 7DX, ENGLAND</t>
  </si>
  <si>
    <t>0195-6671</t>
  </si>
  <si>
    <t>1095-998X</t>
  </si>
  <si>
    <t>CRETACEOUS RES</t>
  </si>
  <si>
    <t>Cretac. Res.</t>
  </si>
  <si>
    <t>10.1016/j.cretres.2016.11.002</t>
  </si>
  <si>
    <t>Geology; Paleontology</t>
  </si>
  <si>
    <t>EF7NQ</t>
  </si>
  <si>
    <t>WOS:000390516700016</t>
  </si>
  <si>
    <t>Mazloumi, N; Burch, P; Fowler, AJ; Doubleday, ZA; Gillanders, BM</t>
  </si>
  <si>
    <t>Mazloumi, N.; Burch, P.; Fowler, A. J.; Doubleday, Z. A.; Gillanders, B. M.</t>
  </si>
  <si>
    <t>Determining climate-growth relationships in a temperate fish: A sclerochronological approach</t>
  </si>
  <si>
    <t>Generalized linear mixed models; Otolith chronology; King George whiting; Growth history; Climate change</t>
  </si>
  <si>
    <t>WHITING SILLAGINODES-PUNCTATA; MIXED EFFECTS MODELS; TEMPORAL VARIATION; OTOLITH GROWTH; AGE; PACIFIC; PATTERNS; RECRUITMENT; TOLERANCE; IMPACTS</t>
  </si>
  <si>
    <t>Otoliths of fish can provide long-term chronologies of growth. Differences in the width of the annual growth increments can reflect the effects of environmental variability on somatic growth rate. We used generalized linear mixed models (GLMM) to evaluate the influence, of region, sea surface temperature (SST), El Nino Southern Oscillation events, and recruitment on the otolith growth of King George whiting (Sillaginodes punctatus), a commercially and recreationally important fish species in southern Australia. Growth increment data spanned 25 years (1985-2010). The optimal model demonstrated that mean winter SST was negatively correlated to growth, and as the winter SST increased the average width of the growth increments declined. However, the temperature effect was very weak (r(2): 0.0006). There were no regional growth differences and recruitment was not correlated with growth. Understanding long-term temperature-growth relationships is crucial for disentangling the effects of climate change and other parameters on fish growth, and thus predicting how populations will change in the future. (C) 2016 Elsevier B.V. All rights reserved.</t>
  </si>
  <si>
    <t>[Mazloumi, N.; Doubleday, Z. A.; Gillanders, B. M.] Univ Adelaide, Southern Seas Ecol Labs, Sch Biol Sci, Adelaide, SA 5005, Australia; [Burch, P.] Univ Tasmania, Inst Marine &amp; Antarctic Studies, Kingston, Tas 7050, Australia; [Burch, P.] Australian Antarctic Div Dept Environm, Kingston, Tas 7050, Australia; [Fowler, A. J.] South Australian Res &amp; Dev Inst, Hamra Ave, West Beach, SA 5024, Australia</t>
  </si>
  <si>
    <t>University of Adelaide; University of Tasmania; Australian Antarctic Division; South Australian Research &amp; Development Institute (SARDI)</t>
  </si>
  <si>
    <t>Mazloumi, N (corresponding author), Sch Biol Sci, Southern Seas Ecol Labs, Darling Bldg DX 650 418, Adelaide, SA, Australia.</t>
  </si>
  <si>
    <t>nastaran.mazloumi@gmail.com</t>
  </si>
  <si>
    <t>Mazloumi, Nastaran/Y-5315-2019; Doubleday, Zoe/AAU-6278-2020; Doubleday, Zoe/N-9955-2013; Burch, Paul/GLU-8548-2022; Gillanders, Bronwyn/B-4218-2013; Burch, Paul/J-7641-2014</t>
  </si>
  <si>
    <t>Mazloumi, Nastaran/0000-0003-1702-1097; Doubleday, Zoe/0000-0003-0045-6377; Gillanders, Bronwyn/0000-0002-7680-2240; Burch, Paul/0000-0002-9853-462X</t>
  </si>
  <si>
    <t>University of Adelaide; Nature Foundation SA Inc; Australian Research Council [FT100100767, DP110100716]; Australian Research Council [FT100100767] Funding Source: Australian Research Council</t>
  </si>
  <si>
    <t>University of Adelaide; Nature Foundation SA Inc; Australian Research Council(Australian Research Council); Australian Research Council(Australian Research Council)</t>
  </si>
  <si>
    <t>The authors acknowledge an Adelaide Scholarship International from the University of Adelaide as well as funding from the Nature Foundation SA Inc, and the Australian Research Council (FT100100767, DP110100716). The authors also acknowledge the animal ethics committee (The University of Adelaide) approval relating to animal usage. William Jackson from the South Australian Research and Development Institute (SARDI) provided training on estimation of age, which is greatly acknowledged. The samples were from archived collections of otoliths and we are grateful to those who originally collected them and prepared them for age and growth research.</t>
  </si>
  <si>
    <t>10.1016/j.fishres.2016.10.012</t>
  </si>
  <si>
    <t>EF7FG</t>
  </si>
  <si>
    <t>WOS:000390494900032</t>
  </si>
  <si>
    <t>Swanger, KM; Lamp, JL; Winckler, G; Schaefer, JM; Marchant, DR</t>
  </si>
  <si>
    <t>Swanger, Kate M.; Lamp, Jennifer L.; Winckler, Gisela; Schaefer, Joerg M.; Marchant, David R.</t>
  </si>
  <si>
    <t>Glacier advance during Marine Isotope Stage 11 in the McMurdo Dry Valleys of Antarctica</t>
  </si>
  <si>
    <t>SCIENTIFIC REPORTS</t>
  </si>
  <si>
    <t>TAYLOR VALLEY; TRANSANTARCTIC-MOUNTAINS; COSMOGENIC HE-3; ROSS EMBAYMENT; CLIMATE-CHANGE; VICTORIA LAND; HOLOCENE; HISTORY; EROSION; ORIGIN</t>
  </si>
  <si>
    <t>We mapped six distinct glacial moraines alongside Stocking Glacier in the McMurdo Dry Valleys, Antarctica. Stocking Glacier is one of several alpine glaciers in the Dry Valleys fringed by multiple cold-based drop moraines. To determine the age of the outermost moraine, we collected 10 boulders of Ferrar Dolerite along the crest of the moraine and analyzed mineral separates of pyroxene for cosmogenic He-3. On the basis of these measurements, the exposure age for the outermost moraine is 391 +/- 35 ka. This represents the first documented advance of alpine glacier ice in the Dry Valleys during Marine Isotope Stage (MIS) 11. At this time, Stocking Glacier was similar to 20-30% larger than today. The cause of ice expansion is uncertain, but most likely it is related to increased atmospheric temperature and precipitation, associated with reduced ice extent in the nearby Ross Embayment. The data suggest complex local environmental response to warm climates in Antarctica and have implications for glacial response to Holocene warming. The study also demonstrates the potential for using alpine glacier chronologies in the Transantarctic Mountains as proxies for retreat of grounded glacier ice in the Ross Embayment.</t>
  </si>
  <si>
    <t>[Swanger, Kate M.] Univ Massachusetts, Dept Environm Earth &amp; Atmospher Sci, 1 Univ Ave, Lowell, MA 01854 USA; [Lamp, Jennifer L.; Winckler, Gisela; Schaefer, Joerg M.] Columbia Univ, Lamont Doherty Earth Observ, Earth Inst, Route 9W, Palisades, NY 10964 USA; [Lamp, Jennifer L.; Marchant, David R.] Boston Univ, Dept Earth &amp; Environm, 685 Commonwealth Ave, Boston, MA 02215 USA</t>
  </si>
  <si>
    <t>University of Massachusetts System; University of Massachusetts Lowell; Columbia University; Boston University</t>
  </si>
  <si>
    <t>Swanger, KM (corresponding author), Univ Massachusetts, Dept Environm Earth &amp; Atmospher Sci, 1 Univ Ave, Lowell, MA 01854 USA.</t>
  </si>
  <si>
    <t>Kate_Swanger@uml.edu</t>
  </si>
  <si>
    <t>U.S. National Science Foundation (NSF) [PLR-1043724, PLR-1043589, PLR-1043706, PLR-1341284, PLR-1246316]; Office of Polar Programs (OPP); Directorate For Geosciences [1341284] Funding Source: National Science Foundation</t>
  </si>
  <si>
    <t>U.S. National Science Foundation (NSF)(National Science Foundation (NSF)); Office of Polar Programs (OPP); Directorate For Geosciences(National Science Foundation (NSF)NSF - Directorate for Geosciences (GEO))</t>
  </si>
  <si>
    <t>This research was supported by the U.S. National Science Foundation (NSF) Antarctic Earth Sciences program under a collaborative award, PLR-1043724 to Swanger, PLR-1043589 Schaefer and PLR-1043706 Marchant, as well as PLR-1341284 to Swanger and PLR-1246316 to Marchant. We would like to thank Jennifer Whitten for her excellent assistance in the field, to everyone at McMurdo for providing us with the support necessary to complete our fieldwork, and Paul Morin and the Polar Geospatial Center for access to satellite imagery. We would also like to thank two anonymous reviewers for excellent comments that added accuracy and clarity to the manuscript.</t>
  </si>
  <si>
    <t>NATURE PORTFOLIO</t>
  </si>
  <si>
    <t>BERLIN</t>
  </si>
  <si>
    <t>HEIDELBERGER PLATZ 3, BERLIN, 14197, GERMANY</t>
  </si>
  <si>
    <t>2045-2322</t>
  </si>
  <si>
    <t>SCI REP-UK</t>
  </si>
  <si>
    <t>Sci Rep</t>
  </si>
  <si>
    <t>JAN 31</t>
  </si>
  <si>
    <t>10.1038/srep41433</t>
  </si>
  <si>
    <t>EJ1GM</t>
  </si>
  <si>
    <t>Green Published, gold</t>
  </si>
  <si>
    <t>WOS:000392958500001</t>
  </si>
  <si>
    <t>Gladstone, RM; Warner, RC; Galton-Fenzi, BK; Gagliardini, O; Zwinger, T; Greve, R</t>
  </si>
  <si>
    <t>Gladstone, Rupert Michael; Warner, Roland Charles; Galton-Fenzi, Benjamin Keith; Gagliardini, Olivier; Zwinger, Thomas; Greve, Ralf</t>
  </si>
  <si>
    <t>Marine ice sheet model performance depends on basal sliding physics and sub-shelf melting</t>
  </si>
  <si>
    <t>CRYOSPHERE</t>
  </si>
  <si>
    <t>FULL-STOKES MODEL; GROUNDING LINE; MISMIP; PARAMETERIZATION; RESOLUTION; FLOW; MESH</t>
  </si>
  <si>
    <t>Computer models are necessary for understanding and predicting marine ice sheet behaviour. However, there is uncertainty over implementation of physical processes at the ice base, both for grounded and floating glacial ice. Here we implement several sliding relations in a marine ice sheet flow-line model accounting for all stress components and demonstrate that model resolution requirements are strongly dependent on both the choice of basal sliding relation and the spatial distribution of ice shelf basal melting. Sliding relations that reduce the magnitude of the step change in basal drag from grounded ice to floating ice (where basal drag is set to zero) show reduced dependence on resolution compared to a commonly used relation, in which basal drag is purely a power law function of basal ice velocity. Sliding relations in which basal drag goes smoothly to zero as the grounding line is approached from inland (due to a physically motivated incorporation of effective pressure at the bed) provide further reduction in resolution dependence. A similar issue is found with the imposition of basal melt under the floating part of the ice shelf: melt parameterisations that reduce the abruptness of change in basal melting from grounded ice (where basal melt is set to zero) to floating ice provide improved convergence with resolution compared to parameterisations in which high melt occurs adjacent to the grounding line. Thus physical processes, such as sub-glacial outflow (which could cause high melt near the grounding line), impact on capability to simulate marine ice sheets. If there exists an abrupt change across the grounding line in either basal drag or basal melting, then high resolution will be required to solve the problem. However, the plausible combination of a physical dependency of basal drag on effective pressure, and the possibility of low ice shelf basal melt rates next to the grounding line, may mean that some marine ice sheet systems can be reliably simulated at a coarser resolution than currently thought necessary.</t>
  </si>
  <si>
    <t>[Gladstone, Rupert Michael] ETHZ, VAW, Zurich, Switzerland; [Gladstone, Rupert Michael; Warner, Roland Charles; Galton-Fenzi, Benjamin Keith] Univ Tasmania, Antarctic Climate &amp; Ecosyst Cooperat Res Ctr, Hobart, Tas, Australia; [Gladstone, Rupert Michael] Univ Lapland, Arctic Ctr, Rovaniemi, Finland; [Galton-Fenzi, Benjamin Keith] Australian Antarctic Div, Kingston, Tas, Australia; [Gagliardini, Olivier] Univ Grenoble Alpes, CNRS, IRD, IGE, F-38000 Grenoble, France; [Zwinger, Thomas] CSC IT Ctr Sci Ltd, Espoo, Finland; [Greve, Ralf] Hokkaido Univ, Inst Low Temp Sci, Sapporo, Hokkaido, Japan</t>
  </si>
  <si>
    <t>Swiss Federal Institutes of Technology Domain; ETH Zurich; University of Tasmania; Antarctic Climate &amp; Ecosystems Cooperative Research Centre (ACE CRC); University of Lapland; Australian Antarctic Division; Communaute Universite Grenoble Alpes; Universite Grenoble Alpes (UGA); Institut de Recherche pour le Developpement (IRD); Centre National de la Recherche Scientifique (CNRS); Finnish IT center for science; Hokkaido University</t>
  </si>
  <si>
    <t>Gladstone, RM (corresponding author), ETHZ, VAW, Zurich, Switzerland.;Gladstone, RM (corresponding author), Univ Tasmania, Antarctic Climate &amp; Ecosyst Cooperat Res Ctr, Hobart, Tas, Australia.;Gladstone, RM (corresponding author), Univ Lapland, Arctic Ctr, Rovaniemi, Finland.</t>
  </si>
  <si>
    <t>rupertgladstone1972@gmail.com</t>
  </si>
  <si>
    <t>Warner, Roland Charles/ISS-2485-2023; Gagliardini, Olivier/GQQ-1222-2022; Warner, Robert R./M-5342-2013; Greve, Ralf/G-2336-2010; Zwinger, Thomas/H-5163-2018; Gladstone, Rupert/C-1086-2013</t>
  </si>
  <si>
    <t>Warner, Roland Charles/0000-0002-9778-3544; Gagliardini, Olivier/0000-0001-9162-3518; Greve, Ralf/0000-0002-1341-4777; Zwinger, Thomas/0000-0003-3360-4401; Gladstone, Rupert/0000-0002-1582-3857; Galton-Fenzi, Benjamin Keith/0000-0003-1404-4103</t>
  </si>
  <si>
    <t>Australian Commonwealth Government; European Union [299035]; Academy of Finland [286587]; UTAS (University of Tasmania) Visiting Fellowship; JSPS (Japan Society for the Promotion of Science) [25241005]; Australian Government's Cooperative Research Centres Programme through the Antarctic Climate and Ecosystems Cooperative Research Centre (ACE CRC); Academy of Finland (AKA) [286587] Funding Source: Academy of Finland (AKA); Grants-in-Aid for Scientific Research [25241005] Funding Source: KAKEN</t>
  </si>
  <si>
    <t>Australian Commonwealth Government(Australian Government); European Union(European Union (EU)); Academy of Finland(Research Council of Finland); UTAS (University of Tasmania) Visiting Fellowship; JSPS (Japan Society for the Promotion of Science)(Ministry of Education, Culture, Sports, Science and Technology, Japan (MEXT)Japan Society for the Promotion of Science); Australian Government's Cooperative Research Centres Programme through the Antarctic Climate and Ecosystems Cooperative Research Centre (ACE CRC)(Australian GovernmentDepartment of Industry, Innovation and ScienceCooperative Research Centres (CRC) Programme); Academy of Finland (AKA)(Research Council of Finland); Grants-in-Aid for Scientific Research(Ministry of Education, Culture, Sports, Science and Technology, Japan (MEXT)Japan Society for the Promotion of ScienceGrants-in-Aid for Scientific Research (KAKENHI))</t>
  </si>
  <si>
    <t>The authors wish to thank Stephen Cornford and Bill Budd for useful discussions about the simulations. The authors wish to acknowledge CSC - IT Centre for Science, Finland, for computational resources. This research utilised the NCI National Facility in Canberra, Australia, which is supported by the Australian Commonwealth Government. Rupert Gladstone was funded from the European Union Seventh Framework Programme (FP7/2007-2013) under grant agreement number 299035. This research was supported in part by Academy of Finland grant number 286587. Ralf Greve was supported by a UTAS (University of Tasmania) Visiting Fellowship (September-December 2014), and by a JSPS (Japan Society for the Promotion of Science) Grant-in-Aid for Scientific Research A (no. 25241005). This work was supported in part by the Australian Government's Cooperative Research Centres Programme through the Antarctic Climate and Ecosystems Cooperative Research Centre (ACE CRC).</t>
  </si>
  <si>
    <t>COPERNICUS GESELLSCHAFT MBH</t>
  </si>
  <si>
    <t>GOTTINGEN</t>
  </si>
  <si>
    <t>BAHNHOFSALLEE 1E, GOTTINGEN, 37081, GERMANY</t>
  </si>
  <si>
    <t>1994-0416</t>
  </si>
  <si>
    <t>1994-0424</t>
  </si>
  <si>
    <t>Cryosphere</t>
  </si>
  <si>
    <t>10.5194/tc-11-319-2017</t>
  </si>
  <si>
    <t>Geography, Physical; Geosciences, Multidisciplinary</t>
  </si>
  <si>
    <t>Physical Geography; Geology</t>
  </si>
  <si>
    <t>EM1NR</t>
  </si>
  <si>
    <t>Green Submitted, gold, Green Accepted, Green Published</t>
  </si>
  <si>
    <t>WOS:000395084800001</t>
  </si>
  <si>
    <t>Min, BS; Seo, JE; Grischenko, AV; Gordon, DP</t>
  </si>
  <si>
    <t>Min, Bum Sik; Seo, Ji Eun; Grischenko, Andrei V.; Gordon, Dennis P.</t>
  </si>
  <si>
    <t>Intertidal Bryozoa from Korea-new additions to the fauna and a new genus of Bitectiporidae (Cheilostomata) from Baengnyeong Island, Yellow Sea</t>
  </si>
  <si>
    <t>ZOOTAXA</t>
  </si>
  <si>
    <t>Korea; intertidal; Bryozoa; new records; new taxa</t>
  </si>
  <si>
    <t>ASCOPHORA; WATERS</t>
  </si>
  <si>
    <t>Eight species are added to the intertidal bryozoan fauna of South Korea, all collected from the extreme northwestern part of the country at Baengnyeong Island. Five of the species (Hippothoa imperforata, Celleporella hyalina, Celleporella no-dasakae, Porella donoghueorum and Suhius rubescentis) are new records. Cauloramphus dicki n. sp., Cauloramphus spencerjonesae n. sp., and Exochella cryptodontia n. sp. are new to science; Suhius n. gen. is a newly recognized genus in Bitectiporidae. The close morphological similarity of umbonuloid-shielded P. donoghueorum to Australasian and Antarctic species of lepralioid-shielded species of Aimulosia is discussed in relation to ascophoran phylogeny. The described cheilostome fauna from South Korea is herein increased to 121 species.</t>
  </si>
  <si>
    <t>[Min, Bum Sik] Univ Suwon, Dept Life Sci, Hwaseong 18323, South Korea; [Seo, Ji Eun] Woosuk Univ, Dept Ecobiol Sci, Jincheon 27841, South Korea; [Grischenko, Andrei V.] Perm State Natl Res Univ, Fac Biol, Dept Invertebrate Zool &amp; Aquat Ecol, Bukirev St 15, Perm 614990, Russia; [Gordon, Dennis P.] Natl Inst Water &amp; Atmospher Res, Wellington, New Zealand</t>
  </si>
  <si>
    <t>Suwon University; Woosuk University; Perm State University; National Institute of Water &amp; Atmospheric Research (NIWA) - New Zealand</t>
  </si>
  <si>
    <t>Gordon, DP (corresponding author), Natl Inst Water &amp; Atmospher Res, Wellington, New Zealand.</t>
  </si>
  <si>
    <t>minbumsik@nate.com; jeseo@woosuk.ac.kr; gat1971@mail.ru; dennis.gordon@niwa.co.nz</t>
  </si>
  <si>
    <t>Grischenko, Andrei/AAU-9588-2021</t>
  </si>
  <si>
    <t>Grischenko, Andrei/0000-0002-3883-7266</t>
  </si>
  <si>
    <t>National Institute of Biological Resources (NIBR) - Ministry of Environment (MOE) of the Republic of Korea [NIBR20151201]; Marine Biotechnology Program (MBRBK) - Ministry of Oceans and Fisheries, Korea [PJT200696]; Ministry of Education and Science of the Russian Federation [3487]; MBRBK</t>
  </si>
  <si>
    <t>National Institute of Biological Resources (NIBR) - Ministry of Environment (MOE) of the Republic of Korea; Marine Biotechnology Program (MBRBK) - Ministry of Oceans and Fisheries, Korea; Ministry of Education and Science of the Russian Federation(Ministry of Education and Science, Russian Federation); MBRBK</t>
  </si>
  <si>
    <t>This work was supported by a grant from the National Institute of Biological Resources (NIBR), funded by the Ministry of Environment (MOE) of the Republic of Korea (NIBR20151201), and Marine Biotechnology Program (PJT200696, MBRBK) funded by Ministry of Oceans and Fisheries, Korea. Andrei Grischenko was also partly supported by the Ministry of Education and Science of the Russian Federation (basic part, project No. 3487 to A.V.Grischenko). Dennis Gordon's visit was supported through MBRBK. Matt Dick (Hokkaido University) provided valuable information about the two species of Cauloramphus described herein and Mary Spencer Jones (Natural History Museum, London) sent SEM images of a related species. Two referees kindly provided very helpful remarks that improved the manuscript.</t>
  </si>
  <si>
    <t>MAGNOLIA PRESS</t>
  </si>
  <si>
    <t>AUCKLAND</t>
  </si>
  <si>
    <t>PO BOX 41383, AUCKLAND, ST LUKES 1030, NEW ZEALAND</t>
  </si>
  <si>
    <t>1175-5326</t>
  </si>
  <si>
    <t>1175-5334</t>
  </si>
  <si>
    <t>Zootaxa</t>
  </si>
  <si>
    <t>10.11646/zootaxa.4226.4.1</t>
  </si>
  <si>
    <t>Zoology</t>
  </si>
  <si>
    <t>EK1CQ</t>
  </si>
  <si>
    <t>WOS:000393663800001</t>
  </si>
  <si>
    <t>Lyons, WB; Bullen, TD; Welch, KA</t>
  </si>
  <si>
    <t>Lyons, W. Berry; Bullen, Thomas D.; Welch, Kathleen A.</t>
  </si>
  <si>
    <t>Ca isotopic geochemistry of an Antarctic aquatic system</t>
  </si>
  <si>
    <t>GEOPHYSICAL RESEARCH LETTERS</t>
  </si>
  <si>
    <t>McMurdo Dry Valleys; polar desert; Ca isotopes; chemical weathering; geochemistry</t>
  </si>
  <si>
    <t>MCMURDO DRY VALLEYS; TAYLOR VALLEY; LAKE HOARE; VICTORIA LAND; STREAMS; CALCIUM; FRACTIONATION; EVOLUTION; FRYXELL; WATER</t>
  </si>
  <si>
    <t>The McMurdo Dry Valleys, Antarctica, are a polar desert ecosystem. The hydrologic system of the dry valleys is linked to climate with ephemeral streams that flow from glacial melt during the austral summer. Past climate variations have strongly influenced the closed-basin, chemically stratified lakes on the valley floor. Results of previous work point to important roles for both in-stream processes (e.g., mineral weathering, precipitation and dissolution of salts) and in-lake processes (e.g., mixing with paleo-seawater and calcite precipitation) in determining the geochemistry of these lakes. These processes have a significant influence on calcium (Ca) biogeochemistry in this aquatic ecosystem, and thus variations in Ca stable isotope compositions of the waters can aid in validating the importance of these processes. We have analyzed the Ca stable isotope compositions of streams and lakes in the McMurdo Dry Valleys. The results validate the important roles of weathering of aluminosilicate minerals and/or CaCO3 in the hyporheic zone of the streams, and mixing of lake surface water with paleo-seawater and precipitation of Ca-salts during cryo-concentration events to form the deep lake waters. The lakes in the McMurdo Dry Valleys evolved following different geochemical pathways, evidenced by their unique, nonsystematic Ca isotope signatures.</t>
  </si>
  <si>
    <t>[Lyons, W. Berry; Welch, Kathleen A.] Ohio State Univ, Sch Earth Sci, Columbus, OH 43210 USA; [Lyons, W. Berry; Welch, Kathleen A.] Ohio State Univ, Byrd Polar &amp; Climate Res Ctr, Columbus, OH 43210 USA; [Bullen, Thomas D.] US Geol Survey, Water Miss Area, 345 Middlefield Rd, Menlo Pk, CA 94025 USA</t>
  </si>
  <si>
    <t>University System of Ohio; Ohio State University; University System of Ohio; Ohio State University; United States Department of the Interior; United States Geological Survey</t>
  </si>
  <si>
    <t>Lyons, WB (corresponding author), Ohio State Univ, Sch Earth Sci, Columbus, OH 43210 USA.;Lyons, WB (corresponding author), Ohio State Univ, Byrd Polar &amp; Climate Res Ctr, Columbus, OH 43210 USA.</t>
  </si>
  <si>
    <t>lyons.142@osu.edu</t>
  </si>
  <si>
    <t>Welch, Kathleen/0000-0003-1028-3086; Bullen, Thomas/0000-0003-2281-1691</t>
  </si>
  <si>
    <t>NSF grant OPP [ANT-1115245]; National Research Program of the USGS Water Mission Area; Office of Polar Programs (OPP); Directorate For Geosciences [1115245] Funding Source: National Science Foundation</t>
  </si>
  <si>
    <t>NSF grant OPP; National Research Program of the USGS Water Mission Area; Office of Polar Programs (OPP); Directorate For Geosciences(National Science Foundation (NSF)NSF - Directorate for Geosciences (GEO))</t>
  </si>
  <si>
    <t>We are grateful to our many MCM-LTER colleagues, especially John Priscu, Diane McKnight, Amy Chiuchiolo, and the limno team and stream team members for the collection and processing of these samples. This work was supported in part through NSF grant OPP ANT-1115245. The long-term chemistry data from the McMurdo Dry Valley stream and lakes can be found at http://www.mcmlter.org/. This is Byrd Polar and Climate Research Center contribution 1561. T.D. B. acknowledges the support of the National Research Program of the USGS Water Mission Area.</t>
  </si>
  <si>
    <t>AMER GEOPHYSICAL UNION</t>
  </si>
  <si>
    <t>2000 FLORIDA AVE NW, WASHINGTON, DC 20009 USA</t>
  </si>
  <si>
    <t>0094-8276</t>
  </si>
  <si>
    <t>1944-8007</t>
  </si>
  <si>
    <t>GEOPHYS RES LETT</t>
  </si>
  <si>
    <t>Geophys. Res. Lett.</t>
  </si>
  <si>
    <t>JAN 28</t>
  </si>
  <si>
    <t>10.1002/2016GL071169</t>
  </si>
  <si>
    <t>Geosciences, Multidisciplinary</t>
  </si>
  <si>
    <t>Geology</t>
  </si>
  <si>
    <t>EM9SY</t>
  </si>
  <si>
    <t>Bronze</t>
  </si>
  <si>
    <t>WOS:000395652600034</t>
  </si>
  <si>
    <t>Lee, JE; Shen, A; Fox-Kemper, B; Ming, Y</t>
  </si>
  <si>
    <t>Lee, Jung-Eun; Shen, Aaron; Fox-Kemper, Baylor; Ming, Yi</t>
  </si>
  <si>
    <t>Hemispheric sea ice distribution sets the glacial tempo</t>
  </si>
  <si>
    <t>glacial cycle; sea ice; mid-Pleistocene transition</t>
  </si>
  <si>
    <t>ANTARCTIC CLIMATE; OCEAN; MILANKOVITCH; TEMPERATURE; CYCLES; LINKS</t>
  </si>
  <si>
    <t>The proxy record of global temperature shows that the dominant periodicity of the glacial cycle shifts from 40kyr (obliquity) to 100kyr (eccentricity) about a million years ago. Using climate model simulations, here we show that the pace of the glacial cycle depends on the pattern of hemispheric sea ice growth. In a cold climate the sea ice grows asymmetrically between two hemispheres under changes to Earth's orbital precession, because sea ice growth potential outside of the Arctic Circle is limited. This difference in hemispheric sea ice growth leads to an asymmetry in absorbed solar energy for the two hemispheres, particularly when eccentricity is high, even if the annual average insolation is similar. In a warmer climate, the hemispheric asymmetry of the sea ice decreases as mean Arctic and Antarctic sea ice decreases, diminishing the precession and eccentricity signals and explaining the dominant obliquity signal (40kyr) before the mid-Pleistocene transition.</t>
  </si>
  <si>
    <t>[Lee, Jung-Eun; Fox-Kemper, Baylor] Brown Univ, Dept Earth Environm &amp; Planetary Sci, Providence, RI 02912 USA; [Shen, Aaron] Brown Univ, Ctr Computat &amp; Visualizat, Providence, RI 02912 USA; [Ming, Yi] Geophys Fluid Dynam Lab, Princeton, NJ USA</t>
  </si>
  <si>
    <t>Brown University; Brown University; National Oceanic Atmospheric Admin (NOAA) - USA</t>
  </si>
  <si>
    <t>Lee, JE (corresponding author), Brown Univ, Dept Earth Environm &amp; Planetary Sci, Providence, RI 02912 USA.</t>
  </si>
  <si>
    <t>leeje@brown.edu</t>
  </si>
  <si>
    <t>Fox-Kemper, Baylor/A-1159-2007; Ming, Yi/F-3023-2012</t>
  </si>
  <si>
    <t>Fox-Kemper, Baylor/0000-0002-2871-2048; Lee, Jung-Eun/0000-0003-4775-7943; Ming, Yi/0000-0002-5324-1305</t>
  </si>
  <si>
    <t>NSF [1415464]; Directorate For Geosciences; Division Of Earth Sciences [1415464] Funding Source: National Science Foundation; Division Of Ocean Sciences; Directorate For Geosciences [1245944] Funding Source: National Science Foundation</t>
  </si>
  <si>
    <t>NSF(National Science Foundation (NSF)); Directorate For Geosciences; Division Of Earth Sciences(National Science Foundation (NSF)NSF - Directorate for Geosciences (GEO)); Division Of Ocean Sciences; Directorate For Geosciences(National Science Foundation (NSF)NSF - Directorate for Geosciences (GEO))</t>
  </si>
  <si>
    <t>J.E.L. acknowledges that J. Bishop suggested the title. J.E.L. thanks I. Fung, T. Schneider, M. Raymo, P. Huybers, and an anonymous reviewer for their helpful discussion on the earlier version of the manuscript. Sea ice data are from Hadley Centre Sea Ice and Sea Surface Temperature data set (http://www.metoffice.gov.uk/hadobs/hadisst/) [Rayner, 2003]. The study was funded by NSF 1415464, and the runs were performed on Gaia at NOAA GFDL.</t>
  </si>
  <si>
    <t>10.1002/2016GL071307</t>
  </si>
  <si>
    <t>WOS:000395652600048</t>
  </si>
  <si>
    <t>Bernales, J; Rogozhina, I; Greve, R; Thomas, M</t>
  </si>
  <si>
    <t>Bernales, Jorge; Rogozhina, Irina; Greve, Ralf; Thomas, Maik</t>
  </si>
  <si>
    <t>Comparison of hybrid schemes for the combination of shallow approximations in numerical simulations of the Antarctic Ice Sheet</t>
  </si>
  <si>
    <t>BASAL CONDITIONS; WEST ANTARCTICA; MODEL; FLOW; SURFACE; STREAM; PERFORMANCE; GLACIERS; SENSITIVITY; SATELLITE</t>
  </si>
  <si>
    <t>The shallow ice approximation (SIA) is commonly used in ice-sheet models to simplify the force balance equations within the ice. However, the SIA cannot adequately reproduce the dynamics of the fast flowing ice streams usually found at the margins of ice sheets. To overcome this limitation, recent studies have introduced heuristic hybrid combinations of the SIA and the shelfy stream approximation. Here, we implement four different hybrid schemes into a model of the Antarctic Ice Sheet in order to compare their performance under present-day conditions. For each scheme, the model is calibrated using an iterative technique to infer the spatial variability in basal sliding parameters. Model results are validated against topographic and velocity data. Our analysis shows that the iterative technique compensates for the differences between the schemes, producing similar ice-sheet configurations through quantitatively different results of the sliding coefficient calibration. Despite this we observe a robust agreement in the reconstructed patterns of basal sliding parameters. We exchange the calibrated sliding parameter distributions between the schemes to demonstrate that the results of the model calibration cannot be straightforwardly transferred to models based on different approximations of ice dynamics. However, easily adaptable calibration techniques for the potential distribution of basal sliding coefficients can be implemented into ice models to overcome such incompatibility, as shown in this study.</t>
  </si>
  <si>
    <t>[Bernales, Jorge; Rogozhina, Irina; Thomas, Maik] GFZ German Res Ctr Geosci, Sect 3 Earth Syst Modelling, Potsdam, Germany; [Bernales, Jorge; Thomas, Maik] Free Univ Berlin, Inst Meteorol, Berlin, Germany; [Rogozhina, Irina] Univ Bremen, MARUM Ctr Marine Environm Sci, Bremen, Germany; [Greve, Ralf] Hokkaido Univ, Inst Low Temp Sci, Sapporo, Hokkaido, Japan</t>
  </si>
  <si>
    <t>Helmholtz Association; Helmholtz-Center Potsdam GFZ German Research Center for Geosciences; Free University of Berlin; University of Bremen; Hokkaido University</t>
  </si>
  <si>
    <t>Bernales, J (corresponding author), GFZ German Res Ctr Geosci, Sect 3 Earth Syst Modelling, Potsdam, Germany.</t>
  </si>
  <si>
    <t>bernales@gfz-potsdam.de</t>
  </si>
  <si>
    <t>Rogozhina, Irina/L-4805-2017; Rogozhina, Irina/JFK-1968-2023; Greve, Ralf/G-2336-2010</t>
  </si>
  <si>
    <t>Rogozhina, Irina/0009-0008-5067-080X; Greve, Ralf/0000-0002-1341-4777</t>
  </si>
  <si>
    <t>Helmholtz graduate research school GeoSim; BMBF German Climate Modeling Initiative PalMod; Japan Society for the Promotion of Science (JSPS) [25241005, 16H02224]; Japanese Ministry of Education, Culture, Sports, Science and Technology (MEXT); Grants-in-Aid for Scientific Research [16H02224] Funding Source: KAKEN</t>
  </si>
  <si>
    <t>Helmholtz graduate research school GeoSim; BMBF German Climate Modeling Initiative PalMod; Japan Society for the Promotion of Science (JSPS)(Ministry of Education, Culture, Sports, Science and Technology, Japan (MEXT)Japan Society for the Promotion of Science); Japanese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</si>
  <si>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We thank F. Pattyn and two anonymous referees for their very constructive comments that helped to improve this paper considerably. This work has been funded by the Helmholtz graduate research school GeoSim. IR was supported by the BMBF German Climate Modeling Initiative PalMod. RG was supported by grant-in-aid for scientific research A (nos. 25241005 and 16H02224) of the Japan Society for the Promotion of Science (JSPS) and by the Arctic Challenge for Sustainability (ArCS) project of the Japanese Ministry of Education, Culture, Sports, Science and Technology (MEXT). The simulations were performed on the GFZ Linux Cluster GLIC. This study utilises data from the regional atmospheric climate model RACMO2.3.</t>
  </si>
  <si>
    <t>JAN 27</t>
  </si>
  <si>
    <t>10.5194/tc-11-247-2017</t>
  </si>
  <si>
    <t>EM2YF</t>
  </si>
  <si>
    <t>Green Submitted, gold, Green Accepted</t>
  </si>
  <si>
    <t>WOS:000395181000003</t>
  </si>
  <si>
    <t>Dale, ER; McDonald, AJ; Coggins, JHJ; Rack, W</t>
  </si>
  <si>
    <t>Dale, Ethan R.; McDonald, Adrian J.; Coggins, Jack H. J.; Rack, Wolfgang</t>
  </si>
  <si>
    <t>Atmospheric forcing of sea ice anomalies in the Ross Sea polynya region</t>
  </si>
  <si>
    <t>SHELF; VARIABILITY; MAPS</t>
  </si>
  <si>
    <t>We investigate the impacts of strong wind events on the sea ice concentration within the Ross Sea polynya (RSP), which may have consequences on sea ice formation. Bootstrap sea ice concentration (SIC) measurements derived from satellite SSM/I brightness temperatures are correlated with surface winds and temperatures from Ross Ice Shelf automatic weather stations (AWSs) and weather models (ERA-Interim). Daily data in the austral winter period were used to classify characteristic weather regimes based on the percentiles of wind speed. For each regime a composite of a SIC anomaly was formed for the entire Ross Sea region and we found that persistent weak winds near the edge of the Ross Ice Shelf are generally associated with positive SIC anomalies in the Ross Sea polynya and vice versa. By analyzing sea ice motion vectors derived from the SSM/I brightness temperatures we find significant sea ice motion anomalies throughout the Ross Sea during strong wind events, which persist for several days after a strong wind event has ended. Strong, negative correlations are found between SIC and AWS wind speed within the RSP indicating that strong winds cause significant advection of sea ice in the region. We were able to partially recreate these correlations using colocated, modeled ERA-Interim wind speeds. However, large AWS and model differences are observed in the vicinity of Ross Island, where ERA-Interim underestimates wind speeds by a factor of 1.7 resulting in a significant misrepresentation of RSP processes in this area based on model data. Thus, the cross-correlation functions produced by compositing based on ERA-Interim wind speeds differed significantly from those produced with AWS wind speeds. In general the rapid decrease in SIC during a strong wind event is followed by a more gradual recovery in SIC. The SIC recovery continues over a time period greater than the average persistence of strong wind events and sea ice motion anomalies. This suggests that sea ice recovery occurs through thermodynamic rather than dynamic processes.</t>
  </si>
  <si>
    <t>[Dale, Ethan R.; McDonald, Adrian J.; Coggins, Jack H. J.] Univ Canterbury, Dept Phys &amp; Astron, Christchurch, New Zealand; [Dale, Ethan R.; Rack, Wolfgang] Univ Canterbury, Gateway Antarct, Christchurch, New Zealand</t>
  </si>
  <si>
    <t>University of Canterbury; University of Canterbury</t>
  </si>
  <si>
    <t>Dale, ER (corresponding author), Univ Canterbury, Dept Phys &amp; Astron, Christchurch, New Zealand.</t>
  </si>
  <si>
    <t>ethan.dale@pg.canterbury.ac.nz</t>
  </si>
  <si>
    <t>; Rack, Wolfgang/U-8898-2017</t>
  </si>
  <si>
    <t>Dale, Ethan/0000-0003-2101-7795; Rack, Wolfgang/0000-0003-2447-377X</t>
  </si>
  <si>
    <t>NSF [ANT-0944018, ANT-1245663, ANT-0943952, ANT-1245737]; New Zealand Antarctic Research Institute; Department of Physics and Astronomy at the University of Canterbury; NZ Post</t>
  </si>
  <si>
    <t>NSF(National Science Foundation (NSF)); New Zealand Antarctic Research Institute; Department of Physics and Astronomy at the University of Canterbury; NZ Post</t>
  </si>
  <si>
    <t>We would like to thank the support of the University of Wisconsin-Madison Automatic Weather Station Program for the AWS observational data set (NSF grant numbers ANT-0944018, ANT-1245663, ANT-0943952 and ANT-1245737). We would also like to acknowledge the NSIDC for the provision of the SSM/I data set. This work was partially funded by a grant from the New Zealand Antarctic Research Institute, scholarships from both the Department of Physics and Astronomy at the University of Canterbury and NZ Post (administered by Antarctica New Zealand).</t>
  </si>
  <si>
    <t>10.5194/tc-11-267-2017</t>
  </si>
  <si>
    <t>gold, Green Submitted</t>
  </si>
  <si>
    <t>WOS:000395181000004</t>
  </si>
  <si>
    <t>Noda, S; Kodera, K; Adachi, Y; Deushi, M; Kitoh, A; Mizuta, R; Murakami, S; Yoshida, K; Yoden, S</t>
  </si>
  <si>
    <t>Noda, Satoshi; Kodera, Kunihiko; Adachi, Yukimasa; Deushi, Makoto; Kitoh, Akio; Mizuta, Ryo; Murakami, Shigenori; Yoshida, Kohei; Yoden, Shigeo</t>
  </si>
  <si>
    <t>Impact of interactive chemistry of stratospheric ozone on Southern Hemisphere paleoclimate simulation</t>
  </si>
  <si>
    <t>JOURNAL OF GEOPHYSICAL RESEARCH-ATMOSPHERES</t>
  </si>
  <si>
    <t>SEA-ICE RESPONSE; INTERANNUAL VARIABILITY; CLIMATE SENSITIVITY; CIRCULATION; INSOLATION; DESCENT; CMIP5; HOLE</t>
  </si>
  <si>
    <t>A series of numerical simulations of the mid-Holocene (6 kyr B.P.) climate are performed by using an Earth System Model of the Meteorological Research Institute of the Japan Meteorological Agency to investigate the impact of stratospheric ozone distribution, which is modulated by the change in orbital elements of the Earth, on the surface climate. The results of interactive ozone chemistry calculations for the mid-Holocene and preindustrial periods are compared with those of the corresponding experiments in the fifth Coupled Model Intercomparison Project (CMIP5), in which the ozone distribution was prescribed to the 1850 Common Era level. The contribution of the interactive ozone chemistry in a quasi-equilibrium state reveals a significant anomaly of up to +1.7 K in the Antarctic region for the annual mean zonal mean surface air temperature. This impact on the surface climate is explained by a similar mechanism to the cooling influence of the Antarctic ozone hole but opposite in sign: Weakening of the westerly jet associated with the Southern Annular Mode provides weakening of equatorward ocean surface current, sea ice retreat, and then warm sea surface temperature and surface air temperature. All the mid-Holocene runs by CMIP5 models with the prescribed ozone had cold bias in sea surface temperature when compared with geological proxy data, whereas the bias is reduced in our simulations by using interactive ozone chemistry. We recommend that climate models include interactive sea ice and ozone distribution that are consistent with paleosolar insolation.</t>
  </si>
  <si>
    <t>[Noda, Satoshi; Yoden, Shigeo] Kyoto Univ, Dept Geophys, Kyoto, Japan; [Kodera, Kunihiko] Nagoya Univ, Inst Space Earth Environm Res, Nagoya, Aichi, Japan; [Adachi, Yukimasa; Kitoh, Akio; Mizuta, Ryo; Yoshida, Kohei] Meteorol Res Inst, Climate Res Dept, Tsukuba, Ibaraki, Japan; [Adachi, Yukimasa; Deushi, Makoto] Japan Meteorol Agcy, Tokyo, Japan; [Deushi, Makoto] Meteorol Res Inst, Atmospher Environm &amp; Appl Meteorol Res Dept, Tsukuba, Ibaraki, Japan; [Kitoh, Akio] Univ Tsukuba, Fac Life &amp; Environm Sci, Tsukuba, Ibaraki, Japan; [Murakami, Shigenori] Meteorol Coll, Kashiwa, Chiba, Japan</t>
  </si>
  <si>
    <t>Kyoto University; Nagoya University; Meteorological Research Institute - Japan; Japan Meteorological Agency; Meteorological Research Institute - Japan; University of Tsukuba</t>
  </si>
  <si>
    <t>Noda, S (corresponding author), Kyoto Univ, Dept Geophys, Kyoto, Japan.</t>
  </si>
  <si>
    <t>noda@gfd-dennou.org</t>
  </si>
  <si>
    <t>Kitoh, Akio/HZH-3587-2023; Kitoh, Akio/F-1765-2010</t>
  </si>
  <si>
    <t>Deushi, Makoto/0000-0002-0373-3918; Yoshida, Kohei/0000-0002-2422-5584; Noda, Satoshi/0000-0003-1758-9942</t>
  </si>
  <si>
    <t>JSPS [JP24224011, JP15H05816]; Grants-in-Aid for Scientific Research [16H01184, 26281016]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</si>
  <si>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</si>
  <si>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Professor Sandy Harrison of the University of Reading for her kind offer of SST proxy data and the original version of Figure 8. Two anonymous reviewers are sincerely acknowledged for carefully reading the original manuscript and providing many helpful comments. The helpful comments by Seiji Yukimoto and Yuhji Kuroda of the Meteorological Research Institute and Keiichi Ishioka of Kyoto University are also appreciated. This work was supported by JSPS KAKENHI grants JP24224011 and JP15H05816. The model results presented in this study are available upon request to the corresponding author (noda@gfd-dennou.org).</t>
  </si>
  <si>
    <t>2169-897X</t>
  </si>
  <si>
    <t>2169-8996</t>
  </si>
  <si>
    <t>J GEOPHYS RES-ATMOS</t>
  </si>
  <si>
    <t>J. Geophys. Res.-Atmos.</t>
  </si>
  <si>
    <t>10.1002/2016JD025508</t>
  </si>
  <si>
    <t>Meteorology &amp; Atmospheric Sciences</t>
  </si>
  <si>
    <t>EN6MA</t>
  </si>
  <si>
    <t>WOS:000396116900019</t>
  </si>
  <si>
    <t>Zhu, YQ; Toon, OB; Pitts, MC; Lambert, A; Bardeen, C; Kinnison, DE</t>
  </si>
  <si>
    <t>Zhu, Yunqian; Toon, Owen B.; Pitts, Michael C.; Lambert, Alyn; Bardeen, Charles; Kinnison, Douglas E.</t>
  </si>
  <si>
    <t>Comparing simulated PSC optical properties with CALIPSO observations during the 2010 Antarctic winter</t>
  </si>
  <si>
    <t>POLAR STRATOSPHERIC CLOUDS; NITRIC-ACID TRIHYDRATE; COMMUNITY CLIMATE MODEL; ARCTIC STRATOSPHERE; OZONE DEPLETION; HETEROGENEOUS FORMATION; LIDAR OBSERVATIONS; UPPER TROPOSPHERE; NUCLEATION; DENITRIFICATION</t>
  </si>
  <si>
    <t>We simulate polar stratospheric clouds (PSCs) during the Antarctic winter of 2010 using the Specified Dynamics version of the Whole Atmosphere Community Climate Model/Community Aerosol and Radiation Model for Atmospheres (SD-WACCM/CARMA) model. The current PSC model contains microphysical schemes for supercooled ternary solutions (STS) and nitric acid trihydrate (NAT) particles, as well as a prognostic treatment for PSC ice particles and dehydration. Our simulations and CALIPSO satellite data suggest two major NAT particle formation mechanisms. The first mechanism is the nucleation of NAT from STS. Our model, with homogeneous nucleation rates of NAT from STS constrained by observations from the Arctic winter of 2010-2011, reproduces optical properties observed by CALIPSO over Antarctica in May and the timing of denitrification observed by the Microwave Limb Sounder within their uncertainties. On the other hand, the CALIPSO data indicate that our simulations are missing clouds containing small NAT particles with large number densities. We suggest these particles are most likely to form from ice clouds or STS in gravity waves, as found by previous investigations. The simulated cloud coverage agrees with the CALIPSO cloud coverage within a few percent on average with a correlation coefficient of 0.83. However, using the CALIPSO classification algorithm, simulated ice clouds often fall into Mix categories under the denitrified and dehydrated conditions. The model needs an improved ice microphysical representation, not only to allow ice particles to be a source of NAT but also to provide information on ice cloud particle number and size so that ice cloud optical properties can be more precisely calculated for comparison with CALIPSO data.</t>
  </si>
  <si>
    <t>[Zhu, Yunqian; Toon, Owen B.] Univ Colorado Boulder, Lab Atmospher &amp; Space Phys, Boulder, CO 80309 USA; [Toon, Owen B.] Univ Colorado Boulder, Dept Atmospher &amp; Ocean Sci, Boulder, CO 80309 USA; [Pitts, Michael C.] Langley Res Ctr, Hampton, VA USA; [Lambert, Alyn] CALTECH, Jet Prop Lab, Pasadena, CA USA; [Bardeen, Charles; Kinnison, Douglas E.] Natl Ctr Atmospher Res, Boulder, CO USA</t>
  </si>
  <si>
    <t>University of Colorado System; University of Colorado Boulder; University of Colorado System; University of Colorado Boulder; National Aeronautics &amp; Space Administration (NASA); NASA Langley Research Center; National Aeronautics &amp; Space Administration (NASA); NASA Jet Propulsion Laboratory (JPL); California Institute of Technology; National Center Atmospheric Research (NCAR) - USA</t>
  </si>
  <si>
    <t>Zhu, YQ (corresponding author), Univ Colorado Boulder, Lab Atmospher &amp; Space Phys, Boulder, CO 80309 USA.</t>
  </si>
  <si>
    <t>yunqian.zhu@colorado.edu</t>
  </si>
  <si>
    <t>Lambert, Alyn/I-8415-2014</t>
  </si>
  <si>
    <t>Lambert, Alyn/0000-0003-3182-1824; ZHU, YUNQIAN/0000-0001-7751-397X; Kinnison, Douglas/0000-0002-3418-0834</t>
  </si>
  <si>
    <t>NASA [NNX09AK71G]; National Science Foundation; NASA [NNX09AK71G, 114761] Funding Source: Federal RePORTER</t>
  </si>
  <si>
    <t>NASA(National Aeronautics &amp; Space Administration (NASA)); National Science Foundation(National Science Foundation (NSF)); NASA(National Aeronautics &amp; Space Administration (NASA))</t>
  </si>
  <si>
    <t>The work at the University of Colorado was supported by NASA grant NNX09AK71G from the AURA satellite project. The work at the Jet Propulsion Laboratory, California Institute of Technology, was carried out under a contract with the National Aeronautics and Space Administration. We thank Lamont Poole at NASA Langley Research Center for his help with the CALIPSO classification algorithm. We thank A.T.J. de Laat from Royal Netherlands Meteorological Institute for his help with MLS data. We thank Jens-Uwe Grooss and Ines Tritscher from Forschungszentrum Juelich for their help with the noise uncertainty estimation for the CALIPSO algorithm. We would like to acknowledge high-performance computing support from Yellowstone (ark:/85065/d7wd3xhc) provided by NCAR's Computational and Information Systems Laboratory, sponsored by the National Science Foundation. The source code for WACCM/CARMA model used in this study is freely available at http://www2.cesm.ucar.edu/ upon registration. The developing version of this model, the data, and input files necessary to reproduce the experiments are available from the authors upon request (yunqian.zhu@colorado.edu). The data are archived at the Toon Aerosol Research Group computers.</t>
  </si>
  <si>
    <t>10.1002/2016JD025191</t>
  </si>
  <si>
    <t>WOS:000396116900036</t>
  </si>
  <si>
    <t>Lee, CW; Kwon, S; Park, SH; Kim, BY; Yoo, W; Ryu, BH; Kim, HW; Shin, SC; Kim, S; Park, H; Kim, TD; Lee, JH</t>
  </si>
  <si>
    <t>Lee, Chang Woo; Kwon, Sena; Park, Sun-Ha; Kim, Boo-Young; Yoo, Wanki; Ryu, Bum Han; Kim, Han-Woo; Shin, Seung Chul; Kim, Sunghwan; Park, Hyun; Kim, T. Doohun; Lee, Jun Hyuck</t>
  </si>
  <si>
    <t>Crystal Structure and Functional Characterization of an Esterase (EaEST) from Exiguobacterium antarcticum</t>
  </si>
  <si>
    <t>PLOS ONE</t>
  </si>
  <si>
    <t>SALT-TOLERANT ESTERASE; COLD; ENZYMES; ACID; CLASSIFICATION; PURIFICATION; PROMISCUITY; ACTIVATION; COMPLEX</t>
  </si>
  <si>
    <t>A novel microbial esterase, EaEST, from a psychrophilic bacterium Exiguobacterium antarcticum B7, was identified and characterized. To our knowledge, this is the first report describing structural analysis and biochemical characterization of an esterase isolated from the genus Exiguobacterium. Crystal structure of EaEST, determined at a resolution of 1.9 angstrom, showed that the enzyme has a canonical alpha/beta hydrolase fold with an a-helical cap domain and a catalytic triad consisting of Ser96, Asp220, and His248. Interestingly, the active site of the structure of EaEST is occupied by a peracetate molecule, which is the product of perhydrolysis of acetate. This result suggests that EaEST may have perhydrolase activity. The activity assay showed that EaEST has significant perhydrolase and esterase activity with respect to short-chain p-nitrophenyl esters (&lt;= C8), naphthyl derivatives, phenyl acetate, and glyceryl tributyrate. However, the S96A single mutant had low esterase and perhydrolase activity. Moreover, the L27A mutant showed low levels of protein expression and solubility as well as preference for different substrates. On conducting an enantioselectivity analysis using R- and S-methyl-3-hydroxy-2-methylpropionate, a preference for R-enantiomers was observed. Surprisingly, immobilized EaEST was found to not only retain 200% of its initial activity after incubation for 1 h at 80 degrees C, but also retained more than 60% of its initial activity after 20 cycles of reutilization. This research will serve as basis for future engineering of this esterase for biotechnological and industrial applications.</t>
  </si>
  <si>
    <t>[Lee, Chang Woo; Park, Sun-Ha; Kim, Han-Woo; Shin, Seung Chul; Park, Hyun; Lee, Jun Hyuck] Korea Polar Res Inst, Unit Polar Genom, Incheon, South Korea; [Lee, Chang Woo; Kim, Han-Woo; Park, Hyun; Lee, Jun Hyuck] Univ Sci &amp; Technol, Dept Polar Sci, Incheon, South Korea; [Kwon, Sena; Kim, Boo-Young; Yoo, Wanki; Ryu, Bum Han; Kim, T. Doohun] Sookmyung Womens Univ, Dept Chem, Coll Nat Sci, Seoul, South Korea; [Kim, Sunghwan] Daegu Gyeongpuk Med Innovat Fdn, New Drug Dev Ctr, Daegu, South Korea</t>
  </si>
  <si>
    <t>Korea Polar Research Institute (KOPRI); Sookmyung Women's University</t>
  </si>
  <si>
    <t>Lee, JH (corresponding author), Sookmyung Womens Univ, Dept Chem, Coll Nat Sci, Seoul, South Korea.</t>
  </si>
  <si>
    <t>doohunkim@sookmyung.ac.kr; junhyucklee@kopri.re.kr</t>
  </si>
  <si>
    <t>Lee, Chang-Woo/L-5093-2015; kim, doohun/AAC-4528-2019</t>
  </si>
  <si>
    <t>Park, Hyun/0000-0002-8055-2010</t>
  </si>
  <si>
    <t>Antarctic organisms: Cold-Adaptation Mechanisms and its application grant [PE16070]; Polar Genomics 101 Project: Genome analysis of polar organisms and establishment of application platform [PE17080]; Polar Academic Program - Korea Polar Research Institute (KOPRI) [PD15010]; National Research Foundation of Korea - Korean Government (MSIP) [NRF-2016M1A5A1901770, PN16082, KOPRI]</t>
  </si>
  <si>
    <t>Antarctic organisms: Cold-Adaptation Mechanisms and its application grant; Polar Genomics 101 Project: Genome analysis of polar organisms and establishment of application platform; Polar Academic Program - Korea Polar Research Institute (KOPRI); National Research Foundation of Korea - Korean Government (MSIP)</t>
  </si>
  <si>
    <t>This work was supported by the Antarctic organisms: Cold-Adaptation Mechanisms and its application grant (PE16070), Polar Genomics 101 Project: Genome analysis of polar organisms and establishment of application platform (PE17080) and the Polar Academic Program (PD15010) funded by the Korea Polar Research Institute (KOPRI). This study was also supported by the National Research Foundation of Korea, which is funded by the Korean Government (MSIP), (NRF-2016M1A5A1901770) (PN16082, KOPRI).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</si>
  <si>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</si>
  <si>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</si>
  <si>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</si>
  <si>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</si>
  <si>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</si>
  <si>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JAN 26</t>
  </si>
  <si>
    <t>e0169540</t>
  </si>
  <si>
    <t>10.1371/journal.pone.0169540</t>
  </si>
  <si>
    <t>EN7IT</t>
  </si>
  <si>
    <t>gold, Green Published, Green Submitted</t>
  </si>
  <si>
    <t>WOS:000396176100137</t>
  </si>
  <si>
    <t>Mock, T; Otillar, RP; Strauss, J; McMullan, M; Paajanen, P; Schmutz, J; Salamov, A; Sanges, R; Toseland, A; Ward, BJ; Allen, AE; Dupont, CL; Frickenhaus, S; Maumus, F; Veluchamy, A; Wu, TY; Barry, KW; Falciatore, A; Ferrante, MI; Fortunato, AE; Glöckner, G; Gruber, A; Hipkin, R; Janech, MG; Kroth, PG; Leese, F; Lindquist, EA; Lyon, BR; Martin, J; Mayer, C; Parker, M; Quesneville, H; Raymond, JA; Uhlig, C; Valas, RE; Valentin, KU; Worden, AZ; Armbrust, EV; Clark, MD; Bowler, C; Green, BR; Moulton, V; van Oosterhout, C; Grigoriev, IV</t>
  </si>
  <si>
    <t>Mock, Thomas; Otillar, Robert P.; Strauss, Jan; McMullan, Mark; Paajanen, Pirita; Schmutz, Jeremy; Salamov, Asaf; Sanges, Remo; Toseland, Andrew; Ward, Ben J.; Allen, Andrew E.; Dupont, Christopher L.; Frickenhaus, Stephan; Maumus, Florian; Veluchamy, Alaguraj; Wu, Taoyang; Barry, Kerrie W.; Falciatore, Angela; Ferrante, Maria I.; Fortunato, Antonio E.; Gloeckner, Gernot; Gruber, Ansgar; Hipkin, Rachel; Janech, Michael G.; Kroth, Peter G.; Leese, Florian; Lindquist, Erika A.; Lyon, Barbara R.; Martin, Joel; Mayer, Christoph; Parker, Micaela; Quesneville, Hadi; Raymond, James A.; Uhlig, Christiane; Valas, Ruben E.; Valentin, Klaus U.; Worden, Alexandra Z.; Armbrust, E. Virginia; Clark, Matthew D.; Bowler, Chris; Green, Beverley R.; Moulton, Vincent; van Oosterhout, Cock; Grigoriev, Igor V.</t>
  </si>
  <si>
    <t>Evolutionary genomics of the cold-adapted diatom Fragilariopsis cylindrus</t>
  </si>
  <si>
    <t>NATURE</t>
  </si>
  <si>
    <t>DIFFERENTIAL EXPRESSION ANALYSIS; ANTARCTIC SEA-ICE; GENE-EXPRESSION; THALASSIOSIRA-PSEUDONANA; MAXIMUM-LIKELIHOOD; CLASSIFICATION; PROTEINS; DATABASE; IDENTIFICATION; TEMPERATURE</t>
  </si>
  <si>
    <t>The Southern Ocean houses a diverse and productive community of organisms(1,2). Unicellular eukaryotic diatoms are the main primary producers in this environment, where photosynthesis is limited by low concentrations of dissolved iron and large seasonal fluctuations in light, temperature and the extent of sea ice(3-7). How diatoms have adapted to this extreme environment is largely unknown. Here we present insights into the genome evolution of a cold-adapted diatom from the Southern Ocean, Fragilariopsis cylindrus(8,9), based on a comparison with temperate diatoms. We find that approximately 24.7 per cent of the diploid F. cylindrus genome consists of genetic loci with alleles that are highly divergent (15.1 megabases of the total genome size of 61.1 megabases). These divergent alleles were differentially expressed across environmental conditions, including darkness, low iron, freezing, elevated temperature and increased CO2. Alleles with the largest ratio of non-synonymous to synonymous nucleotide substitutions also show the most pronounced condition-dependent expression, suggesting a correlation between diversifying selection and allelic differentiation. Divergent alleles may be involved in adaptation to environmental fluctuations in the Southern Ocean.</t>
  </si>
  <si>
    <t>[Mock, Thomas] Univ East Anglia, Sch Environm Sci, Res Pk, Norwich NR4 7TJ, Norfolk, England; [Otillar, Robert P.; Schmutz, Jeremy] Dept Energy Joint Genome Inst, 2800 Mitchell Dr, Walnut Creek, CA 94598 USA; [Paajanen, Pirita] Earlham Inst, Res Pk, Norwich NR4 7UH, Norfolk, England; [Schmutz, Jeremy] HudsonAlpha Inst Biotechnol, 601 Genome Way, Huntsville, AL 35801 USA; [Sanges, Remo] Univ East Anglia, Sch Comp Sci, Res Pk, Norwich NR4 7TJ, Norfolk, England; [Toseland, Andrew] J Craig Venter Inst, Microbial &amp; Environm Genom, La Jolla, CA 92037 USA; [Allen, Andrew E.] Univ Calif San Diego, Scripps Inst Oceanog, Integrat Oceanog Div, La Jolla, CA 92037 USA; [Allen, Andrew E.] Hochschule Bremerhaven, Karlsburg 8, D-27568 Bremerhaven, Germany; [Frickenhaus, Stephan] Univ Paris Saclay, URGI, INRA, F-78026 Versailles, France; [Frickenhaus, Stephan] PSL Res Univ, CNRS UMR 8197, Inst Biol Ecole Normale Super IBENS, Ecole Normale Super, 46 Rue Ulm, F-75005 Paris, France; [Maumus, Florian] Sorbonne Univ, Inst Biol Paris Seine, CNRS, Lab Biol Computat &amp; Quantitat UMR 7238, F-75006 Paris, France; [Falciatore, Angela] Integrat Marine Ecol, Staz Zool Anton Dohrn, Villa Comunale, I-80121 Naples, Italy; [Salamov, Asaf; Gloeckner, Gernot; Quesneville, Hadi; Valentin, Klaus U.; Green, Beverley R.] Univ Cologne, Fac Med, Inst Biochem, Joseph Stelzmann Str, D-5250931 Cologne, Germany; [McMullan, Mark; Gloeckner, Gernot] Inst Freshwater, Ecol &amp; Inland Fisheries, IGB, Maggelseedamm 301, D-12587 Berlin, Germany; [McMullan, Mark; Dupont, Christopher L.; Frickenhaus, Stephan; Maumus, Florian] Univ Konstanz, Fachbereich Biol, D-78457 Constance, Germany; [Salamov, Asaf; Falciatore, Angela; Bowler, Chris] Med Univ South Carolina, Dept Med, Div Nephrol, Charleston, SC 29425 USA; [Otillar, Robert P.; Dupont, Christopher L.] Univ Duisburg Essen, Fac Biol, Aquat Ecosyst Res Univ 5, D-45141 Essen, Germany; [Toseland, Andrew; Gloeckner, Gernot; Bowler, Chris] Med Univ South Carolina, Marine Biomed &amp; Environm Sci Ctr, Charleston, SC 29412 USA; [Uhlig, Christiane; Grigoriev, Igor V.] Leibniz Inst Biodiversitat Tiere, Zoolog Forsch Museum Alexander Koenig, Adenauerallee 160, D-53113 Bonn, Germany; [Sanges, Remo; Barry, Kerrie W.; Lyon, Barbara R.] Univ Washington, Ctr Environm Genom, Sch Oceanog, Box 357940, Seattle, WA 98195 USA; [Sanges, Remo; Veluchamy, Alaguraj; Barry, Kerrie W.; Lyon, Barbara R.; Parker, Micaela; Uhlig, Christiane] Univ Nevada, Sch Life Sci, Las Vegas, NV 89154 USA; [Allen, Andrew E.; Fortunato, Antonio E.; Gruber, Ansgar] Monterey Bay Aquarium Res Inst, 7700 Sandholdt Rd, Moss Landing, CA 95039 USA; [Sanges, Remo; Frickenhaus, Stephan; Veluchamy, Alaguraj; Wu, Taoyang] Univ British Columbia, Univ Blvd, Dept Bot, Vancouver, BC V6T 1Z4, Canada; [Mock, Thomas; Schmutz, Jeremy; Frickenhaus, Stephan] Univ Calif Berkeley, Dept Plant &amp; Microbial Biol, Berkeley, CA 94720 USA; [Strauss, Jan; Maumus, Florian; Barry, Kerrie W.] European Mol Biol Lab, German Elect Synchrotron DESY, Notkestr 85, Hamburg, Germany; [Paajanen, Pirita; Mayer, Christoph; Clark, Matthew D.] John Innes Ctr, Dept Cell &amp; Dev Biol, Res Pk, Norwich NR4 7UH, Norfolk, England; [Otillar, Robert P.; Salamov, Asaf; Ward, Ben J.; Veluchamy, Alaguraj] King Abdullah Univ Sci &amp; Technol, Biol &amp; Environm Sci &amp; Engn Div, Thuwal 239556900, Saudi Arabia; [Strauss, Jan; Schmutz, Jeremy; Salamov, Asaf; Lyon, Barbara R.] Bowdoin Coll, Ctr Coastal Studies, Brunswick, ME 04011 USA; [Otillar, Robert P.; McMullan, Mark; Uhlig, Christiane] Univ Rhode Isl, Grad Sch Oceanog, 215 South Ferry Rd, Narragansett, RI 02882 USA</t>
  </si>
  <si>
    <t>University of East Anglia; United States Department of Energy (DOE); Lawrence Berkeley National Laboratory; UK Research &amp; Innovation (UKRI); Biotechnology and Biological Sciences Research Council (BBSRC); Earlham Institute; HudsonAlpha Institute for Biotechnology; University of East Anglia; J. Craig Venter Institute; University of California System; University of California San Diego; Scripps Institution of Oceanography; Universite Paris Saclay; Universite Paris Cite; INRAE; Universite PSL; Ecole Normale Superieure (ENS); Centre National de la Recherche Scientifique (CNRS); CNRS - National Institute for Biology (INSB); Sorbonne Universite; Centre National de la Recherche Scientifique (CNRS); CNRS - National Institute for Biology (INSB); Stazione Zoologica Anton Dohrn di Napoli; University of Cologne; Leibniz Institut fur Gewasserokologie und Binnenfischerei (IGB); University of Konstanz; Medical University of South Carolina; University of Duisburg Essen; Medical University of South Carolina; Zoologisches Forschungsmuseum Alexander Koenig (ZFMK); University of Washington; University of Washington Seattle; Nevada System of Higher Education (NSHE); University of Nevada Las Vegas; Monterey Bay Aquarium Research Institute; University of British Columbia; University of California System; University of California Berkeley; Helmholtz Association; Deutsches Elektronen-Synchrotron (DESY); European Molecular Biology Laboratory (EMBL); UK Research &amp; Innovation (UKRI); Biotechnology and Biological Sciences Research Council (BBSRC); John Innes Center; King Abdullah University of Science &amp; Technology; Bowdoin College; University of Rhode Island</t>
  </si>
  <si>
    <t>Mock, T (corresponding author), Univ East Anglia, Sch Environm Sci, Res Pk, Norwich NR4 7TJ, Norfolk, England.</t>
  </si>
  <si>
    <t>t.mock@uea.ac.uk</t>
  </si>
  <si>
    <t>Gruber, Ansgar/B-9587-2008; Quesneville, Hadi/AAG-1048-2020; Sanges, Remo/M-9814-2019; Barry, Kerrie Whitelaw/AAA-5500-2020; Falciatore, Angela/Q-6161-2018; janech, michael/AAA-1011-2019; van Oosterhout, Cock/A-6672-2008; Bowler, Chris/AAC-6256-2019; Allen, Andrew E/C-4896-2012; Strauss, Jan/B-5083-2010; Mock, Thomas/A-3127-2008; Uhlig, Christiane/Q-4019-2017; Green, Beverley R./AAJ-5199-2021; Schmutz, Jeremy/N-3173-2013; Leese, Florian/D-4277-2012; Veluchamy, Alaguraj/AAW-1680-2020; Worden, Alexandra Z./AAD-6567-2019; Glöckner, Gernot/A-7800-2010; Kroth, Peter/A-9728-2008; Valentin, Klaus/G-5862-2014; Maumus, Florian/O-5426-2016</t>
  </si>
  <si>
    <t>Gruber, Ansgar/0000-0002-5876-4391; Quesneville, Hadi/0000-0003-3001-4908; Sanges, Remo/0000-0002-5047-9713; Barry, Kerrie Whitelaw/0000-0002-8999-6785; Allen, Andrew E/0000-0001-5911-6081; Strauss, Jan/0000-0002-6208-791X; Mock, Thomas/0000-0001-9604-0362; Green, Beverley R./0000-0002-4021-9387; Leese, Florian/0000-0002-5465-913X; Veluchamy, Alaguraj/0000-0002-5349-5794; Glöckner, Gernot/0000-0002-9061-1061; Bowler, Chris/0000-0003-3835-6187; Mayer, Christoph/0000-0001-5104-6621; van Oosterhout, Cock/0000-0002-5653-738X; Moulton, Vincent/0000-0001-9371-6435; Clark, Matthew/0000-0002-8049-5423; Toseland, Andrew/0000-0002-6513-956X; Parker, Micaela S./0000-0003-1007-4612; Kroth, Peter/0000-0003-4734-8955; Ferrante, Maria Immacolata/0000-0002-8102-8018; Falciatore, Angela/0000-0003-3318-9578; Wu, Taoyang/0000-0002-2663-2001; Worden, Alexandra/0000-0002-9888-9324; Frickenhaus, Stephan/0000-0002-0356-9791; Fortunato, Antonio Emidio/0000-0002-3173-5742; Uhlig, Christiane/0000-0001-7278-6522; Valentin, Klaus/0000-0001-7401-9423; Grigoriev, Igor/0000-0002-3136-8903; Maumus, Florian/0000-0001-7325-0527</t>
  </si>
  <si>
    <t>ERC; Office of Science of the U.S. Department of Energy [DE-AC02-05CH11231]; BBSRC [BB/J004669/1]; NERC [NE/I001751/1, NE/K004530/1]; MGF (NBAF) [197]; Royal Society [RG090774]; Earth &amp; Life Systems Alliance in Norwich; Biotechnology and Biological Sciences Research Council [BBS/E/T/000PR5885, BBS/E/T/000PR6193, BBS/E/T/000PR9818, BBS/E/T/000PR9816, BBS/E/D/20310000] Funding Source: researchfish; Natural Environment Research Council [NE/K013734/1, NBAF010003, NE/I001751/1, NE/K004530/1] Funding Source: researchfish; BBSRC [BBS/E/D/20310000, BBS/E/T/000PR5885, BBS/E/T/000PR6193, BBS/E/T/000PR9818] Funding Source: UKRI; NERC [NE/K004530/1, NE/K013734/1, NE/I001751/1, NBAF010003] Funding Source: UKRI</t>
  </si>
  <si>
    <t>ERC(European Research Council (ERC)); Office of Science of the U.S. Department of Energy(United States Department of Energy (DOE)); BBSRC(UK Research &amp; Innovation (UKRI)Biotechnology and Biological Sciences Research Council (BBSRC)); NERC(UK Research &amp; Innovation (UKRI)Natural Environment Research Council (NERC)); MGF (NBAF); Royal Society(Royal Society); Earth &amp; Life Systems Alliance in Norwich;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</si>
  <si>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We thank A. Stecher and K. Schmidt for extracting and providing environmental DNA samples and the Natural Environment Research Council UK (NERC) Biomolecular Analysis Facility (NBAF) for conducting transcriptome sequencing and providing bioinformatics support. C.B. acknowledges funding from the ERC Advanced Grant ERC-2011-ADG (Diatomite). The work conducted by the U.S. Department of Energy Joint Genome Institute, a DOE Office of Science User Facility, was supported by the Office of Science of the U.S. Department of Energy under Contract No. DE-AC02-05CH11231. PacBio sequencing and library construction was delivered via the BBSRC National Capability in Genomics (BB/J010375/1) at the Earlham Institute (formerly The Genome Analysis Centre, Norwich), by members of the Platforms and Pipelines Group, PacBio assembly and sequence analysis was strategically funded by the BBSRC, Institute Strategic Programme Grant (BB/J004669/1). Additional funding for this work was provided by NERC under grants NE/I001751/1, NE/K004530/1, MGF (NBAF) grant 197, The Royal Society grant RG090774 and the Earth &amp; Life Systems Alliance in Norwich.</t>
  </si>
  <si>
    <t>0028-0836</t>
  </si>
  <si>
    <t>1476-4687</t>
  </si>
  <si>
    <t>Nature</t>
  </si>
  <si>
    <t>10.1038/nature20803</t>
  </si>
  <si>
    <t>EN6LX</t>
  </si>
  <si>
    <t>Green Published, Green Accepted, hybrid</t>
  </si>
  <si>
    <t>Y</t>
  </si>
  <si>
    <t>N</t>
  </si>
  <si>
    <t>WOS:000396116600052</t>
  </si>
  <si>
    <t>Shin, SC; Ahn, IH; Ahn, DH; Lee, YM; Lee, J; Lee, JH; Kim, HW; Park, H</t>
  </si>
  <si>
    <t>Shin, Seung Chul; Ahn, In Hye; Ahn, Do Hwan; Lee, Yung Mi; Lee, Jungeun; Lee, Jun Hyuck; Kim, Han-Woo; Park, Hyun</t>
  </si>
  <si>
    <t>Characterization of Two Antimicrobial Peptides from Antarctic Fishes (Notothenia coriiceps and Parachaenichthys charcoti)</t>
  </si>
  <si>
    <t>ANTIBACTERIAL PEPTIDES; GENE; DISCOVERY</t>
  </si>
  <si>
    <t>We identified two antimicrobial peptides (AMPs) with similarity to moronecidin in Antarctic fishes. The characteristics of both AMPs were determined using moronecidin as a control. Moronecidin, which was first isolated from hybrid striped bass, is highly salt-resistant, and possesses broad-spectrum activity against various microbes. The moronecidin-like peptide from Notothenia coriiceps exhibited a narrower spectrum of activity and a higher salt sensitivity than moronecidin. The AMP from Parachaenichthys charcoti exhibited similar antimicrobial activity to moronecidin, and similar salt sensitivity. In an experiment to identify toxic effects, both of the moronecidin-like peptides from the Antarctic fishes exhibited lower hemolytic activity than moronecidin. In spite of its low toxicity, the AMP from N. coriiceps is unlikely to be considered as a candidate for antibiotic development, owing to its narrow spectrum of activity and high salt sensitivity. In contrast, the high salt resistance and broad-spectrum activity of the AMP from P. charcoti could be more advantageous for clinical use than moronecidin, since it could kill bacteria under physiological conditions with low toxicity. A further comparison of these two AMPs from Antarctic fishes with other AMPs could help to reduce the toxicity of AMPs for clinical use.</t>
  </si>
  <si>
    <t>[Shin, Seung Chul; Ahn, In Hye; Ahn, Do Hwan; Lee, Yung Mi; Lee, Jungeun; Lee, Jun Hyuck; Kim, Han-Woo; Park, Hyun] Korea Polar Res Inst KOPRI, Unit Polar Genom, Incheon, South Korea; [Ahn, In Hye; Lee, Jun Hyuck; Kim, Han-Woo; Park, Hyun] Korea Univ Sci &amp; Technol, Dept Polar Sci, Incheon, South Korea</t>
  </si>
  <si>
    <t>Korea Polar Research Institute (KOPRI)</t>
  </si>
  <si>
    <t>Park, H (corresponding author), Korea Polar Res Inst KOPRI, Unit Polar Genom, Incheon, South Korea.</t>
  </si>
  <si>
    <t>ssc@kopri.re.kr; hwkim@kopri.re.kr; hpark@kopri.re.kr</t>
  </si>
  <si>
    <t>Functional Genomics on Polar Organisms [PE16070]; 'Polar Genomics 101 Project' grant - Korea Polar Research Institute (KOPRI) [PE17080]; Korea Polar Research Institute (KOPRI)</t>
  </si>
  <si>
    <t>Functional Genomics on Polar Organisms; 'Polar Genomics 101 Project' grant - Korea Polar Research Institute (KOPRI); Korea Polar Research Institute (KOPRI)</t>
  </si>
  <si>
    <t>This work was supported by a Functional Genomics on Polar Organisms grant (PE16070) and a 'Polar Genomics 101 Project' grant (PE17080) funded by the Korea Polar Research Institute (KOPRI).</t>
  </si>
  <si>
    <t>JAN 25</t>
  </si>
  <si>
    <t>e0170821</t>
  </si>
  <si>
    <t>10.1371/journal.pone.0170821</t>
  </si>
  <si>
    <t>EN7FK</t>
  </si>
  <si>
    <t>WOS:000396167300014</t>
  </si>
  <si>
    <t>Lepidi, S; Cafarella, L; Francia, P; Piancatelli, A; Pietrolungo, M; Santarelli, L; Urbini, S</t>
  </si>
  <si>
    <t>Lepidi, Stefania; Cafarella, Lili; Francia, Patrizia; Piancatelli, Andrea; Pietrolungo, Manuela; Santarelli, Lucia; Urbini, Stefano</t>
  </si>
  <si>
    <t>A study of geomagnetic field variations along the 80° S geomagnetic parallel</t>
  </si>
  <si>
    <t>ANNALES GEOPHYSICAE</t>
  </si>
  <si>
    <t>Magnetospheric physics (polar cap phenomena)</t>
  </si>
  <si>
    <t>2003 HALLOWEEN SUPERSTORM; POLAR-CAP; ULF WAVES; POLARIZATION PATTERN; STATION ANTARCTICA; SOLAR-WIND; PULSATIONS; FLUCTUATIONS; LATITUDE; OBSERVATORIES</t>
  </si>
  <si>
    <t>The availability of measurements of the geomagnetic field variations in Antarctica at three sites along the 80 degrees S geomagnetic parallel, separated by approximately 1 h in magnetic local time, allows us to study the longitudinal dependence of the observed variations. In particular, using 1 min data from Mario Zucchelli Station, Scott Base and Talos Dome, a temporary installation during 2007-2008 Antarctic campaign, we investigated the diurnal variation and the low-frequency fluctuations (approximately in the Pc5 range, similar to 1-7 mHz). We found that the daily variation is clearly ordered by local time, suggesting a predominant effect of the polar extension of midlatitude ionospheric currents. On the other hand, the pulsation power is dependent on magnetic local time maximizing around magnetic local noon, when the stations are closer to the polar cusp, while the highest coherence between pairs of stations is observed in the magnetic local nighttime sector. The wave propagation direction observed during selected events, one around local magnetic noon and the other around local magnetic midnight, is consistent with a solar-wind-driven source in the daytime and with substorm-associated processes in the nighttime.</t>
  </si>
  <si>
    <t>[Lepidi, Stefania; Cafarella, Lili; Pietrolungo, Manuela; Santarelli, Lucia; Urbini, Stefano] Ist Nazl Geofis &amp; Vulcanol, I-00143 Rome, Italy; [Francia, Patrizia; Piancatelli, Andrea] Univ Aquila, Dipartimento Sci Fis &amp; Chim, I-67100 Laquila, Italy</t>
  </si>
  <si>
    <t>Istituto Nazionale Geofisica e Vulcanologia (INGV); University of L'Aquila</t>
  </si>
  <si>
    <t>Lepidi, S (corresponding author), Ist Nazl Geofis &amp; Vulcanol, I-00143 Rome, Italy.</t>
  </si>
  <si>
    <t>stefania.lepidi@ingv.it</t>
  </si>
  <si>
    <t>Cafarella, Lili/HTO-5890-2023; Lepidi, Stefania/HGU-5046-2022; cafarella, lili/G-4160-2011</t>
  </si>
  <si>
    <t>Lepidi, Stefania/0000-0002-5692-2560; FRANCIA, Patrizia/0000-0001-5183-9146; cafarella, lili/0000-0003-2005-8923; urbini, stefano/0000-0002-8053-4197; Santarelli, Lucia/0000-0002-4134-1560</t>
  </si>
  <si>
    <t>Italian PNRA (Programma Nazionale Ricerche in Antartide); Institute of Geological &amp; Nuclear Sciences Limited (New Zealand)</t>
  </si>
  <si>
    <t>The research activity at Mario Zucchelli station and Talos Dome has been supported by the Italian PNRA (Programma Nazionale Ricerche in Antartide). The results presented in this paper rely on the data collected at Scott Base; we thank the Institute of Geological &amp; Nuclear Sciences Limited (New Zealand), for supporting its operation and INTERMAGNET for promoting high standards of magnetic observatory practice (http://www.intermagnet.org).</t>
  </si>
  <si>
    <t>0992-7689</t>
  </si>
  <si>
    <t>1432-0576</t>
  </si>
  <si>
    <t>ANN GEOPHYS-GERMANY</t>
  </si>
  <si>
    <t>Ann. Geophys.</t>
  </si>
  <si>
    <t>JAN 24</t>
  </si>
  <si>
    <t>10.5194/angeo-35-139-2017</t>
  </si>
  <si>
    <t>Astronomy &amp; Astrophysics; Geosciences, Multidisciplinary; Meteorology &amp; Atmospheric Sciences</t>
  </si>
  <si>
    <t>Astronomy &amp; Astrophysics; Geology; Meteorology &amp; Atmospheric Sciences</t>
  </si>
  <si>
    <t>EL7BN</t>
  </si>
  <si>
    <t>WOS:000394776200002</t>
  </si>
  <si>
    <t>Yuan, NM; Ding, MH; Ludescher, J; Bunde, A</t>
  </si>
  <si>
    <t>Yuan, Naiming; Ding, Minghu; Ludescher, Josef; Bunde, Armin</t>
  </si>
  <si>
    <t>Increase of the Antarctic Sea Ice Extent is highly significant only in the Ross Sea</t>
  </si>
  <si>
    <t>OZONE HOLE; TRENDS; VARIABILITY; CLIMATE</t>
  </si>
  <si>
    <t>In the context of global warming, the question of why Antarctic sea ice extent (SIE) has increased is one of the most fundamental unsolved mysteries. Although many mechanisms have been proposed, it is still unclear whether the increasing trend is anthropogenically originated or only caused by internal natural variability. In this study, we employ a new method where the underlying natural persistence in the Antarctic SIE can be correctly accounted for. We find that the Antarctic SIE is not simply short-term persistent as assumed in the standard significance analysis, but actually characterized by a combination of both short-and long-term persistence. By generating surrogate data with the same persistence properties, the SIE trends over Antarctica (as well as five sub-regions) are evaluated using Monte-Carlo simulations. It is found that the SIE trends over most sub-regions of Antarctica are not statistically significant. Only the SIE over Ross Sea has experienced a highly significant increasing trend (p = 0.008) which cannot be explained by natural variability. Influenced by the positive SIE trend over Ross Sea, the SIE over the entire Antarctica also increased over the past decades, but the trend is only at the edge of being significant (p = 0.034).</t>
  </si>
  <si>
    <t>[Yuan, Naiming] Chinese Acad Sci, Inst Atmospher Phys, CAS Key Lab Reg Climate Environm Temperate East A, Beijing 100029, Peoples R China; [Yuan, Naiming] Justus Liebig Univ Giessen, Dept Geog Climatol Climate Dynam &amp; Climate Change, D-35390 Giessen, Germany; [Ding, Minghu] Chinese Acad Meteorol Sci, Beijing 100081, Peoples R China; [Ludescher, Josef; Bunde, Armin] Justus Liebig Univ Giessen, Inst Theoret Phys, Heinrich Buff Ring 16, D-35392 Giessen, Germany</t>
  </si>
  <si>
    <t>Chinese Academy of Sciences; Institute of Atmospheric Physics, CAS; Justus Liebig University Giessen; China Meteorological Administration; Chinese Academy of Meteorological Sciences (CAMS); Justus Liebig University Giessen</t>
  </si>
  <si>
    <t>Bunde, A (corresponding author), Justus Liebig Univ Giessen, Inst Theoret Phys, Heinrich Buff Ring 16, D-35392 Giessen, Germany.</t>
  </si>
  <si>
    <t>arminbunde00@googlemail.com</t>
  </si>
  <si>
    <t>Ding, Minghu/AFU-3600-2022</t>
  </si>
  <si>
    <t>Ding, Minghu/0000-0002-1142-6598</t>
  </si>
  <si>
    <t>National Key Research and Development Program [2016YFA0600404]; National Key Basic Research Program of China [2013CBA01804]; National Natural Science Foundation of China [41405074, 41675088, 41425003]; LOEWE excellence cluster FACE2FACE of the Hessen State Ministry of Higher Education, Research and the Arts; CAS Pioneer Hundred Talents Program</t>
  </si>
  <si>
    <t>National Key Research and Development Program; National Key Basic Research Program of China(National Basic Research Program of China); National Natural Science Foundation of China(National Natural Science Foundation of China (NSFC)); LOEWE excellence cluster FACE2FACE of the Hessen State Ministry of Higher Education, Research and the Arts; CAS Pioneer Hundred Talents Program</t>
  </si>
  <si>
    <t>Many thanks are due to supports from National Key Research and Development Program (2016YFA0600404) and from National Key Basic Research Program of China (2013CBA01804). This work is also supported by National Natural Science Foundation of China (No. 41405074, No. 41675088, and No. 41425003) and the LOEWE excellence cluster FACE2FACE of the Hessen State Ministry of Higher Education, Research and the Arts. N. Y. thanks also the supports from CAS Pioneer Hundred Talents Program. We also thank Dr. Tingfeng Dou for helpful discussion.</t>
  </si>
  <si>
    <t>10.1038/srep41096</t>
  </si>
  <si>
    <t>EJ4MB</t>
  </si>
  <si>
    <t>WOS:000393190200001</t>
  </si>
  <si>
    <t>Mora, C; Jiménez, JJ; Pina, P; Catalao, J; Vieira, G</t>
  </si>
  <si>
    <t>Mora, Carla; Javier Jimenez, Juan; Pina, Pedro; Catalao, Joao; Vieira, Goncalo</t>
  </si>
  <si>
    <t>Evaluation of single-band snow-patch mapping using high-resolution microwave remote sensing: an application in the maritime Antarctic</t>
  </si>
  <si>
    <t>ERS-1 SAR DATA; WET-SNOW; SURFACE; TERRAIN; COEFFICIENTS; PENINSULA; ACCURACY; COVER</t>
  </si>
  <si>
    <t>The mountainous and ice-free terrains of the maritime Antarctic generate complex mosaics of snow patches, ranging from tens to hundreds of metres. These can only be accurately mapped using high-resolution remote sensing. In this paper we evaluate the application of radar scenes from TerraSAR-X in High Resolution SpotLight mode for mapping snow patches at a test area on Fildes Peninsula (King George Island, South Shetlands). Snow-patch mapping and characterization of snow stratigraphy were conducted at the time of image acquisition on 12 and 13 January 2012. Snow was wet in all studied snow patches, with coarse-grain and rounded crystals showing advanced melting and with frequent ice layers in the snow pack. Two TerraSAR-X scenes in HH and VV polarization modes were analysed, with the former showing the best results when discriminating between wet snow, lake water and bare soil. However, significant overlap in the backscattering signal was found. Average wet-snow backscattering was -18.0 dB in HH mode, with water showing -21.1 dB and bare soil showing -11.9 dB. Single-band pixel-based and object-oriented image classification methods were used to assess the classification potential of TerraSAR-X SpotLight imagery. The best results were obtained with an object-oriented approach using a watershed segmentation with a support vector machine (SVM) classifier, with an overall accuracy of 92% and Kappa of 0.88. The main limitation was the west to north-west facing snow patches, which showed significant error, an issue related to artefacts from the geometry of satellite imagery acquisition. The results show that TerraSAR-X in SpotLight mode provides high-quality imagery for mapping wet snow and snowmelt in the maritime Antarctic. The classification procedure that we propose is a simple method and a first step to an implementation in operational mode if a good digital elevation model is available.</t>
  </si>
  <si>
    <t>[Mora, Carla; Javier Jimenez, Juan; Vieira, Goncalo] CEG IGOT Univ Lisboa, Lisbon, Portugal; [Javier Jimenez, Juan] Univ Alcala de Henares, Dept Math &amp; Phys, Alcala De Henares, Spain; [Pina, Pedro] CERENA IST Univ Lisboa, Lisbon, Portugal; [Catalao, Joao] IDL Univ Lisboa, Lisbon, Portugal</t>
  </si>
  <si>
    <t>Universidad de Alcala</t>
  </si>
  <si>
    <t>Mora, C (corresponding author), CEG IGOT Univ Lisboa, Lisbon, Portugal.</t>
  </si>
  <si>
    <t>carlamora@campus.ul.pt</t>
  </si>
  <si>
    <t>Pina, Pedro/B-4879-2008; Mora, Carla/D-2706-2012; Catalao, Joao/C-4811-2008; Vieira, Goncalo/G-5958-2010</t>
  </si>
  <si>
    <t>Pina, Pedro/0000-0002-3199-7961; Mora, Carla/0000-0002-0843-3658; Catalao, Joao/0000-0003-1028-4644; Vieira, Goncalo/0000-0001-7611-3464</t>
  </si>
  <si>
    <t>Portuguese Polar Programme; Fundacao para a Ciencia e a Tecnologia [PTDC/AAG-GLO/3908/2012]; DLR TerraSAR-X project [LAN1276]; Fundação para a Ciência e a Tecnologia [PTDC/AAG-GLO/3908/2012] Funding Source: FCT</t>
  </si>
  <si>
    <t>Portuguese Polar Programme; Fundacao para a Ciencia e a Tecnologia(Fundacao para a Ciencia e a Tecnologia (FCT)); DLR TerraSAR-X project; Fundação para a Ciência e a Tecnologia(Fundacao para a Ciencia e a Tecnologia (FCT))</t>
  </si>
  <si>
    <t>This research has been funded by the Portuguese Polar Programme and the Fundacao para a Ciencia e a Tecnologia under the projects SNOWCHANGE and PERMANTAR-3 (PTDC/AAG-GLO/3908/2012). Imagery was obtained through the DLR TerraSAR-X project LAN1276. The authors warmly thank the Instituto Antartico Chileno for the logistical support provided at Professor Julio Escudero research station on Fildes Peninsula. Christian Haas, John Yackel, an anonymous referee and Marco Jorge are thanked for the comments and insights, which contributed to clarifying the final version of the manuscript.</t>
  </si>
  <si>
    <t>JAN 23</t>
  </si>
  <si>
    <t>10.5194/tc-11-139-2017</t>
  </si>
  <si>
    <t>EM6SA</t>
  </si>
  <si>
    <t>Green Submitted, gold</t>
  </si>
  <si>
    <t>WOS:000395441200001</t>
  </si>
  <si>
    <t>Hals, PA; Wang, XL; Piscitelli, F; Di Marzo, V; Xiao, YF</t>
  </si>
  <si>
    <t>Hals, Petter-Arnt; Wang, Xiaoli; Piscitelli, Fabiana; Di Marzo, Vincenzo; Xiao, Yong-Fu</t>
  </si>
  <si>
    <t>The time course of erythrocyte membrane fatty acid concentrations during and after treatment of non-human primates with increasing doses of an omega-3 rich phospholipid preparation derived from krill-oil</t>
  </si>
  <si>
    <t>LIPIDS IN HEALTH AND DISEASE</t>
  </si>
  <si>
    <t>Phospholipids; Long-chain omega-3 fatty acids; EPA; DHA; Omega-3 index; Endocannabinoids</t>
  </si>
  <si>
    <t>DOCOSAHEXAENOIC ACID; FISH-OIL; ENDOCANNABINOID SYSTEM; SUPPLEMENTATION; EPA; DHA; OMEGA-3-FATTY-ACIDS; INDEX</t>
  </si>
  <si>
    <t>Background: A commonly used measure to reflect the intake of the long-chain omega-3 fatty acids EPA and DHA is the omega-3 index, defined as the sum of EPA + DHA as % of total fatty acids in erythrocyte membrane. When the omega-3 index changes it follows that the relative fractions of other fatty acids in the membrane are also changed. In the present study, increasing doses of a preparation of omega-3 rich phospholipids extracted from krill oil were administered orally to non-human primates for 12 weeks and the time course of EPA, DHA and 22 other fatty acids in erythrocytes was determined bi-weekly during treatment and for 8 weeks after cessation of treatment. Plasma concentrations of six endocannabinoid-type mediators being downstream metabolites of some fatty acids analyzed in erythrocytes were also determined. Methods: Six diabetic, dyslipidemic non-human primates were included, three in a vehicle control group and three being treated with the omega-3 rich phospholipid preparation. The vehicle control and test items were given daily by gavage and the test item doses were 50, 150 and 450 mg phospholipids/ kg/ day. Each dose level was given for four weeks. Blood was sampled at baseline and thereafter bi-weekly. Fatty acids were determined in erythrocytes by methylation followed by gas-chromatography. Endocannabinoids and endocannabinoid-like mediators were analyzed in plasma by liquid chromatography-atmospheric pressure chemical ionization-mass spectrometry. Results: The treatment resulted in a dose-related increase in the fraction of EPA and DHA in erythrocyte membranes and a dose-related decrease of other poly-unsaturated fatty acids, in particular omega-6 polyunsaturated fatty acids. Erythrocyte concentrations of saturated fatty acids remained unchanged throughout the experiment. Plasma concentrations of endocannabinoids and endocannabinoid-like mediators changed accordingly as those being downstream arachidonic acid decreased, downstream of the saturated palmitic and oleic acids remained unchanged while a downstream EPA metabolite increased. Conclusion: Increasing the omega-3 index by administering an omega-3 rich phospholipid extracted from krill oil did not alter the ratio of unsaturated vs. saturated fatty acids in the erythrocyte membranes but only the relative concentrations of unsaturated fatty acids, in particular unsaturated omega-6 fatty acids. Concentrations of saturated fatty acids remained unchanged.</t>
  </si>
  <si>
    <t>[Hals, Petter-Arnt] Aker Biomarine Antarctic AS, Oksenoyveien 10, N-1366 Lysaker, Norway; [Wang, Xiaoli; Xiao, Yong-Fu] Crown Biosci Taicang Inc, Sci &amp; Technol Pk,6 Beijing West Rd, Taicang, Jiangsu, Peoples R China; [Piscitelli, Fabiana; Di Marzo, Vincenzo] CNR, Inst Biomol Chem, Endocannabinoid Res Grp, Pozzuoli, NA, Italy</t>
  </si>
  <si>
    <t>Consiglio Nazionale delle Ricerche (CNR)</t>
  </si>
  <si>
    <t>Hals, PA (corresponding author), Aker Biomarine Antarctic AS, Oksenoyveien 10, N-1366 Lysaker, Norway.</t>
  </si>
  <si>
    <t>petter-arnt.hals@akerbiomarine.com</t>
  </si>
  <si>
    <t>Wang, Xiaoli/IAP-9186-2023; Di Marzo, Vincenzo/AAD-7742-2019; Piscitelli, Fabiana/A-7100-2014</t>
  </si>
  <si>
    <t>Wang, Xiaoli/0000-0001-9336-1013; Di Marzo, Vincenzo/0000-0002-1490-3070; Piscitelli, Fabiana/0000-0001-9343-4622</t>
  </si>
  <si>
    <t>Aker Biomarine Antarctic AS</t>
  </si>
  <si>
    <t>This study was funded by Aker Biomarine Antarctic AS.</t>
  </si>
  <si>
    <t>BMC</t>
  </si>
  <si>
    <t>CAMPUS, 4 CRINAN ST, LONDON N1 9XW, ENGLAND</t>
  </si>
  <si>
    <t>1476-511X</t>
  </si>
  <si>
    <t>LIPIDS HEALTH DIS</t>
  </si>
  <si>
    <t>Lipids Health Dis.</t>
  </si>
  <si>
    <t>JAN 21</t>
  </si>
  <si>
    <t>10.1186/s12944-017-0414-9</t>
  </si>
  <si>
    <t>Biochemistry &amp; Molecular Biology; Nutrition &amp; Dietetics</t>
  </si>
  <si>
    <t>EO6AV</t>
  </si>
  <si>
    <t>gold, Green Published</t>
  </si>
  <si>
    <t>WOS:000396775000001</t>
  </si>
  <si>
    <t>Choi, JW; Cha, Y; Kim, JY</t>
  </si>
  <si>
    <t>Choi, Jae-Won; Cha, Yumi; Kim, Jeoung-Yun</t>
  </si>
  <si>
    <t>Change in the tropical cyclone activity around Korea by the East Asian summer monsoon</t>
  </si>
  <si>
    <t>GEOSCIENCE LETTERS</t>
  </si>
  <si>
    <t>Tropical cyclones; East Asian summer monsoon; Korea</t>
  </si>
  <si>
    <t>WESTERN NORTH PACIFIC; ANTARCTIC OSCILLATION; LANDFALL; CLIMATOLOGY; REANALYSIS; FEATURES; IMPACT; INDEX; JAPAN; MODEL</t>
  </si>
  <si>
    <t>Correlation between the frequency of summer tropical cyclones (TCs) affecting Korea and the East Asian summer monsoon index (EASMI) was analyzed over the last 37 years. A clear positive correlation existed between the two variables, and this high positive correlation remained unchanged even when excluding El Nino-Southern Oscillation (ENSO) years. To investigate the causes of the positive correlation between the two variables in non-ENSO years, after the 8 years with the highest EASMI (high EASMI years) and the 8 years with the lowest EASMI (low EASMI years) were selected, and the average difference between the two phases was analyzed. In high EASMI years, in the difference between the two phases regarding 850 and 500 hPa streamline, anomalous cyclones were reinforced in the tropical and subtropical western North Pacific, while anomalous anticyclones were reinforced in mid-latitude East Asian areas. Due to these two anomalous pressure systems, anomalous southeasterlies developed near Korea, with these anomalous southeasterlies playing the role of anomalous steering flows making the TCs head toward areas near Korea. In addition, a monsoon trough strengthened more eastward, and TCs in high EASMI years occurred more in east ward over the western North Pacific.</t>
  </si>
  <si>
    <t>[Choi, Jae-Won; Cha, Yumi; Kim, Jeoung-Yun] Natl Inst Meteorol Sci, 33 Seohobuk Ro, Jeju 63568, South Korea</t>
  </si>
  <si>
    <t>National Institute of Meteorological Sciences</t>
  </si>
  <si>
    <t>Choi, JW (corresponding author), Natl Inst Meteorol Sci, 33 Seohobuk Ro, Jeju 63568, South Korea.</t>
  </si>
  <si>
    <t>choikiseon@daum.net</t>
  </si>
  <si>
    <t>R&amp;D Project of the Korea Meteorological Administration Development and application of technology for weather forecast</t>
  </si>
  <si>
    <t>This work was supported by the R&amp;D Project of the Korea Meteorological Administration Development and application of technology for weather forecast.</t>
  </si>
  <si>
    <t>ONE NEW YORK PLAZA, SUITE 4600, NEW YORK, NY, UNITED STATES</t>
  </si>
  <si>
    <t>2196-4092</t>
  </si>
  <si>
    <t>GEOSCI LETT</t>
  </si>
  <si>
    <t>Geosci. Lett.</t>
  </si>
  <si>
    <t>10.1186/s40562-017-0067-6</t>
  </si>
  <si>
    <t>Geosciences, Multidisciplinary; Meteorology &amp; Atmospheric Sciences</t>
  </si>
  <si>
    <t>Geology; Meteorology &amp; Atmospheric Sciences</t>
  </si>
  <si>
    <t>GV2QF</t>
  </si>
  <si>
    <t>gold</t>
  </si>
  <si>
    <t>WOS:000445935300001</t>
  </si>
  <si>
    <t>Zhang, F; Greenslade, P; Stevens, MI</t>
  </si>
  <si>
    <t>Zhang, Feng; Greenslade, Penelope; Stevens, Mark I.</t>
  </si>
  <si>
    <t>A revision of the genus Lepidobrya Womersley (Collembola: Entomobryidae) based on morphology and sequence data of the genotype</t>
  </si>
  <si>
    <t>taxonomy; DNA barcode; Entomobryinae; Willowsiini; chaetotaxy; Macquarie Island; subantarctic</t>
  </si>
  <si>
    <t>The genus Lepidobrya Womersley, previously placed in Willowsiini, is re-diagnosed based on a redescription of the type species L. mawsoni (Tillyard) and its DNA barcode. Specimens possess narrow, pointed scales on the dens, two inner teeth on unguis, a truncate unguiculus with an outer tooth, a bidentate mucro with a basal spine and ordinary tergal S-chaetae 2, 2 vertical bar 1, 2, 2, ?, 3, so belongs to the Entomobryinae. Its systematic position and relationships to other scaled Entomobryinae genera are discussed and comments are made on the distribution of the genus as well as on ecology.</t>
  </si>
  <si>
    <t>[Zhang, Feng] Nanjing Agr Univ, Coll Plant Protect, Dept Entomol, Nanjing 210095, Jiangsu, Peoples R China; [Greenslade, Penelope] Federat Univ, Fac Sci &amp; Technol, Ballarat, Vic 3353, Australia; [Greenslade, Penelope] Australian Natl Univ, Dept Biol, GPO Box, Canberra, ACT 0200, Australia; [Stevens, Mark I.] South Australian Museum, Adelaide, SA 5000, Australia; [Stevens, Mark I.] Univ South Australia, Sch Pharm &amp; Med Sci, Adelaide, SA 5001, Australia</t>
  </si>
  <si>
    <t>Nanjing Agricultural University; Federation University Australia; Australian National University; South Australian Museum; University of South Australia</t>
  </si>
  <si>
    <t>Zhang, F (corresponding author), Nanjing Agr Univ, Coll Plant Protect, Dept Entomol, Nanjing 210095, Jiangsu, Peoples R China.</t>
  </si>
  <si>
    <t>xtmtd.zf@gmail.com; p.greenslade@federation.edu.au; Mark.Stevens@samuseum.sa.gov.au</t>
  </si>
  <si>
    <t>Zhang, Feng/L-2854-2016</t>
  </si>
  <si>
    <t>Zhang, Feng/0000-0002-1371-266X</t>
  </si>
  <si>
    <t>Fundamental Research Funds for the Central Universities; Priority Academic Program Development of Jiangsu Higher Education Institutions; Australian Antarctic Division [ASAC 2355/2397]</t>
  </si>
  <si>
    <t>Fundamental Research Funds for the Central Universities(Fundamental Research Funds for the Central Universities); Priority Academic Program Development of Jiangsu Higher Education Institutions; Australian Antarctic Division</t>
  </si>
  <si>
    <t>This study was supported by the Fundamental Research Funds for the Central Universities and the Project funded by the Priority Academic Program Development of Jiangsu Higher Education Institutions. We would also like to thank Keith Springer (Tasmania Parks and Wildlife Service), South Australian Museum, and the Macquarie Island Station staff for specimens and access. This work was partially supported by the Australian Antarctic Division (ASAC 2355/2397) funding to MIS and PG. We are grateful to the DNA sequencing agencies BOLD and the Canadian Centre for DNA Barcoding (CCDB).</t>
  </si>
  <si>
    <t>JAN 20</t>
  </si>
  <si>
    <t>10.11646/zootaxa.4221.5.2</t>
  </si>
  <si>
    <t>EI1OJ</t>
  </si>
  <si>
    <t>WOS:000392246600002</t>
  </si>
  <si>
    <t>Friedrich, LS; McDonald, AJ; Bodeker, GE; Cooper, KE; Lewis, J; Paterson, AJ</t>
  </si>
  <si>
    <t>Friedrich, Leon S.; McDonald, Adrian J.; Bodeker, Gregory E.; Cooper, Kathy E.; Lewis, Jared; Paterson, Alexander J.</t>
  </si>
  <si>
    <t>A comparison of Loon balloon observations and stratospheric reanalysis products</t>
  </si>
  <si>
    <t>ATMOSPHERIC CHEMISTRY AND PHYSICS</t>
  </si>
  <si>
    <t>SOUTHERN-HEMISPHERE; VORTEX; TEMPERATURES; ACCURACY; FLIGHTS; FIELDS; ECMWF; ERA</t>
  </si>
  <si>
    <t>Location information from long-duration superpressure balloons flying in the Southern Hemisphere lower stratosphere during 2014 as part of X Project Loon are used to assess the quality of a number of different reanalyses including National Centers for Environmental Prediction Climate Forecast System version 2 (NCEP-CFSv2), European Centre for Medium-Range Weather Forecasts (ERA-Interim), NASA Modern Era Retrospective-Analysis for Research and Applications (MERRA), and the recently released MERRA version 2. Balloon GPS location information is used to derive wind speeds which are then compared with values from the reanalyses interpolated to the balloon times and locations. All reanalysis data sets accurately describe the winds, with biases in zonal winds of less than 0.37ms (-1) and meridional biases of less than 0.08ms (-1). The standard deviation on the differences between Loon and reanalyses zonal winds is latitude-dependent, ranging between 2.5 and 3.5ms (-1), increasing equatorward. Comparisons between Loon trajectories and those calculated by applying a trajectory model to reanalysis wind fields show that MERRA-2 wind fields result in the most accurate simulated trajectories with a mean 5-day balloon-reanalysis trajectory separation of 621 km and median separation of 324 km showing significant improvements over MERRA version 1 and slightly outperforming ERA-Interim. The latitudinal structure of the trajectory statistics for all reanalyses displays marginally lower mean separations between 15 and 35 degrees S than between 35 and 55 degrees S, despite standard deviations in the wind differences increasing toward the equator. This is shown to be related to the distance travelled by the balloon playing a role in the separation statistics.</t>
  </si>
  <si>
    <t>[Friedrich, Leon S.; McDonald, Adrian J.; Paterson, Alexander J.] Univ Canterbury, Dept Phys &amp; Astron, Canterbury, New Zealand; [Bodeker, Gregory E.; Lewis, Jared] Bodeker Sci, Alexandra, New Zealand; [Cooper, Kathy E.] X Project Loon, 1600 Amphitheatre Pkwy, Mountain View, CA 94043 USA</t>
  </si>
  <si>
    <t>University of Canterbury</t>
  </si>
  <si>
    <t>McDonald, AJ (corresponding author), Univ Canterbury, Dept Phys &amp; Astron, Canterbury, New Zealand.</t>
  </si>
  <si>
    <t>adrian.mcdonald@canterbury.ac.nz</t>
  </si>
  <si>
    <t>Lewis, Jared/JFT-1938-2023; Bodeker, Greg E/A-8870-2008</t>
  </si>
  <si>
    <t>Bodeker, Gregory/0000-0003-1094-5852; Lewis, Jared/0000-0002-8155-8924</t>
  </si>
  <si>
    <t>New Zealand Antarctic Research Institute</t>
  </si>
  <si>
    <t>The work discussed would have been impossible without support from the New Zealand Antarctic Research Institute. We also thank the X Project Loon team for the generous supply of the Loon data. We also acknowledge the NCEP reanalysis data provided by the NOAA/OAR/ESRL PSD, Boulder, Colorado, USA, from their website (http://www.esrl.noaa.gov/psd/), the ERA-Interim product provided courtesy of ECMWF (http://apps.ecmwf.int) and the Global Modeling and Assimilation Office (GMAO) and the GES DISC for the dissemination of the MERRA and MERRA-2 products. The author team would like to thank the anonymous reviewers for their valuable input.</t>
  </si>
  <si>
    <t>1680-7316</t>
  </si>
  <si>
    <t>1680-7324</t>
  </si>
  <si>
    <t>ATMOS CHEM PHYS</t>
  </si>
  <si>
    <t>Atmos. Chem. Phys.</t>
  </si>
  <si>
    <t>JAN 19</t>
  </si>
  <si>
    <t>10.5194/acp-17-855-2017</t>
  </si>
  <si>
    <t>Environmental Sciences; Meteorology &amp; Atmospheric Sciences</t>
  </si>
  <si>
    <t>Environmental Sciences &amp; Ecology; Meteorology &amp; Atmospheric Sciences</t>
  </si>
  <si>
    <t>EL2JJ</t>
  </si>
  <si>
    <t>WOS:000394445600002</t>
  </si>
  <si>
    <t>González-Wevar, CA; Nakano, T; Palma, A; Poulin, E</t>
  </si>
  <si>
    <t>Gonzalez-Wevar, Claudio A.; Nakano, Tomoyuki; Palma, Alvaro; Poulin, Elie</t>
  </si>
  <si>
    <t>Biogeography in Cellana (Patellogastropoda, Nacellidae) with Special Emphasis on the Relationships of Southern Hemisphere Oceanic Island Species</t>
  </si>
  <si>
    <t>LONG-DISTANCE DISPERSAL; ANTARCTIC CIRCUMPOLAR CURRENT; HISTORICAL BIOGEOGRAPHY; BENTHIC INVERTEBRATES; MOLECULAR PHYLOGENY; GENETIC-DIVERGENCE; PLANKTONIC LARVAE; LIMPETS; DNA; PATTERNS</t>
  </si>
  <si>
    <t>Oceanic islands lacking connections to other land are extremely isolated from sources of potential colonists and have acquired their biota mainly through dispersal from geographically distant areas. Hence, isolated island biota constitutes interesting models to infer biogeographical mechanisms of dispersal, colonization, differentiation, and speciation. Limpets of the genus Cellana (Nacellidae: Patellogastropoda) show limited dispersal capacity but are broadly distributed across the Indo-Pacific including many endemic species in isolated oceanic islands. Here, we examined main distributional patterns and geographic boundaries among Cellana lineages with special emphasis in the relationships of Southern Hemisphere oceanic islands species. Phylogenetic reconstructions based on mtDNA (COI) recognized three main clades in Cellana including taxa from different provinces of the Indo-Pacific. Clear genetic discontinuities characterize the biogeography of Cellana and several lineages are associated to particular areas of the Indo-Pacific supporting the low dispersal capacity of the genus across recognized biogeographical barriers in the region. However, evolutionary relationships within Cellana suggest that long-distance dispersal processes have been common in the history of the genus and probably associated to the origin of the species in Hawaii and Juan Fernandez Archipelago. Therefore, the presence of Cellana species in geographically distant Southern Hemisphere oceanic islands, such as the Juan Fernandez Archipelago, suggests that long-distance dispersal mediated by rafting may have played an important role in the biogeography of the genus.</t>
  </si>
  <si>
    <t>[Gonzalez-Wevar, Claudio A.; Poulin, Elie] Univ Magallanes, GAIA Antart, Punta Arenas, Chile; [Gonzalez-Wevar, Claudio A.] Univ Chile, Fac Ciencias, Dept Ciencias Ecol, IEB, Santiago, Chile; [Nakano, Tomoyuki] Kyoto Univ, Seto Marine Biol Lab, Field Sci Educ &amp; Res Ctr, Wakayama, Japan; [Palma, Alvaro] Univ Gabriela Mistral, Fac Ingn &amp; Negocios, Santiago, Chile</t>
  </si>
  <si>
    <t>Universidad de Magallanes; Universidad de Chile; Kyoto University; Universidad Gabriela Mistral</t>
  </si>
  <si>
    <t>González-Wevar, CA (corresponding author), Univ Magallanes, GAIA Antart, Punta Arenas, Chile.;González-Wevar, CA (corresponding author), Univ Chile, Fac Ciencias, Dept Ciencias Ecol, IEB, Santiago, Chile.</t>
  </si>
  <si>
    <t>claudio.gonzalez@umag.cl</t>
  </si>
  <si>
    <t>Poulin, Elie/C-2654-2012; González-Wevar, Claudio Alejandro/AAD-6513-2021</t>
  </si>
  <si>
    <t>Poulin, Elie/0000-0001-7736-0969; Nakano, Tomoyuki/0009-0008-0109-1289</t>
  </si>
  <si>
    <t>Initiation Fondecyt Project [11140087]; Regular Fondecyt Projects [1151336, 10800009]; Japan Society for Promotion of Science Research Program [207024, 0273]; Instituto de Ecologia y Biodiversidad IEB [P05-002 ICM, PFB 023]; CAG-W</t>
  </si>
  <si>
    <t>Initiation Fondecyt Project; Regular Fondecyt Projects; Japan Society for Promotion of Science Research Program(Ministry of Education, Culture, Sports, Science and Technology, Japan (MEXT)Japan Society for the Promotion of Science); Instituto de Ecologia y Biodiversidad IEB; CAG-W</t>
  </si>
  <si>
    <t>This study was partially funded by different projects and institutions including an Initiation Fondecyt Project (11140087) to CAG-W and Regular Fondecyt Projects 1151336 to EP and 10800009 to AP. Grant-in-Aid for JSPS Fellows No. 207024 to TN from the Japan Society for Promotion of Science Research Program 0273. At the same time, this research was supported by the projects P05-002 ICM and PFB 023 (Instituto de Ecologia y Biodiversidad IEB) to EP and CAG-W. New Cellana specimens from Campbell Island, French Polynesia and Juan Fernandez Archipelago included in this study were collected following International legislations. Samples of C. ardosidea from Robinson Crusoe Island were collected under the Technical Memorandum P.INV No 011/2010 SUBPESCA. The funders had no role in study design, data collection and analysis, decision to publish, or preparation of the manuscript.</t>
  </si>
  <si>
    <t>JAN 18</t>
  </si>
  <si>
    <t>e0170103</t>
  </si>
  <si>
    <t>10.1371/journal.pone.0170103</t>
  </si>
  <si>
    <t>EI3HH</t>
  </si>
  <si>
    <t>Green Published, gold, Green Submitted</t>
  </si>
  <si>
    <t>WOS:000392380100055</t>
  </si>
  <si>
    <t>Bosi, E; Fondi, M; Orlandini, V; Perrin, E; Maida, I; de Pascale, D; Tutino, ML; Parrilli, E; Lo Giudice, A; Filloux, A; Fani, R</t>
  </si>
  <si>
    <t>Bosi, Emanuele; Fondi, Marco; Orlandini, Valerio; Perrin, Elena; Maida, Isabel; de Pascale, Donatella; Tutino, Maria Luisa; Parrilli, Ermenegilda; Lo Giudice, Angelina; Filloux, Alain; Fani, Renato</t>
  </si>
  <si>
    <t>The pangenome of (Antarctic) Pseudoalteromonas bacteria: evolutionary and functional insights</t>
  </si>
  <si>
    <t>BMC GENOMICS</t>
  </si>
  <si>
    <t>Pseudoalteromonas; Marine bacteria; Pangenome; Microbial evolution; Comparative genomics; Antibiotics; Antarctic bacteria; Horizontal gene transfer</t>
  </si>
  <si>
    <t>HORIZONTAL GENE-TRANSFER; MICROBIAL PAN-GENOME; HALOPLANKTIS TAC125; MARINE BACTERIUM; PHYLOGENETIC ANALYSIS; RESISTANCE; IDENTIFICATION; PROKARYOTES; TUNICATA; COLD</t>
  </si>
  <si>
    <t>Background: Pseudoalteromonas is a genus of ubiquitous marine bacteria used as model organisms to study the biological mechanisms involved in the adaptation to cold conditions. A remarkable feature shared by these bacteria is their ability to produce secondary metabolites with a strong antimicrobial and antitumor activity. Despite their biotechnological relevance, representatives of this genus are still lacking (with few exceptions) an extensive genomic characterization, including features involved in the evolution of secondary metabolites production. Indeed, biotechnological applications would greatly benefit from such analysis. Results: Here, we analyzed the genomes of 38 strains belonging to different Pseudoalteromonas species and isolated from diverse ecological niches, including extreme ones (i.e. Antarctica). These sequences were used to reconstruct the largest Pseudoalteromonas pangenome computed so far, including also the two main groups of Pseudoalteromonas strains (pigmented and not pigmented strains). The downstream analyses were conducted to describe the genomic diversity, both at genus and group levels. This allowed highlighting a remarkable genomic heterogeneity, even for closely related strains. We drafted all the main evolutionary steps that led to the current structure and gene content of Pseudoalteromonas representatives. These, most likely, included an extensive genome reduction and a strong contribution of Horizontal Gene Transfer (HGT), which affected biotechnologically relevant gene sets and occurred in a strain-specific fashion. Furthermore, this study also identified the genomic determinants related to some of the most interesting features of the Pseudoalteromonas representatives, such as the production of secondary metabolites, the adaptation to cold temperatures and the resistance to abiotic compounds. Conclusions: This study poses the bases for a comprehensive understanding of the evolutionary trajectories followed in time by this peculiar bacterial genus and for a focused exploitation of their biotechnological potential.</t>
  </si>
  <si>
    <t>[Bosi, Emanuele; Fondi, Marco; Perrin, Elena; Maida, Isabel; Fani, Renato] Univ Florence, Dept Biol, Lab Microbial &amp; Mol Evolut, Via Madonna del Piano 6, I-501019 Sesto Fno Florence, Italy; [Orlandini, Valerio] Univ Florence, Dept Clin &amp; Expt Biomed Sci Mario Serio, Viale Pieraccini 6, I-50139 Florence, Italy; [de Pascale, Donatella] CNR, Inst Prot Biochem, Via Pietro Castellino 111, I-80131 Naples, Italy; [Tutino, Maria Luisa; Parrilli, Ermenegilda] Complesso Univ Monte S Angelo, Dipartimento Sci Chim, Via Cintia, I-80126 Naples, Italy; [Lo Giudice, Angelina] CNR, Inst Coastal Marine Environm, Spianata San Raineri 86, I-98122 Messina, Italy; [Lo Giudice, Angelina] Univ Messina, Dept Biol &amp; Environm Sci, Viale Ferdinando Stagno dAlcontres 31, I-98166 Messina, Italy; [Filloux, Alain] Imperial Coll London, Dept Life Sci, MRC, Ctr Mol Bacteriol &amp; Infect, Flowers Bldg,1st Floor,South Kensington Campus, London SW7 2AZ, England</t>
  </si>
  <si>
    <t>University of Florence; University of Florence; Consiglio Nazionale delle Ricerche (CNR); Istituto di Biochimica delle Proteine (IBP-CNR); Consiglio Nazionale delle Ricerche (CNR); University of Messina; Imperial College London</t>
  </si>
  <si>
    <t>Fani, R (corresponding author), Univ Florence, Dept Biol, Lab Microbial &amp; Mol Evolut, Via Madonna del Piano 6, I-501019 Sesto Fno Florence, Italy.</t>
  </si>
  <si>
    <t>renato.fani@unifi.it</t>
  </si>
  <si>
    <t>TUTINO, MARIA LUISA/L-1834-2013; Perrin, Elena/AAX-2762-2020; parrilli, ermenegilda/K-4616-2016; parrilli, ermenegilda/JAZ-0586-2023</t>
  </si>
  <si>
    <t>Perrin, Elena/0000-0001-5148-3178; parrilli, ermenegilda/0000-0002-9002-5409; Orlandini, Valerio/0000-0002-6857-5471; Tutino, Maria Luisa/0000-0002-4978-6839; Bosi, Emanuele/0000-0002-4769-8667</t>
  </si>
  <si>
    <t>MNA (Museo Nazionale dell'Antartide); PNRA (Programma Nazionale di Ricerche in Antartide) [PNRA 2013/B4.02, PNRA 2013 AZ1.04]; EU KBBE Project Pharmasea [312184]; MRC [MR/J006874/1] Funding Source: UKRI</t>
  </si>
  <si>
    <t>MNA (Museo Nazionale dell'Antartide); PNRA (Programma Nazionale di Ricerche in Antartide); EU KBBE Project Pharmasea; MRC(UK Research &amp; Innovation (UKRI)Medical Research Council UK (MRC))</t>
  </si>
  <si>
    <t>This work was financially supported by the MNA (Museo Nazionale dell'Antartide) and PNRA (Programma Nazionale di Ricerche in Antartide) grants (PNRA 2013/B4.02 and PNRA 2013 AZ1.04). We also thank the EU KBBE Project Pharmasea 2012-2016, Grant Agreement n: 312184.</t>
  </si>
  <si>
    <t>BIOMED CENTRAL LTD</t>
  </si>
  <si>
    <t>236 GRAYS INN RD, FLOOR 6, LONDON WC1X 8HL, ENGLAND</t>
  </si>
  <si>
    <t>1471-2164</t>
  </si>
  <si>
    <t>BMC Genomics</t>
  </si>
  <si>
    <t>JAN 17</t>
  </si>
  <si>
    <t>10.1186/s12864-016-3382-y</t>
  </si>
  <si>
    <t>Biotechnology &amp; Applied Microbiology; Genetics &amp; Heredity</t>
  </si>
  <si>
    <t>EL1KQ</t>
  </si>
  <si>
    <t>WOS:000394379700005</t>
  </si>
  <si>
    <t>Hals, PA; Wang, XL; Xiao, YF</t>
  </si>
  <si>
    <t>Hals, Petter-Arnt; Wang, Xiaoli; Xiao, Yong-Fu</t>
  </si>
  <si>
    <t>Effects of a purified krill oil phospholipid rich in long-chain omega-3 fatty acids on cardiovascular disease risk factors in nonhuman primates with naturally occurring diabetes type-2 and dyslipidemia</t>
  </si>
  <si>
    <t>Phospholipids; Omega-3 fatty acids; Choline; Cholesterol; Cardiovascular disease</t>
  </si>
  <si>
    <t>DENSITY-LIPOPROTEIN CHOLESTEROL; BLOOD-PRESSURE; APOLIPOPROTEIN B-100; OMEGA-3 INDEX; SUPPLEMENTATION; METAANALYSIS; ADULTS; MODELS</t>
  </si>
  <si>
    <t>Background: High serum levels of cholesterol, in particular low-density lipoprotein cholesterol, are considered a significant risk factor for development of cardiovascular disease. Therefore, rigorous treatment regimens with statins and other pharmaceuticals have been used extensively to reduce elevated cholesterol levels. Literature data have not clearly concluded whether long-chain omega-3 fatty acids reduce, increase or leave circulating cholesterol unaffected. In the present study a novel krill-oil derived preparation of omega-3 rich phospholipids, mainly phosphatidylcholine, was administered orally at increasing doses for 12 weeks to dyslipidemic non-human primates, and cholesterols and several other risk factors for cardiovascular disease were measured before, during and after treatment. Methods: Six dyslipidemic non-human primates suffering from naturally occurring diabetes type-2 were included, three in a vehicle control group and three being treated with the omega-3 rich phospholipid preparation. The control and test items were given daily by gavage and the doses of the test item were 50, 150 and 450 mg phospholipids/kg/day. Each dose level was given for 4 weeks. Plasma concentrations of the omega-3 fatty acids were measured in connection with change in dose and the omega-3 index in erythrocytes was determined biweekly. Blood lipids, apolipoproteins and diabetes, inflammatory and safety biomarkers were determined either weekly, biweekly or every 4 weeks. For the blood lipids and apolipoproteins, control-adjusted mean values are presented while absolute values are presented for the other parameters. Due to the low number of animals in each group, no statistical analyses were done. Results: The only detectable effects measured during dosing with the lowest dose were an increase in HDLcholesterol and apolipoprotein A1. The intermediate and high doses decreased total cholesterol, LDL-cholesterol, apolipoprotein B100 and triglycerides and increased HDL-cholesterol and apolipoprotein A1. No effects were seen on the diabetes and inflammatory markers and on safety biomarkers. Conclusions: The results indicate that the omega-3 rich phospholipid preparation had a positive impact on cardiovascular disease risk factors by reducing total cholesterol, LDL-cholesterol and triglycerides and increasing HDL-cholesterol. These findings justify further investigations of this preparation in animal models of dyslipidemia and, provided the current findings are confirmed, in human trials.</t>
  </si>
  <si>
    <t>[Hals, Petter-Arnt] Aker Biomarine Antarctic AS, Oksenoyveien 10, N-1366 Lysaker, Norway; [Wang, Xiaoli; Xiao, Yong-Fu] Crown Biosci Taicang Inc, Sci &amp; Technol Pk,6 Beijing West Rd, Taicang, Jiangsu, Peoples R China</t>
  </si>
  <si>
    <t>Li, June/JEF-1173-2023; wang, xiao/HZI-9156-2023</t>
  </si>
  <si>
    <t>10.1186/s12944-017-0411-z</t>
  </si>
  <si>
    <t>EO6AO</t>
  </si>
  <si>
    <t>WOS:000396774300002</t>
  </si>
  <si>
    <t>Ekaykin, AA; Vladimirova, DO; Lipenkov, VY; Masson-Delmotte, V</t>
  </si>
  <si>
    <t>Ekaykin, Alexey A.; Vladimirova, Diana O.; Lipenkov, Vladimir Y.; Masson-Delmotte, Valerie</t>
  </si>
  <si>
    <t>Climatic variability in Princess Elizabeth Land (East Antarctica) over the last 350 years</t>
  </si>
  <si>
    <t>CLIMATE OF THE PAST</t>
  </si>
  <si>
    <t>DRONNING MAUD-LAND; SOUTHERN-HEMISPHERE; ACCUMULATION; SNOW; STATION; TRENDS; RECORD</t>
  </si>
  <si>
    <t>We use isotopic composition (delta D) data from six sites in Princess Elizabeth Land (PEL) in order to reconstruct air temperature variability in this sector of East Antarctica over the last 350 years. First, we use the present-day instrumental mean annual surface air temperature data to demonstrate that the studied region (between Russia's Progress, Vostok and Mirny research stations) is characterized by uniform temperature variability. We thus construct a stacked record of the temperature anomaly for the whole sector for the period of 1958-2015. A comparison of this series with the Southern Hemisphere climatic indices shows that the short-term inter-annual temperature variability is primarily governed by the Antarctic Oscillation (AAO) and Interdecadal Pacific Oscillation (IPO) modes of atmospheric variability. However, the low-frequency temperature variability (with period &gt; 27 years) is mainly related to the anomalies of the Indian Ocean Dipole (IOD) mode. We then construct a stacked record of delta D for the PEL for the period of 1654-2009 from individual normalized and filtered isotopic records obtained at six different sites (PEL2016 stacked record). We use a linear regression of this record and the stacked PEL temperature record (with an apparent slope of 9 +/- 5.4 parts per thousand degrees C-1) to convert PEL2016 into a temperature scale. Analysis of PEL2016 shows a 1 +/- 0.6 degrees C warming in this region over the last 3 centuries, with a particularly cold period from the mid-18th to the mid-19th century. A peak of cooling occurred in the 1840s - a feature previously observed in other Antarctic records. We reveal that PEL2016 correlates with a low-frequency component of IOD and suggest that the IOD mode influences the Antarctic climate by modulating the activity of cyclones that bring heat and moisture to Antarctica. We also compare PEL2016 with other Antarctic stacked isotopic records. This work is a contribution to the PAGES (Past Global Changes) and IPICS (International Partnerships in Ice Core Sciences) Antarctica 2k projects.</t>
  </si>
  <si>
    <t>[Ekaykin, Alexey A.; Vladimirova, Diana O.; Lipenkov, Vladimir Y.] Arctic &amp; Antarctic Res Inst, Climate &amp; Environm Res Lab, St Petersburg, Russia; [Ekaykin, Alexey A.; Vladimirova, Diana O.] St Petersburg State Univ, Inst Earth Sci, St Petersburg, Russia; [Masson-Delmotte, Valerie] CEA CNRS UVSQ Univ Paris Saclay, UMR 8212, Lab Sci Climat &amp; Environm IPSL, Gif Sur Yvette, France; [Vladimirova, Diana O.] Univ Copenhagen, Niels Bohr Inst, Ctr Ice &amp; Climate, Juliane Maries Vej 30, DK-2100 Copenhagen O, Denmark</t>
  </si>
  <si>
    <t>Arctic &amp; Antarctic Research Institute; Saint Petersburg State University; Centre National de la Recherche Scientifique (CNRS); CNRS - National Institute for Earth Sciences &amp; Astronomy (INSU); CEA; Universite Paris Saclay; University of Copenhagen; Niels Bohr Institute</t>
  </si>
  <si>
    <t>Ekaykin, AA (corresponding author), Arctic &amp; Antarctic Res Inst, Climate &amp; Environm Res Lab, St Petersburg, Russia.;Ekaykin, AA (corresponding author), St Petersburg State Univ, Inst Earth Sci, St Petersburg, Russia.</t>
  </si>
  <si>
    <t>ekaykin@aari.ru</t>
  </si>
  <si>
    <t>Masson-Delmotte, Valerie L/G-1995-2011; Ekaykin, Alexey/K-9894-2015</t>
  </si>
  <si>
    <t>Masson-Delmotte, Valerie L/0000-0001-8296-381X; Vladimirova, Diana/0000-0002-1678-0174; Ekaykin, Alexey/0000-0001-9819-2802</t>
  </si>
  <si>
    <t>Russian Foundation for Basic Research [15-55-16001]; Agence Nationale de la Recherche in France [ANR-14-CE01-0001]; Russian Science Foundation [14-27-00030]; Russian Foundation for Basic Research [15-55-16001]; Agence Nationale de la Recherche in France [ANR-14-CE01-0001]; Russian Science Foundation [14-27-00030]; Russian Science Foundation [14-27-00030] Funding Source: Russian Science Foundation</t>
  </si>
  <si>
    <t>Russian Foundation for Basic Research(Russian Foundation for Basic Research (RFBR)Spanish Government); Agence Nationale de la Recherche in France(Agence Nationale de la Recherche (ANR)); Russian Science Foundation(Russian Science Foundation (RSF)); Russian Foundation for Basic Research(Russian Foundation for Basic Research (RFBR)Spanish Government); Agence Nationale de la Recherche in France(Agence Nationale de la Recherche (ANR)); Russian Science Foundation(Russian Science Foundation (RSF)); Russian Science Foundation(Russian Science Foundation (RSF))</t>
  </si>
  <si>
    <t>This work is a contribution to the PAGES and IPICS Antarctica 2k projects. We are grateful to all the field technicians of the Russian Antarctic Expedition (RAE) and the drillers from St Petersburg Mining University for providing us with high-quality ice cores. We thank RAE for logistical support of our work in Antarctica. The Russian-French collaboration in the field of ice cores and paleo-climate studies is carried out in the framework of the International Associated Laboratory Vostok. We thank the CERL's staff for the isotopic analyses. The chemical analyses of the samples were performed at Irkutsk's Limnological Institute of RAS in the framework of the Russian Foundation for Basic Research grant 15-55-16001. One of the authors (Valerie Masson-Delmotte) was supported by Agence Nationale de la Recherche in France, grant ANR-14-CE01-0001.r This study was completed with financial support from the Russian Science Foundation, grant 14-27-00030.</t>
  </si>
  <si>
    <t>1814-9324</t>
  </si>
  <si>
    <t>1814-9332</t>
  </si>
  <si>
    <t>CLIM PAST</t>
  </si>
  <si>
    <t>Clim. Past.</t>
  </si>
  <si>
    <t>JAN 16</t>
  </si>
  <si>
    <t>10.5194/cp-13-61-2017</t>
  </si>
  <si>
    <t>EK6TK</t>
  </si>
  <si>
    <t>WOS:000394056800002</t>
  </si>
  <si>
    <t>Gutiérrez, NM; Le Roux, JP; Vásquez, A; Carreño, C; Pedroza, V; Araos, J; Oyarzún, JL; Pino, JP; Rivera, HA; Hinojosa, LF</t>
  </si>
  <si>
    <t>Gutierrez, Nestor M.; Le Roux, Jacobus P.; Vasquez, Ana; Carreno, Catalina; Pedroza, Viviana; Araos, Jose; Luis Oyarzun, Jose; Pablo Pino, J.; Rivera, Huber A.; Hinojosa, L. F.</t>
  </si>
  <si>
    <t>Tectonic events reflected by palaeocurrents, zircon geochronology, and palaeobotany in the Sierra Baguales of Chilean Patagonia</t>
  </si>
  <si>
    <t>TECTONOPHYSICS</t>
  </si>
  <si>
    <t>Andean tectonics; Patagonian Transgression; Zircon provenance; Gondwana reconstruction; Antarctic Peninsula</t>
  </si>
  <si>
    <t>AUSTRAL MAGALLANES BASIN; CERRO-TORO FORMATION; SOUTHERN SOUTH-AMERICA; FORELAND BASIN; SCOTIA SEA; ELASMOSAURID PLESIOSAURS; ANTARCTIC PENINSULA; WEST-ANTARCTICA; PLANT DIVERSITY; FLUVIAL SYSTEMS</t>
  </si>
  <si>
    <t>The Sierra Baguales, situated north of the Tones Del Paine National Park in the Magallanes region of southern Chile, shows a well-exposed stratigraphic sequence ranging from the Late Cretaceous to late Pliocene, which presents a unique opportunity to study the evolution of sedimentological styles and trends, palaeoclimate changes, and tectonic events during this period. The depositional environment changed from a continental slope and shelf during the Cenomanian-Campanian (Tres Pasos Formation) to deltaic between the Campanian-Maastrichtian (Dorotea Formation) and estuarine in the Lutetian-Bartonian (Man Aike Formation). During the Rupelian, a continental environment with meandering rivers and overbank marshes was established (Rio Leona Formation). This area was flooded in the early Burdigalian (Estancia 25 de Mayo Formation) during the Patagonian Transgression, but emerged again during the late Burdigalian (Santa Cruz Formation). Measured palaeocurrent directions in this Mesozoic-Cenozoic succession indicate source areas situated between the northeast and east-southeast during the Late Cretaceous, east-southeast during the middle Eocene, and southwest during the early Oligocene to early Miocene. This is confirmed by detrital zircon age populations in the different units, which can be linked to probable sources of similar ages in these areas. The east-southeastern provenance is here identified as the Antarctic Peninsula or its northeastern extension, which is postulated to have been attached to Fuegian Patagonia during the Eocene. The southwestern and western sources were exhumed during gradual uplift of the SoUthern Patagonian Andes, coinciding with a change from marine to continental conditions in the Magallanes-Austral Basin, as well as a decrease in mean annual temperature and precipitation indicated by fossil leaves in the Rio Leona Formation. The rain shadow to the east of the Andes thus started to develop here during the late Eocene -early Oligocene (similar to 34 Ma), long before the Quechua Phase of Andean tectonics (19-18 Ma) that is generally invoked for its evolution at lower latitudes. (C) 2016 Elsevier B.V. All rights reserved.</t>
  </si>
  <si>
    <t>[Gutierrez, Nestor M.; Le Roux, Jacobus P.; Vasquez, Ana; Carreno, Catalina; Pedroza, Viviana; Araos, Jose; Rivera, Huber A.] Univ Chile, FCFM, Dept Geol, Plaza Ercilla 803, Santiago, Chile; [Le Roux, Jacobus P.; Rivera, Huber A.] Ctr Excelencia Geotermia Andes, Plaza Ercilla 803, Santiago, Chile; [Vasquez, Ana] FCC Serv Ciudadanos, Av Vitacura 2771,Of 403, Santiago, Chile; [Carreno, Catalina] Corp Nacl Cobre, Calama, Chile; [Araos, Jose] Univ Alberto Hurtado, Fac Cs Sociales, Dept Geog, Cienfuegos 41, Santiago, Chile; [Luis Oyarzun, Jose] Miraflores 863, Puerto Natales, Chile; [Pablo Pino, J.; Hinojosa, L. F.] IEB, Santiago, Chile; [Hinojosa, L. F.] Univ Chile, Dept Ciencias Ecol, Santiago, Chile</t>
  </si>
  <si>
    <t>Universidad de Chile; Universidad Alberto Hurtado; Universidad de Chile</t>
  </si>
  <si>
    <t>Le Roux, JP (corresponding author), Univ Chile, FCFM, Dept Geol, Plaza Ercilla 803, Santiago, Chile.</t>
  </si>
  <si>
    <t>Le Roux, Jacobus/A-9765-2008; Le Roux, Jacobus Philippus/U-7085-2019; Hinojosa, Luis Felipe/J-7557-2017</t>
  </si>
  <si>
    <t>Le Roux, Jacobus/0000-0003-0173-4471; Le Roux, Jacobus Philippus/0000-0003-0173-4471; Rivera Rosado, Huber Alberto/0000-0002-5098-0700; Pino, Juan Pablo/0000-0002-2092-023X; Araos Espinoza, Jose/0000-0002-5443-9911; Hinojosa, Luis Felipe/0000-0001-5646-649X</t>
  </si>
  <si>
    <t>Project ANILLOS [ATC-105]; FONDECYT [1130006, 1150690, 15090013]</t>
  </si>
  <si>
    <t>Project ANILLOS; FONDECYT(Comision Nacional de Investigacion Cientifica y Tecnologica (CONICYT)CONICYT FONDECYT)</t>
  </si>
  <si>
    <t>This research was financially supported by Project ANILLOS ATC-105 and Projects FONDECYT 1130006 and 1150690, being carried out under the auspices of Project CONICYT/FONDAP 15090013. N.M.G. is grateful for the grant Beca CONYCYT de Estudios de Doctorado para Extranjeros en Chile. Detrital zircon dating was carried out by Mathieu Leisen in the Mass Spectrometry Laboratory of the Andean Geothermal Centre of Excellence. Victor Ramos and an anonymous reviewer provided much-appreciated comments which helped to improve this manuscript considerably.</t>
  </si>
  <si>
    <t>0040-1951</t>
  </si>
  <si>
    <t>1879-3266</t>
  </si>
  <si>
    <t>Tectonophysics</t>
  </si>
  <si>
    <t>10.1016/j.tecto.2016.12.014</t>
  </si>
  <si>
    <t>EH8TJ</t>
  </si>
  <si>
    <t>WOS:000392044900005</t>
  </si>
  <si>
    <t>Piechnik, CA; Höckner, M; de Souza, MRDP; Donatti, L; Tomanek, L</t>
  </si>
  <si>
    <t>Piechnik, Claudio Adriano; Hoeckner, Martina; Dmengeon Pedreiro de Souza, Maria Rosa; Donatti, Lucelia; Tomanek, Lars</t>
  </si>
  <si>
    <t>Time course of lead induced proteomic changes in gill of the Antarctic limpet Nacella Concinna (Gastropoda: Patellidae)</t>
  </si>
  <si>
    <t>JOURNAL OF PROTEOMICS</t>
  </si>
  <si>
    <t>Acid-base balance; Antarctica; Cytoskeleton; Lead; Limpet; Oxidative stress; Protein homeostasis</t>
  </si>
  <si>
    <t>MUSSEL PERNA-VIRIDIS; KING-GEORGE ISLAND; LIGHT-CHAIN KINASE; OXIDATIVE STRESS; HEAVY-METALS; TRACE-METALS; BASE-LINE; PHYSIOLOGICAL-RESPONSE; MOLECULAR-MECHANISMS; NOTOTHENIA-CORIICEPS</t>
  </si>
  <si>
    <t>The effect of increasing levels of metals from anthropogenic sources on Antarctic invertebrates is poorly understood. Here we exposed limpets (Nacella concinna) to 0, 0.12 and 025 mu g L-1 lead for 12, 24, 48 and 168 h. We subsequently quantified the changes in protein abundance from gill, using 2D gel electrophoresis and mass spectrometry. We identified several antioxidant proteins, including the metal binding Mn-superoxide dismutase and ferritin, increasing abundances early on. Chaperones involved in the redox-dependent maturation of proteins in the endoplasmic reticulum (ER) showed higher abundance with lead at 48 h. Lead also increased the abundance of Zn-binding carbonic anhydrase at 12 h, suggesting a challenge to acid-base balance. Metabolic proteins increased abundance at 168 h, suggesting a greater ATP demand during prolonged exposure. Changes in abundance of the small G-protein cdc42, a signaling protein modifying cytoskeleton, increased early and subsequently reversed during prolonged exposure, possibly leading to the modification of thick filament structure and function. We hypothesize that the replacement of metals initially affected antioxidant proteins and increased the production of reactive oxygen species. This disrupted the redox-sensitive maturation of proteins in the ER and caused increased ATP demand later on, accompanied by changes in cytoskeleton. Significance: Proteomic analysis of gill tissue in Antarctic limpets exposed to different concentrations of lead (Pb) over a 168 h time period showed that proteomic changes vary with time. These changes included an increase in the demand of scavenging reactive oxygen species, acid-base balance and a challenge to protein homeostasis in the endoplasmic reticulum early on and subsequently an increase in energy metabolism, cellular signaling, and cytoskeletal modifications. Based on this time course, we hypothesize that the main mode of action of lead is a replacement of metal-cofactors of key enzymes involved in the scavenging of reactive oxygen species and the regulation of acid-base balance. (C) 2016 Elsevier B.V. All rights reserved.</t>
  </si>
  <si>
    <t>[Piechnik, Claudio Adriano; Dmengeon Pedreiro de Souza, Maria Rosa; Donatti, Lucelia] Univ Fed Parana, Dept Cell Biol, Adapt Biol Lab, Curitiba, Parana, Brazil; [Hoeckner, Martina] Univ Innsbruck, Inst Zool, Tech Str 25, A-6020 Innsbruck, Austria; [Tomanek, Lars] Calif Polytech State Univ San Luis Obispo, Dept Biol Sci, Ctr Coastal Marine Studies, Environm Prote Lab, 1 Grand Ave, San Luis Obispo, CA 93407 USA</t>
  </si>
  <si>
    <t>Universidade Federal do Parana; University of Innsbruck; California State University System; California Polytechnic State University San Luis Obispo</t>
  </si>
  <si>
    <t>Tomanek, L (corresponding author), Calif Polytech State Univ San Luis Obispo, Dept Biol Sci, Ctr Coastal Marine Studies, Environm Prote Lab, 1 Grand Ave, San Luis Obispo, CA 93407 USA.</t>
  </si>
  <si>
    <t>ltomanek@calpoly.edu</t>
  </si>
  <si>
    <t>Piechnik, Cláudio/P-2012-2015; Donatti, Lucelia/E-1930-2013; de Souza, Maria Rosa Dmengeon Pedreiro/AAG-9661-2020</t>
  </si>
  <si>
    <t>Donatti, Lucelia/0000-0002-9023-2483; de Souza, Maria Rosa Dmengeon Pedreiro/0000-0003-3745-5589; Piechnik, Claudio Adriano/0000-0002-2972-9327; Hockner, Martina/0000-0001-8093-3756</t>
  </si>
  <si>
    <t>National Council for Scientific and Technological Development [CNPq 305969/2012-9]; National Science Foundation [EF-1041227, IOS-07170087]; Division Of Integrative Organismal Systems; Direct For Biological Sciences [1145840] Funding Source: National Science Foundation</t>
  </si>
  <si>
    <t>National Council for Scientific and Technological Development(Conselho Nacional de Desenvolvimento Cientifico e Tecnologico (CNPQ)); National Science Foundation(National Science Foundation (NSF)); Division Of Integrative Organismal Systems; Direct For Biological Sciences(National Science Foundation (NSF)NSF - Directorate for Biological Sciences (BIO)NSF - Division of Integrative Organismal Systems (IOS))</t>
  </si>
  <si>
    <t>The study was supported by the National Council for Scientific and Technological Development CNPq 305969/2012-9 to L. D. and the National Science Foundation grants EF-1041227 and IOS-07170087 to L.T.</t>
  </si>
  <si>
    <t>1874-3919</t>
  </si>
  <si>
    <t>1876-7737</t>
  </si>
  <si>
    <t>J PROTEOMICS</t>
  </si>
  <si>
    <t>J. Proteomics</t>
  </si>
  <si>
    <t>10.1016/j.jprot.2016.04.036</t>
  </si>
  <si>
    <t>Biochemical Research Methods</t>
  </si>
  <si>
    <t>Biochemistry &amp; Molecular Biology</t>
  </si>
  <si>
    <t>EG3SL</t>
  </si>
  <si>
    <t>WOS:000390964900016</t>
  </si>
  <si>
    <t>Johansson, B; Henein, MY; Nicoll, R; Bengrid, T; Zhao, Y; Schmermund, A</t>
  </si>
  <si>
    <t>Johansson, Bengt; Henein, Michael Y.; Nicoll, Rachel; Bengrid, Tarek; Zhao, Ying; Schmermund, Axel</t>
  </si>
  <si>
    <t>Antarctic explorers help make discovery-100 years after their epic adventures</t>
  </si>
  <si>
    <t>MARINE POLLUTION BULLETIN</t>
  </si>
  <si>
    <t>News Item</t>
  </si>
  <si>
    <t>[Johansson, Bengt; Henein, Michael Y.; Nicoll, Rachel; Bengrid, Tarek] Umea Univ, Dept Publ Hlth &amp; Clin Med, Umea, Sweden; [Johansson, Bengt; Henein, Michael Y.; Nicoll, Rachel; Bengrid, Tarek] Umea Univ, Ctr Heart, Umea, Sweden; [Zhao, Ying] Capital Med Univ, Beijing Anzhen Hosp, Dept Ultrasound, Beijing, Peoples R China; [Schmermund, Axel] Bethanien Hosp, Frankfurt, Germany</t>
  </si>
  <si>
    <t>Umea University; Umea University; Capital Medical University</t>
  </si>
  <si>
    <t>Johansson, B (corresponding author), Umea Univ, Dept Publ Hlth &amp; Clin Med, Umea, Sweden.;Johansson, B (corresponding author), Umea Univ, Ctr Heart, Umea, Sweden.</t>
  </si>
  <si>
    <t>0025-326X</t>
  </si>
  <si>
    <t>1879-3363</t>
  </si>
  <si>
    <t>MAR POLLUT BULL</t>
  </si>
  <si>
    <t>Mar. Pollut. Bull.</t>
  </si>
  <si>
    <t>JAN 15</t>
  </si>
  <si>
    <t>Environmental Sciences; Marine &amp; Freshwater Biology</t>
  </si>
  <si>
    <t>Environmental Sciences &amp; Ecology; Marine &amp; Freshwater Biology</t>
  </si>
  <si>
    <t>EI8PE</t>
  </si>
  <si>
    <t>WOS:000392768900015</t>
  </si>
  <si>
    <t>Lee, J; Han, I; Kang, BR; Kim, SH; Sul, WJ; Lee, TK</t>
  </si>
  <si>
    <t>Lee, Jaejin; Han, Il; Kang, Bo Ram; Kim, Seong Heon; Sul, Woo Jun; Lee, Tae Kwon</t>
  </si>
  <si>
    <t>Degradation of crude oil in a contaminated tidal flat area and the resilience of bacterial community</t>
  </si>
  <si>
    <t>Tidal flat; Resilience; Crude oil; Microbial community; Dioxygenase</t>
  </si>
  <si>
    <t>POLYCYCLIC AROMATIC-HYDROCARBONS; OBLIGATELY UTILIZES HYDROCARBONS; MARINE BACTERIUM; GEN. NOV.; DEGRADING BACTERIUM; SEA-WATER; MICROBIAL COMMUNITIES; PREDOMINANT GROWTH; DIOXYGENASE GENES; AEROBIC-BACTERIA</t>
  </si>
  <si>
    <t>Crude oil spills, Hebei Spirit in South Korea, is considered as one of the worst environmental disasters of the region. Our understanding on activation of oil-degrading bacteria and resilience of microbial community in oil contaminated sites are limited due to scarcity of such event. In the present study, tidal flat sediment contaminated by the oil spill were investigated for duration of 13 months to identify temporal change in microbial community and functional genes responsible for PAH-degradation. The results showed predominance of previously known oil degrading genera, such as Cycloclasticus, Alcanivorax, and Thalassolituus, displaying significant increase within first four months of the accident. The disturbance caused by the oil spill altered the microbial community and its functional structures, but they were almost restored to the original state after 13 months. Present study demonstrated high detoxification capacity of indigenous bacterial populations in the tidal flat sediments and its resilience of microbial community. (C) 2016 Elsevier Ltd. All rights reserved.</t>
  </si>
  <si>
    <t>[Lee, Jaejin] Korea Polar Res Inst, Unit Antarctic K Route Expedit, Incheon, South Korea; [Han, Il; Kang, Bo Ram; Kim, Seong Heon; Lee, Tae Kwon] Yonsei Univ, Dept Environm Engn, Wonju, South Korea; [Sul, Woo Jun] Chung Ang Univ, Dept Syst Biotechnol, Ansong, South Korea</t>
  </si>
  <si>
    <t>Korea Polar Research Institute (KOPRI); Yonsei University; Chung Ang University</t>
  </si>
  <si>
    <t>Lee, TK (corresponding author), Yonsei Univ, Dept Environm Engn, Wonju, South Korea.</t>
  </si>
  <si>
    <t>tklee@yonsei.ac.kr</t>
  </si>
  <si>
    <t>Kim, Seongheon/ABE-7964-2020; Lee, Jaejin/JSK-3037-2023; Lee, Tae-Kweon/AIF-0444-2022; Sul, Woo Jun/A-9291-2012</t>
  </si>
  <si>
    <t>Sul, Woo Jun/0000-0002-7016-1454; Lee, Jaejin/0000-0002-9793-9473</t>
  </si>
  <si>
    <t>Basic Science Research Program through the National Research Foundation of Korea (NRF) - Ministry of Education, Science and Technology [NRF-2015R1D1A1A02061084]; Korea Ministry of Environment (MOE) [YL-EC-15-002]</t>
  </si>
  <si>
    <t>Basic Science Research Program through the National Research Foundation of Korea (NRF) - Ministry of Education, Science and Technology; Korea Ministry of Environment (MOE)</t>
  </si>
  <si>
    <t>This research was supported by Basic Science Research Program through the National Research Foundation of Korea (NRF) funded by the Ministry of Education, Science and Technology (NRF-2015R1D1A1A02061084), and Korea Ministry of Environment (MOE) (YL-EC-15-002) as Knowledge-based environmental service Human resource development Project.</t>
  </si>
  <si>
    <t>10.1016/j.marpolbul.2016.09.043</t>
  </si>
  <si>
    <t>WOS:000392768900045</t>
  </si>
  <si>
    <t>Cipro, CVZ; Montone, RC; Bustamante, P</t>
  </si>
  <si>
    <t>Cipro, Caio V. Z.; Montone, Rosalinda C.; Bustamante, Paco</t>
  </si>
  <si>
    <t>Mercury in the ecosystem of Admiralty Bay, King George Island, Antarctica: Occurrence and trophic distribution</t>
  </si>
  <si>
    <t>Mercury; Antarctica; Stable isotopes; Food web</t>
  </si>
  <si>
    <t>STABLE-ISOTOPES REVEAL; PERSISTENT ORGANIC POLLUTANTS; SOUTH ORKNEY ISLANDS; TRACE-ELEMENTS; CATHARACTA-SKUA; ENHANCED BIOACCUMULATION; DAPTION CAPENSE; BLUE PETRELS; FOOD WEBS; DIET</t>
  </si>
  <si>
    <t>Mercury (Hg) can reach the environment through natural and human-related sources, threatening ecosystems all over the planet due to its well known deleterious effects. Therefore, Antarctic trophic webs, despite being relatively isolated, are not exempt of its influence. To evaluate Hg concentrations in an Antarctic ecosystem, different tissues from 2 species of invertebrates, 2 of fish, 8 of birds, 4 of pinnipeds and at least 5 of vegetation were investigated (n = 176). For animals, values ranged from 0.018 to 48.7 mu g g(-1) dw (whole Antarctic krill and Antarctic Fur Seal liver). They were generally correlated to trophic position (assessed by delta N-15 and delta C-13) but also to cephalopods and myctophids consumption. For vegetation, values ranged from 0.014 to 0.227 mu g g(-1) dw (Colobanthus quitensis and an unidentified lichen), with lichens presenting significantly higher values than mosses, likely due to year-round exposure and absorption of animal derived organic matter, as hypothesized by literature. (C) 2016 Elsevier Ltd. All rights reserved.</t>
  </si>
  <si>
    <t>[Cipro, Caio V. Z.; Montone, Rosalinda C.] Univ Sao Paulo, Inst Oceanog, Lab Quim Organ Marinha, BR-05508120 Sao Paulo, SP, Brazil; [Cipro, Caio V. Z.; Bustamante, Paco] Univ La Rochelle, Littoral Environm &amp; Soc LIENSs, UMR 7266, CNRS, 2 Rue Olympe de Gouges, F-17042 La Rochelle 01, France</t>
  </si>
  <si>
    <t>Universidade de Sao Paulo; La Rochelle Universite; Centre National de la Recherche Scientifique (CNRS)</t>
  </si>
  <si>
    <t>Cipro, CVZ (corresponding author), Univ Sao Paulo, Inst Oceanog, Lab Quim Organ Marinha, BR-05508120 Sao Paulo, SP, Brazil.</t>
  </si>
  <si>
    <t>caiovzc@usp.br</t>
  </si>
  <si>
    <t>Bustamante, Paco/G-5833-2011; Zecchin Cipro, Caio Vinicius/C-6338-2014; Montone, Rosalinda/J-9110-2012</t>
  </si>
  <si>
    <t>Bustamante, Paco/0000-0003-3877-9390; Zecchin Cipro, Caio Vinicius/0000-0002-7028-6353; Montone, Rosalinda/0000-0002-9586-1000</t>
  </si>
  <si>
    <t>University of La Rochelle: CPER (Contrat de Plan Etat-Region); FASEP (Fonds d'etude et d'aide au secteur prive); CAPES (Coordination for the Improvement of Higher Education Personnel via the Science without Borders programme, Brazil) [11490/13-6]; CNPq [55.0348/2002-6, 550018/2007-7]; Brazilian Antarctic Program (PROANTAR); Ministry of the Environment (MMA); Conselho Nacional de Desenvolvimento Cientifico e Tecnologico (CNPq)</t>
  </si>
  <si>
    <t>University of La Rochelle: CPER (Contrat de Plan Etat-Region); FASEP (Fonds d'etude et d'aide au secteur prive); CAPES (Coordination for the Improvement of Higher Education Personnel via the Science without Borders programme, Brazil); CNPq(Conselho Nacional de Desenvolvimento Cientifico e Tecnologico (CNPQ)); Brazilian Antarctic Program (PROANTAR); Ministry of the Environment (MMA); Conselho Nacional de Desenvolvimento Cientifico e Tecnologico (CNPq)(Conselho Nacional de Desenvolvimento Cientifico e Tecnologico (CNPQ))</t>
  </si>
  <si>
    <t>The authors acknowledge the financing organisations in the University of La Rochelle: CPER (Contrat de Plan Etat-Region) and FASEP (Fonds d'etude et d'aide au secteur prive). C.V.Z. Cipro received scholarships from CAPES (Coordination for the Improvement of Higher Education Personnel via the Science without Borders programme, Brazil, grant number 11490/13-6) during the course of this work The present work is a result of the projects Environmental Management of Admiralty Bay, King George Island, Antarctica: persistent organic pollutants and sewage (CNPq No. 55.0348/2002-6), and Modeling the bioaccumulation of organic pollutants throughout an Antarctic food web (CNPq 550018/2007-7) and also contributes to the Brazilian National Science and Technology Institute on Antarctic Environmental Research (INCT-APA). Financial support was obtained from the Brazilian Antarctic Program (PROANTAR), Ministry of the Environment (MMA) and Conselho Nacional de Desenvolvimento Cientifico e Tecnologico (CNPq). Antarctic logistics was provided by Secretaria da Comissao Interministerial para os Recursos do Mar. (SECIRM). C. Churlaud and M. Brault-Favrou from the Plateforme Analyses Elementaires of LIENSs are thanked for their assistance during Hg analyses. G. Guillou and B. Lebreton from the Plateforme Analyses Isotopiques of LIENSs are thanked for their assistance during SIA analyses. Finally, authors wish many thanks to everyone involved in the fieldwork.</t>
  </si>
  <si>
    <t>10.1016/j.marpolbul.2016.09.024</t>
  </si>
  <si>
    <t>WOS:000392768900069</t>
  </si>
  <si>
    <t>Banerjee, B; Ahmad, SM; Raza, W; Raza, T</t>
  </si>
  <si>
    <t>Banerjee, Barnita; Ahmad, Syed Masood; Raza, Waseem; Raza, Tabish</t>
  </si>
  <si>
    <t>Paleoceanographic changes in the Northeast Indian Ocean during middle Miocene inferred from carbon and oxygen isotopes of foraminiferal fossil shells</t>
  </si>
  <si>
    <t>PALAEOGEOGRAPHY PALAEOCLIMATOLOGY PALAEOECOLOGY</t>
  </si>
  <si>
    <t>Foraminifera; delta C-13; delta O-18; Monterey excursion; Mid Miocene climatic optimum; Indian summer monsoon; North Atlantic deep water</t>
  </si>
  <si>
    <t>ANTARCTIC ICE-SHEET; SOUTH CHINA SEA; CLIMATIC TRANSITION; PACIFIC-OCEAN; LATE EOCENE; DEEP; CIRCULATION; MA; EVOLUTION; MONSOON</t>
  </si>
  <si>
    <t>The middle Miocene transition witnessed rapid fluctuations in oceanographic and climatic systems. However, very limited work has been attempted in Miocene sediments of the Northern Indian Ocean to identify these changes. Here we present the first detailed delta C-13 and delta O-18 records of surface and deep dwelling foraminifera from ODP site 758 in the Northeast Indian Ocean, located atop the Ninetyeast Ridge. Carbon and oxygen isotopic data on Globigerinoides quadrilobatus (planktonic) and Cibicidoides wuellerstorfi (benthic foraminifera) indicated various global and local successions of oceanographic and climatic importance. The climatic events recorded at ODP 758 are; (a) Mid Miocene climatic Optimum (17-15 Ma), (b) Monterey excursion (17-14 Ma), (c) East Antarctica Ice sheet formation (13.8 Ma), (d) Initiation of Indian Summer Monsoon with waning of Antarctica Ice sheet (12.3-10.4 Ma), and (e) evidence of a cooling event (10.2-9.6 Ma). Our benthic foraminifera delta O-18 record showed almost identical deep water evolution to that of the Indo Pacific for 13.9-11.5 Ma interval. A significant decrease in delta O-18(ben) at similar to 10.2 Ma was indicative of a complete re-adjustment of the carbon cycle after the Monterey excursion and export of the North Atlantic Deep Water (NADW) towards the southern Ocean to give rise to the Circumpolar Deep Water (CDW), with a delta C-13 value of similar to 0.4 parts per thousand. The formation of the NADW had given rise to modern deep water like conditions at similar to 10 Ma ago. A comparison of our record with previously published isotopic records from other regions suggested a good correlation between the South Pacific, Indo Pacific and Northeast Indian Ocean during the studied time interval. It appears that a strong westerly Indian Ocean current (MIOjet) may have linked these Oceans from 14 to 9 Ma. (C) 2016 Elsevier B.V. All rights reserved.</t>
  </si>
  <si>
    <t>[Banerjee, Barnita; Ahmad, Syed Masood] Natl Geophys Res Inst, CSIR, Acad Sci &amp; Innovat Res AcSIR, Uppal Rd, Hyderabad 500007, Andhra Pradesh, India; [Raza, Waseem; Raza, Tabish] Natl Geophys Res Inst, CSIR, Uppal Rd, Hyderabad 500007, Andhra Pradesh, India</t>
  </si>
  <si>
    <t>Council of Scientific &amp; Industrial Research (CSIR) - India; CSIR - National Geophysical Research Institute (NGRI); Academy of Scientific &amp; Innovative Research (AcSIR); Council of Scientific &amp; Industrial Research (CSIR) - India; CSIR - National Geophysical Research Institute (NGRI)</t>
  </si>
  <si>
    <t>Ahmad, SM (corresponding author), Natl Geophys Res Inst, CSIR, Acad Sci &amp; Innovat Res AcSIR, Uppal Rd, Hyderabad 500007, Andhra Pradesh, India.</t>
  </si>
  <si>
    <t>smasoodahmad@rediffmail.com</t>
  </si>
  <si>
    <t>12th plan projects grant of CSIR-NGRI under SHORE [PSC0205, PSC0204, PSC0108]; University grant Commission (UGC) [F.2-7/2002 (SA-I)]</t>
  </si>
  <si>
    <t>12th plan projects grant of CSIR-NGRI under SHORE; University grant Commission (UGC)(University Grants Commission, India)</t>
  </si>
  <si>
    <t>This research has been supported by 12th plan projects grant of CSIR-NGRI under SHORE (PSC0205), INDEX (PSC0204), INDIAS IDEA (PSC0108). We are thankful to Mr. Santosh Beja, Ms. Sadia Farnaaz and Mr. Netramani Sagar for their help during the course of this study. The first author is thankful to the University grant Commission (UGC) for Junior Research Fellowship # F.2-7/2002 (SA-I). We are also thankful to IODP repository Kochi, Japan for providing samples and Dr. Lallan Gupta, Curator IODP repository Kochi, Japan for his help and support. We are grateful to the Director, CSIR- NGRI for permission to publish this paper.</t>
  </si>
  <si>
    <t>0031-0182</t>
  </si>
  <si>
    <t>1872-616X</t>
  </si>
  <si>
    <t>PALAEOGEOGR PALAEOCL</t>
  </si>
  <si>
    <t>Paleogeogr. Paleoclimatol. Paleoecol.</t>
  </si>
  <si>
    <t>10.1016/j.palaeo.2016.11.021</t>
  </si>
  <si>
    <t>Geography, Physical; Geosciences, Multidisciplinary; Paleontology</t>
  </si>
  <si>
    <t>Physical Geography; Geology; Paleontology</t>
  </si>
  <si>
    <t>EI8OQ</t>
  </si>
  <si>
    <t>WOS:000392766900013</t>
  </si>
  <si>
    <t>Carter, A; Riley, TR; Hillenbrand, CD; Rittner, M</t>
  </si>
  <si>
    <t>Carter, Andrew; Riley, Teal R.; Hillenbrand, Claus-Dieter; Rittner, Martin</t>
  </si>
  <si>
    <t>Widespread Antarctic glaciation during the Late Eocene</t>
  </si>
  <si>
    <t>EARTH AND PLANETARY SCIENCE LETTERS</t>
  </si>
  <si>
    <t>Eocene-Oligocene transition; Antarctica; glaciation; IRD; provenance</t>
  </si>
  <si>
    <t>EAST ANTARCTICA; ICE-SHEET; SEDIMENTOLOGICAL EVIDENCE; SOUTHERN-OCEAN; WEDDELL SEA; ONSET; MICROTEXTURES; COMPENSATION; SEDIMENTS; CLIMATE</t>
  </si>
  <si>
    <t>Marine sedimentary rocks drilled on the southeastern margin of the South Orkney microcontinent in Antarctica (Ocean Drilling Program Leg 113 Site 696) were deposited between similar to 36.5 Ma to 33.6 Ma, across the Eocene-Oligocene climate transition. The recovered rocks contain abundant grains exhibiting mechanical features diagnostic of iceberg-rafted debris. Sand provenance based on a multi-proxy approach that included petrographic analysis of over 275,000 grains, detrital zircon geochronology and apatite thermochronometry rule out local sources (Antarctic Peninsula or the South Orkney Islands) for the material. Instead the ice-transported grains show a clear provenance from the southern Weddell Sea region, extending from the Ellsworth-Whitmore Mountains of West Antarctica to the coastal region of Dronning Maud Land in East Antarctica. This study provides the first evidence for a continuity of widespread glacier calving along the coastline of the southern Weddell Sea embayment at least 2.5 million yrs before the prominent oxygen isotope event at 34-33.5 Ma that is considered to mark the onset of widespread glaciation of the Antarctic continent. (C) 2016 The Author(s). Published by Elsevier B.V.</t>
  </si>
  <si>
    <t>[Carter, Andrew] Birkbeck Univ London, Dept Earth &amp; Planetary Sci, Malet St, London WC1E 7HX, England; [Riley, Teal R.; Hillenbrand, Claus-Dieter] British Antarctic Survey, Madingley Rd, Cambridge CB3 0ET, England; [Rittner, Martin] UCL, Dept Earth Sci, Gower St, London WC1E EBT, England</t>
  </si>
  <si>
    <t>University of London; Birkbeck University London; UK Research &amp; Innovation (UKRI); Natural Environment Research Council (NERC); NERC British Antarctic Survey; University of London; University College London</t>
  </si>
  <si>
    <t>Carter, A (corresponding author), Birkbeck Univ London, Dept Earth &amp; Planetary Sci, Malet St, London WC1E 7HX, England.</t>
  </si>
  <si>
    <t>a.carter@ucl.ac.uk</t>
  </si>
  <si>
    <t>Carter, Andrew/C-1371-2008; Rittner, Martin/B-2963-2012</t>
  </si>
  <si>
    <t>Carter, Andrew/0000-0002-0090-5868; Rittner, Martin/0000-0002-2289-1903; Riley, Teal/0000-0002-3333-5021</t>
  </si>
  <si>
    <t>Natural Environment Research Council (NERC); NERC [bas0100029] Funding Source: UKRI</t>
  </si>
  <si>
    <t>Natural Environment Research Council (NERC)(UK Research &amp; Innovation (UKRI)Natural Environment Research Council (NERC)); NERC(UK Research &amp; Innovation (UKRI)Natural Environment Research Council (NERC))</t>
  </si>
  <si>
    <t>The research used samples provided by the Ocean Drilling Program (ODP) from Leg 113 Site 696. This research did not receive any specific grant from funding agencies in the public, commercial, or not-for-profit sectors. TRR and CDH are supported by the Natural Environment Research Council (NERC). We thank Peter Bijl and two anonymous reviewers for their constructive though critical suggestion.</t>
  </si>
  <si>
    <t>0012-821X</t>
  </si>
  <si>
    <t>1385-013X</t>
  </si>
  <si>
    <t>EARTH PLANET SC LETT</t>
  </si>
  <si>
    <t>Earth Planet. Sci. Lett.</t>
  </si>
  <si>
    <t>10.1016/j.epsl.2016.10.045</t>
  </si>
  <si>
    <t>EI7NO</t>
  </si>
  <si>
    <t>WOS:000392685100005</t>
  </si>
  <si>
    <t>Pope, EL; Talling, PJ; Carter, L; Clare, MA; Hunt, JE</t>
  </si>
  <si>
    <t>Pope, Ed L.; Talling, Peter J.; Carter, Lionel; Clare, Michael A.; Hunt, James E.</t>
  </si>
  <si>
    <t>Damaging sediment density flows triggered by tropical cyclones</t>
  </si>
  <si>
    <t>sediment density flows; cable breaks; tropical cyclones; climate change; hazards</t>
  </si>
  <si>
    <t>TURBIDITY CURRENTS; EARTHQUAKE; GENERATION; PRESSURE; RAINFALL; CANYON</t>
  </si>
  <si>
    <t>The global network of subsea fibre-optic cables plays a critical role in the world economy and is considered as strategic infrastructure for many nations. Sediment density flows have caused significant disruption to this network in the recent past. These cable breaks represent the only means to actively monitor such flows over large oceanic regions. Here, we use a global cable break database to analyse tropical cyclone triggering of sediment density flows worldwide over 25 yrs. Cable breaking sediment density flows are triggered in nearly all areas exposed to tropical cyclones but most occur in the NW Pacific. They are triggered by one of three sets of mechanisms. Tropical cyclones directly trigger flows, synchronous to their passage, as a consequence of storm waves, currents and surges. Cyclones also trigger flows indirectly, with near-synchronous timing to their passage, as a consequence of peak flood discharges. Last, cyclones trigger flows after a delay of days as a consequence of the failure of large volumes of rapidly deposited sediment. No clear relationship emerges between tropical cyclone activity (i.e. track, frequency and intensity) and the number of sediment density flows triggered. This is a consequence of the short period of observation. However, expansion of the cable network and predicted changes to cyclone activity in specific regions increases the likelihood of increasing numbers of damaging flows. (C) 2016 Elsevier B.V. All rights reserved.</t>
  </si>
  <si>
    <t>[Pope, Ed L.; Talling, Peter J.; Clare, Michael A.; Hunt, James E.] Univ Southampton, Natl Oceanog Ctr, Waterfront Campus,European Way, Southampton SO14 3ZH, Hants, England; [Pope, Ed L.] Univ Durham, Dept Geog, Sci Labs, South Rd, Durham DH1 3LE, England; [Talling, Peter J.] Univ Durham, Sci Labs, Dept Earth Sci, South Rd, Durham DH1 3LE, England; [Talling, Peter J.] Univ Durham, Sci Labs, Dept Geog, South Rd, Durham DH1 3LE, England; [Carter, Lionel] Victoria Univ Wellington, Antarctic Res Ctr, Wellington, New Zealand</t>
  </si>
  <si>
    <t>University of Southampton; NERC National Oceanography Centre; Durham University; Durham University; Durham University; Victoria University Wellington</t>
  </si>
  <si>
    <t>Pope, EL (corresponding author), Univ Southampton, Natl Oceanog Ctr, Waterfront Campus,European Way, Southampton SO14 3ZH, Hants, England.</t>
  </si>
  <si>
    <t>Ed.Pope@noc.soton.ac.uk</t>
  </si>
  <si>
    <t>Clare, Michael A/C-7937-2016; Hunt, James/JDC-4879-2023; Pope, Ed/H-9409-2017</t>
  </si>
  <si>
    <t>Hunt, James/0000-0001-9852-6200; Talling, Peter/0000-0001-5234-0398; Pope, Ed/0000-0002-2090-2971</t>
  </si>
  <si>
    <t>NERC Environmental Risks to Infrastructure Innovation Programme [NE/N012798/1, NE/P009190/1]; NERC Royal Society Industry Fellowship; NERC Knowledge Exchange Fellowship [NE/P005780/1]; Natural Environment Research Council [NE/P005780/1, NE/N012798/1, NE/M017540/2, NE/P009190/1, NE/M017540/1, noc010011] Funding Source: researchfish; NERC [noc010011, NE/P009190/1, NE/P005780/1, NE/M017540/1, NE/N012798/1, NE/M017540/2] Funding Source: UKRI</t>
  </si>
  <si>
    <t>NERC Environmental Risks to Infrastructure Innovation Programme; NERC Royal Society Industry Fellowship; NERC Knowledge Exchange Fellowship(UK Research &amp; Innovation (UKRI)Natural Environment Research Council (NERC)); Natural Environment Research Council(UK Research &amp; Innovation (UKRI)Natural Environment Research Council (NERC)); NERC(UK Research &amp; Innovation (UKRI)Natural Environment Research Council (NERC))</t>
  </si>
  <si>
    <t>We are very grateful to Global Marine Systems Ltd. (GMSL) for access and permission to use its cable break database. In this regard, the assistance of Brian Perrat and Steve Holden of GMSL is particularly appreciated. General information on subsea telecommunications cables was generously supplied by the International Cable Protection Committee and its members. We thank the British Atmospheric Data Centre and ECMWF for providing reanalysis data. This work was supported by two NERC Environmental Risks to Infrastructure Innovation Programme grants (NE/N012798/1 and NE/P009190/1). Tailing was supported by a NERC Royal Society Industry Fellowship to understand submarine sediment flows and the risk they pose to global telecommunications. Clare was supported by a NERC Knowledge Exchange Fellowship to identify and fill the gaps in knowledge of environmental risks to infrastructure (NE/P005780/1). We would like to thank the editor Martin Frank, David Piper and an anonymous reviewer for their in depth reviews and comments which greatly improved this manuscript.</t>
  </si>
  <si>
    <t>10.1016/j.epsl.2016.10.046</t>
  </si>
  <si>
    <t>Green Accepted</t>
  </si>
  <si>
    <t>WOS:000392685100015</t>
  </si>
  <si>
    <t>Isobe, A; Uchiyama-Matsumoto, K; Uchida, K; Tokai, T</t>
  </si>
  <si>
    <t>Isobe, Atsuhiko; Uchiyama-Matsumoto, Kaori; Uchida, Keiichi; Tokai, Tadashi</t>
  </si>
  <si>
    <t>Microplastics in the Southern Ocean</t>
  </si>
  <si>
    <t>Microplastics; Mesoplastics; Concentration; Total particle count</t>
  </si>
  <si>
    <t>MARINE-ENVIRONMENT; SEA; PLASTICS; DEBRIS</t>
  </si>
  <si>
    <t>A field survey to collect microplastics with sizes &lt;5 mm was conducted in the Southern Ocean in 2016. We performed five net-tows and collected 44 pieces of plastic. Total particle counts of the entire water column, which is free of vertical mixing, were computed using the surface concentration (particle count per unit seawater volume) of microplastics, wind speed, and significant wave height during the observation period. Total particle counts at two stations near Antarctica were estimated to be in the order of 100,000 pieces km(-2). (C) 2016 The Authors. Published by Elsevier Ltd.</t>
  </si>
  <si>
    <t>[Isobe, Atsuhiko] Kyushu Univ, Appl Mech Res Inst, 6-1 Kasuga Koen, Kasuga, Fukuoka 8168580, Japan; [Uchiyama-Matsumoto, Kaori] Tokyo Univ Marine Sci &amp; Technol, Observat &amp; Res Ctr Ocean Syst, Minato Ku, 4-5-7 Konan, Tokyo 1088477, Japan; [Uchida, Keiichi; Tokai, Tadashi] Tokyo Univ Marine Sci &amp; Technol, Minato Ku, 4-5-7 Konan, Tokyo 1088477, Japan</t>
  </si>
  <si>
    <t>Kyushu University; Tokyo University of Marine Science &amp; Technology; Tokyo University of Marine Science &amp; Technology</t>
  </si>
  <si>
    <t>Isobe, A (corresponding author), Kyushu Univ, Appl Mech Res Inst, 6-1 Kasuga Koen, Kasuga, Fukuoka 8168580, Japan.</t>
  </si>
  <si>
    <t>aisobe@riam.kyushu-u.ac.jp; uchiko.kaori@gmail.com; kuchida@kaiyodai.ac.jp; tokai@kaiyodai.ac.jp</t>
  </si>
  <si>
    <t>Isobe, Atsuhiko/G-4654-2015; Tokai, Tadashi/O-1882-2014</t>
  </si>
  <si>
    <t>Isobe, Atsuhiko/0000-0002-9063-9275; Tokai, Tadashi/0000-0003-2681-9527</t>
  </si>
  <si>
    <t>Environmental Research and Technology Development Fund of the Ministry of the Environment, Government of Japan [4-1502]; MEXT</t>
  </si>
  <si>
    <t>Environmental Research and Technology Development Fund of the Ministry of the Environment, Government of Japan; MEXT(Ministry of Education, Culture, Sports, Science and Technology, Japan (MEXT))</t>
  </si>
  <si>
    <t>The authors sincerely thank the Captain, officers, and crews of the Umitaka-maru for their assistance during the field surveys. We thank the journal reviewer for valuable suggestions to improve the manuscript. This research was supported by the Environmental Research and Technology Development Fund (4-1502) of the Ministry of the Environment, Government of Japan, and by MEXT for physical and chemical oceanographic observations under the Japanese Antarctic Research Expedition.</t>
  </si>
  <si>
    <t>10.1016/j.marpolbul.2016.09.037</t>
  </si>
  <si>
    <t>WOS:000392768900078</t>
  </si>
  <si>
    <t>Miralles, I; Jorge-Villar, SE; van Wesemael, B; Lázaro, R</t>
  </si>
  <si>
    <t>Miralles, I.; Jorge-Villar, S. E.; van Wesemael, B.; Lazaro, R.</t>
  </si>
  <si>
    <t>Raman spectroscopy detection of biomolecules in biocrusts from differing environmental conditions</t>
  </si>
  <si>
    <t>SPECTROCHIMICA ACTA PART A-MOLECULAR AND BIOMOLECULAR SPECTROSCOPY</t>
  </si>
  <si>
    <t>Biomolecules; Cyanobacteria; Lichens; Microclimate; Seasonality; Hydration state</t>
  </si>
  <si>
    <t>BIOLOGICAL SOIL CRUST; LICHEN FLAVOCETRARIA-NIVALIS; USNIC ACID CONCENTRATIONS; SEMIARID SE SPAIN; ULTRAVIOLET-RADIATION; WATER RELATIONS; ANTARCTIC CYANOBACTERIA; SECONDARY COMPOUNDS; LOBARIA-PULMONARIA; EPILITHIC LICHENS</t>
  </si>
  <si>
    <t>Lichens and cyanobacteria colonize inhospitable places covering a wide climate range due to their different survival strategies, such as the synthesis of protective biomolecules. The effect of ecological factors on the synthesis of biomolecules has not been widely analysed. This study aimed to assess the effects of four factors (species, microclimate, seasonality and hydration state) and their interactions on the biomolecule frequency detected by Raman Spectroscopy. We included cyanobacterial biocrusts, and the lichens Diploschistes diacapsis, Squamarina lentigera, and Lepraria isidiata; two contrasted microclimates (typical and marginal), two contrasted seasons (hot and dry vs cool and wet) and two hydration states (dry and wet). Species was the most influential factor in the identity and frequency of the main biomolecules. Microclimatic differences in the range of the local specific habitats only influenced the biomolecules in cyanobacteria. There was a quadruple interaction among the factors, the effects being different mainly depending on the species. At D. diacapsis, the production of their main biomolecules depended on microdimate, although it also depended on seasonality. Nevertheless, in L. isidiata and S. lentigera microclimatic differences did not significantly affect the production of biomolecules. In the lichen species, the microhabitats exposed to relatively larger incident radiation did not show significantly larger relative frequency of photoprotective biomolecules. No clear connection between higher production of oxalates and drier microhabitats was found, suggesting that the synthesis of oxalates is not related to water reserve strategy. The pros and cons of monitor biomolecules in biocrust by Raman spectrometry were also discussed. (C) 2016 Published by Elsevier B.V.</t>
  </si>
  <si>
    <t>[Miralles, I.; van Wesemael, B.] Catholic Univ Louvain, Earth &amp; Life Inst, Louvain La Neuve, Belgium; [Miralles, I.; Lazaro, R.] Expt Stn Arid Zones CSIC, Almeria, Spain; [Jorge-Villar, S. E.] Univ Burgos, Area Geodinam Interna, Burgos, Spain; [Jorge-Villar, S. E.] Natl Ctr Res Human Evolut CENIEH, Burgos, Spain</t>
  </si>
  <si>
    <t>Universite Catholique Louvain; Consejo Superior de Investigaciones Cientificas (CSIC); CSIC - Estacion Experimental de Zonas Aridas (EEZA); Universidad de Burgos; Centro Nacional de Investigacion de La Evolucion Humana (CENIEH)</t>
  </si>
  <si>
    <t>Miralles, I (corresponding author), Catholic Univ Louvain, Earth &amp; Life Inst, Louvain La Neuve, Belgium.</t>
  </si>
  <si>
    <t>isa@eeza.csic.es</t>
  </si>
  <si>
    <t>Suau, Roberto Lázaro/S-1428-2019; Van+Wesemael, Bas/Y-2444-2019; Jorge-Villar, Susana E./A-8927-2011</t>
  </si>
  <si>
    <t>Suau, Roberto Lázaro/0000-0001-7940-9594; Jorge-Villar, Susana E./0000-0003-1676-4438; Miralles, Isabel/0000-0002-7385-3720; van Wesemael, Bas/0000-0003-4007-0241</t>
  </si>
  <si>
    <t>Marie Curie Intra-European Fellowship (FP7-PEOPLE-IEF) [623393]; Spanish Ministry of Economy and Competitiveness (MINECO) [CGL2015-71709-R]; Asociacion Espanola de Ecologia Terrestre [Spanish Association for Terrestrial Ecology (AEET)]; SCIN (Soil Crust Inter-National), a European project - ERA-NET BIODIVERSA [PRI-PIMBDV-2011-0874]; Spanish Ministry of Economy and Competitiveness</t>
  </si>
  <si>
    <t>Marie Curie Intra-European Fellowship (FP7-PEOPLE-IEF)(European Union (EU)); Spanish Ministry of Economy and Competitiveness (MINECO)(Spanish Government); Asociacion Espanola de Ecologia Terrestre [Spanish Association for Terrestrial Ecology (AEET)]; SCIN (Soil Crust Inter-National), a European project - ERA-NET BIODIVERSA; Spanish Ministry of Economy and Competitiveness(Spanish Government)</t>
  </si>
  <si>
    <t>The first author is grateful for funding received from the Marie Curie Intra-European Fellowship (FP7-PEOPLE-2013-IEF, Proposal no 623393). The authors are also grateful for funding received under the Spanish Ministry of Economy and Competitiveness (MINECO) by the NACAL Project (CGL2015-71709-R), the Variaciones de pigmentos y otros metabolitos causadas por el microclima en especies slave de costras biologicas del suelo [Variations in pigments and other metabolites caused by microclimate in key soil biocrust species] project funded by the Asociacion Espanola de Ecologia Terrestre [Spanish Association for Terrestrial Ecology (AEET)], and the SCIN (Soil Crust Inter-National, PRI-PIMBDV-2011-0874), a European project cofunded by the ERA-NET BIODIVERSA and the Spanish Ministry of Economy and Competitiveness.</t>
  </si>
  <si>
    <t>1386-1425</t>
  </si>
  <si>
    <t>SPECTROCHIM ACTA A</t>
  </si>
  <si>
    <t>Spectroc. Acta Pt. A-Molec. Biomolec. Spectr.</t>
  </si>
  <si>
    <t>10.1016/j.saa.2016.07.035</t>
  </si>
  <si>
    <t>Spectroscopy</t>
  </si>
  <si>
    <t>DZ1MA</t>
  </si>
  <si>
    <t>WOS:000385601300006</t>
  </si>
  <si>
    <t>Malde, K; Seliussen, BB; Quintela, M; Dahle, G; Besnier, F; Skaug, HJ; Oien, N; Solvang, HK; Haug, T; Skern-Mauritzen, R; Kanda, N; Pastene, LA; Jonassen, I; Glover, KA</t>
  </si>
  <si>
    <t>Malde, Ketil; Seliussen, Bjorghild B.; Quintela, Maria; Dahle, Geir; Besnier, Francois; Skaug, Hans J.; Oien, Nils; Solvang, Hiroko K.; Haug, Tore; Skern-Mauritzen, Rasmus; Kanda, Naohisa; Pastene, Luis A.; Jonassen, Inge; Glover, Kevin A.</t>
  </si>
  <si>
    <t>Whole genome resequencing reveals diagnostic markers for investigating global migration and hybridization between minke whale species</t>
  </si>
  <si>
    <t>SOUTHERN-OCEAN; BALAENOPTERA-BONAERENSIS; POPULATION-STRUCTURE; HYBRIDS; INDIVIDUALS; DECLINE; COMMON</t>
  </si>
  <si>
    <t>Background: In the marine environment, where there are few absolute physical barriers, contemporary contact between previously isolated species can occur across great distances, and in some cases, may be inter-oceanic. An example of this can be seen in the minke whale species complex. Antarctic minke whales are genetically and morphologically distinct from the common minke found in the north Atlantic and Pacific oceans, and the two species are estimated to have been isolated from each other for 5 million years or more. Recent atypical migrations from the southern to the northern hemisphere have been documented and fertile hybrids and back-crossed individuals between both species have also been identified. However, it is not known whether this represents a contemporary event, potentially driven by ecosystem changes in the Antarctic, or a sporadic occurrence happening over an evolutionary time-scale. We successfully used whole genome resequencing to identify a panel of diagnostic SNPs which now enable us address this evolutionary question. Results: A large number of SNPs displaying fixed or nearly fixed allele frequency differences among the minke whale species were identified from the sequence data. Five panels of putatively diagnostic markers were established on a genotyping platform for validation of allele frequencies; two panels (26 and 24 SNPs) separating the two species of minke whale, and three panels (22, 23, and 24 SNPs) differentiating the three subspecies of common minke whale. The panels were validated against a set of reference samples, demonstrating the ability to accurately identify back-crossed whales up to three generations. Conclusions: This work has resulted in the development of a panel of novel diagnostic genetic markers to address inter-oceanic and global contact among the genetically isolated minke whale species and sub-species. These markers, including a globally relevant genetic reference data set for this species complex, are now openly available for researchers interested in identifying other potential whale hybrids in the world's oceans. The approach used here, combining whole genome resequencing and high-throughput genotyping, represents a universal approach to develop similar tools for other species and population complexes.</t>
  </si>
  <si>
    <t>[Malde, Ketil; Quintela, Maria; Dahle, Geir; Besnier, Francois; Skaug, Hans J.; Oien, Nils; Solvang, Hiroko K.; Skern-Mauritzen, Rasmus; Glover, Kevin A.] Inst Marine Res, POB 1870Nordnes, N-5817 Bergen, Norway; [Kanda, Naohisa; Pastene, Luis A.] Inst Cetacean Res, Chuo Ku, Toyomi Cho 4-5, Tokyo 1040055, Japan; [Haug, Tore] Inst Marine Res, POB 6404, N-9294 Tromso, Norway; [Skaug, Hans J.] Univ Bergen, Dept Math, N-5020 Bergen, Norway; [Malde, Ketil; Jonassen, Inge] Univ Bergen, Dept Informat, N-5020 Bergen, Norway; [Glover, Kevin A.] Univ Bergen, Dept Biol, N-5020 Bergen, Norway; [Kanda, Naohisa] Japan NUS Co Ltd, Nishi Shinjuku Kimuraya Bldg 5F, Nishi Shinjuku 1600023, Japan</t>
  </si>
  <si>
    <t>Institute of Marine Research - Norway; Institute of Marine Research - Norway; University of Bergen; University of Bergen; University of Bergen; Japan NUS</t>
  </si>
  <si>
    <t>Glover, KA (corresponding author), Inst Marine Res, POB 1870Nordnes, N-5817 Bergen, Norway.;Glover, KA (corresponding author), Univ Bergen, Dept Biol, N-5020 Bergen, Norway.</t>
  </si>
  <si>
    <t>kevin.glover@imr.no</t>
  </si>
  <si>
    <t>M, Ketil/AAH-5604-2020; Quintela, María/E-2908-2012; Jonassen, Inge/AAC-7035-2020</t>
  </si>
  <si>
    <t>Quintela, Maria/0000-0003-4762-2192; Breistein, Bjorghild/0000-0002-1805-7190</t>
  </si>
  <si>
    <t>Norwegian Ministry of Industry and Fisheries</t>
  </si>
  <si>
    <t>We would like to acknowledge the assistance of Lotta Lindblom and Anne-Grete Sorvik from the Institute of Marine Research for organizing tissue samples within the NMDR and contributing to the genotyping respectively. This study was financed by the Norwegian Ministry of Industry and Fisheries, although they had no participation in the design of the study nor in the interpretation of the results.</t>
  </si>
  <si>
    <t>JAN 13</t>
  </si>
  <si>
    <t>10.1186/s12864-016-3416-5</t>
  </si>
  <si>
    <t>EL1KH</t>
  </si>
  <si>
    <t>WOS:000394378800003</t>
  </si>
  <si>
    <t>Gencarelli, CN; Bieser, J; Carbone, F; De Simone, F; Hedgecock, IM; Matthias, V; Travnikov, O; Yang, X; Pirrone, N</t>
  </si>
  <si>
    <t>Gencarelli, Christian N.; Bieser, Johannes; Carbone, Francesco; De Simone, Francesco; Hedgecock, Ian M.; Matthias, Volker; Travnikov, Oleg; Yang, Xin; Pirrone, Nicola</t>
  </si>
  <si>
    <t>Sensitivity model study of regional mercury dispersion in the atmosphere</t>
  </si>
  <si>
    <t>MARINE BOUNDARY-LAYER; OXIDIZED MERCURY; TROPOSPHERIC OZONE; BROMINE CHEMISTRY; ELEMENTAL MERCURY; SOUTHEASTERN US; NORTH-AMERICA; CMAQ MODEL; DEPOSITION; IMPACT</t>
  </si>
  <si>
    <t>Atmospheric deposition is the most important pathway by which Hg reaches marine ecosystems, where it can be methylated and enter the base of food chain. The deposition, transport and chemical interactions of atmospheric Hg have been simulated over Europe for the year 2013 in the framework of the Global Mercury Observation System (GMOS) project, performing 14 different model sensitivity tests using two high-resolution three-dimensional chemical transport models (CTMs), varying the anthropogenic emission datasets, atmospheric Br input fields, Hg oxidation schemes and modelling domain boundary condition input. Sensitivity simulation results were compared with observations from 28 monitoring sites in Europe to assess model performance and particularly to analyse the influence of anthropogenic emission speciation and the Hg-(g)(0) atmospheric oxidation mechanism. The contribution of anthropogenic Hg emissions, their speciation and vertical distribution are crucial to the simulated concentration and deposition fields, as is also the choice of Hg-(g)(0) oxidation pathway. The areas most sensitive to changes in Hg emission speciation and the emission vertical distribution are those near major sources, but also the Aegean and the Black seas, the English Channel, the Skagerrak Strait and the northern German coast. Considerable influence was found also evident over the Mediterranean, the North Sea and Baltic Sea and some influence is seen over continental Europe, while this difference is least over the north-western part of the modelling domain, which includes the Norwegian Sea and Iceland. The Br oxidation pathway produces more Hg-(g)(II) in the lower model levels, but overall wet deposition is lower in comparison to the simulations which employ an O-3/OH oxidation mechanism. The necessity to perform continuous measurements of speciated Hg and to investigate the local impacts of Hg emissions and deposition, as well as interactions dependent on land use and vegetation, forests, peat bogs, etc., is highlighted in this study.</t>
  </si>
  <si>
    <t>[Gencarelli, Christian N.; Carbone, Francesco; De Simone, Francesco; Hedgecock, Ian M.] CNR, Inst Atmospher Pollut Res, Div Rende, Arcavacata Di Rende, Italy; [Bieser, Johannes; Matthias, Volker] Helmholtz Zentrum Geesthacht, Inst Coastal Res, Geesthacht, Germany; [Bieser, Johannes] Natl Aeronaut &amp; Space Ctr DLR, Oberpfaffenhofen, Wessling, Germany; [Travnikov, Oleg] East EMEP, Meteorol Synthesizing Ctr, 2nd Roshchinsky Proezd 8-5, Moscow 115419, Russia; [Yang, Xin] British Antarctic Survey, Cambridge, England; [Pirrone, Nicola] CNR, Inst Atmospher Pollut Res, Rome, Italy</t>
  </si>
  <si>
    <t>Consiglio Nazionale delle Ricerche (CNR); Istituto Sull'inquinamento Atmosferico (IIA-CNR); Helmholtz Association; Helmholtz-Zentrum Hereon; UK Research &amp; Innovation (UKRI); Natural Environment Research Council (NERC); NERC British Antarctic Survey; Consiglio Nazionale delle Ricerche (CNR); Istituto Sull'inquinamento Atmosferico (IIA-CNR)</t>
  </si>
  <si>
    <t>Gencarelli, CN (corresponding author), CNR, Inst Atmospher Pollut Res, Div Rende, Arcavacata Di Rende, Italy.</t>
  </si>
  <si>
    <t>christian.gencarelli@iia.cnr.it</t>
  </si>
  <si>
    <t>De Simone, Francesco/IZP-8333-2023; Pirrone, Nicola/IXD-5019-2023; Bieser, Johannes/R-2583-2017; De Simone, Francesco/HDN-9081-2022; Hedgecock, Ian Michael/ITV-3348-2023; Travnikov, Oleg/ACL-2820-2022; Yang, Xin/AGB-3514-2022</t>
  </si>
  <si>
    <t>Bieser, Johannes/0000-0003-2938-3124; Hedgecock, Ian Michael/0000-0002-3743-1870; Travnikov, Oleg/0000-0002-4413-0777; Yang, Xin/0000-0002-3838-9758; Carbone, Francesco/0000-0002-3559-5273; Matthias, Volker/0000-0003-0519-8805; De Simone, Francesco/0000-0003-0252-2382; Gencarelli, Christian Natale/0000-0002-2366-661X</t>
  </si>
  <si>
    <t>EU project GMOS [FP7-265113]; NERC [bas0100032] Funding Source: UKRI; Natural Environment Research Council [bas0100032] Funding Source: researchfish</t>
  </si>
  <si>
    <t>EU project GMOS; NERC(UK Research &amp; Innovation (UKRI)Natural Environment Research Council (NERC)); Natural Environment Research Council(UK Research &amp; Innovation (UKRI)Natural Environment Research Council (NERC))</t>
  </si>
  <si>
    <t>We are grateful to the WRF/Chem developers and to the NCAR ESL Atmospheric Chemistry Division for making the WRF/Chem and the WRF/Chem preprocessor codes freely available. We gratefully acknowledge EMEP for maintaining and making available the database of monitoring station data. We thank Noelle Eckley Selin and Shaojie Song at the Massachusetts Institute of Technology, Cambridge, for completion of GEOSCHEM Br input, used in the BRCHEM2 experiment. The research was performed in the framework of the EU project GMOS (FP7-265113), the National Reference Centre for Mercury (CNRM, Italy) and the STM program of the Italian CNR.</t>
  </si>
  <si>
    <t>10.5194/acp-17-627-2017</t>
  </si>
  <si>
    <t>EK4JK</t>
  </si>
  <si>
    <t>gold, Green Submitted, Green Accepted</t>
  </si>
  <si>
    <t>WOS:000393892700001</t>
  </si>
  <si>
    <t>Genthon, C; Piard, L; Vignon, E; Madeleine, JB; Casado, M; Gallée, H</t>
  </si>
  <si>
    <t>Genthon, Christophe; Piard, Luc; Vignon, Etienne; Madeleine, Jean-Baptiste; Casado, Mathieu; Gallee, Hubert</t>
  </si>
  <si>
    <t>Atmospheric moisture supersaturation in the near-surface atmosphere at Dome C, Antarctic Plateau</t>
  </si>
  <si>
    <t>BOUNDARY-LAYER; VISUAL OBSERVATIONS; ENERGY BALANCE; SNOW; SIMULATION; SEA; PRECIPITATION; HALLEY; MODEL</t>
  </si>
  <si>
    <t>Supersaturation often occurs at the top of the troposphere where cirrus clouds form, but is comparatively unusual near the surface where the air is generally warmer and laden with liquid and/or ice condensation nuclei. One exception is the surface of the high Antarctic Plateau. One year of atmospheric moisture measurement at the surface of Dome C on the East Antarctic Plateau is presented. The measurements are obtained using commercial hygrometry sensors modified to allow air sampling without affecting the moisture content, even in the case of supersaturation. Supersaturation is found to be very frequent. Common unadapted hygrometry sensors generally fail to report supersaturation, and most reports of atmospheric moisture on the Antarctic Plateau are thus likely biased low. The measurements are compared with results from two models implementing cold microphysics parameterizations: the European Center for Medium-range Weather Forecasts through its operational analyses, and the Model Atmospherique Regional. As in the observations, supersaturation is frequent in the models but the statistical distribution differs both between models and observations and between the two models, leaving much room for model improvement. This is unlikely to strongly affect estimations of surface sublimation because supersaturation is more frequent as temperature is lower, and moisture quantities and thus water fluxes are small anyway. Ignoring supersaturation may be a more serious issue when considering water isotopes, a tracer of phase change and temperature, largely used to reconstruct past climates and environments from ice cores. Because observations are easier in the surface atmosphere, longer and more continuous in situ observation series of atmospheric supersaturation can be obtained than higher in the atmosphere to test parameterizations of cold microphysics, such as those used in the formation of high-altitude cirrus clouds in meteorological and climate models.</t>
  </si>
  <si>
    <t>[Genthon, Christophe; Piard, Luc; Vignon, Etienne; Gallee, Hubert] Univ Grenoble Alpes, CNRS, IRD, IGE, F-38000 Grenoble, France; [Madeleine, Jean-Baptiste] UPMC Univ Paris 06, Sorbonne Univ, UMR 8539, Lab Meteorol Dynam IPSL, F-75005 Paris, France; [Madeleine, Jean-Baptiste] CNRS, UMR 8539, Lab Meteorol Dynam IPSL, F-75005 Paris, France; [Casado, Mathieu] CEA CNRS UVSQ U Paris Saclay, LSCE IPSL, Gif Sur Yvette, France</t>
  </si>
  <si>
    <t>Centre National de la Recherche Scientifique (CNRS); Institut de Recherche pour le Developpement (IRD); Communaute Universite Grenoble Alpes; Universite Grenoble Alpes (UGA); Centre National de la Recherche Scientifique (CNRS); CNRS - National Institute for Earth Sciences &amp; Astronomy (INSU); Sorbonne Universite; Sorbonne Universite; Centre National de la Recherche Scientifique (CNRS); CNRS - National Institute for Earth Sciences &amp; Astronomy (INSU); CEA; Centre National de la Recherche Scientifique (CNRS); Universite Paris Saclay</t>
  </si>
  <si>
    <t>Genthon, C (corresponding author), Univ Grenoble Alpes, CNRS, IRD, IGE, F-38000 Grenoble, France.</t>
  </si>
  <si>
    <t>christophe.genthon@univ-grenoble-alpes.fr</t>
  </si>
  <si>
    <t>VIGNON, Etienne/0000-0003-3801-9367; Casado, Mathieu/0000-0002-8185-415X; Genthon, Christophe/0000-0002-3678-4447</t>
  </si>
  <si>
    <t>French polar institute IPEV through program CALVA [1013]; INSU; OSUG through observatory program GLACIOCLIM; European Research Council under the European Union's Seventh Framework Programme (FP7)/ERC [306045]; UPMC university</t>
  </si>
  <si>
    <t>French polar institute IPEV through program CALVA; INSU(Centre National de la Recherche Scientifique (CNRS)); OSUG through observatory program GLACIOCLIM; European Research Council under the European Union's Seventh Framework Programme (FP7)/ERC(European Research Council (ERC)); UPMC university</t>
  </si>
  <si>
    <t>Support for field measurements was provided by the French polar institute IPEV through program CALVA (1013). Concordia station is jointly operated by the IPEV and PNRA. INSU provided support through programs LEFE CLAPA and DEPHY2. Support by OSUG through observatory program GLACIOCLIM is also acknowledged. The BSRN upwelling infrared radiation data, which served to calculate the snow surface temperature, were kindly provided by Christian Lanconelli, CNR ISAC. The research leading to these results has received funding from the European Research Council under the European Union's Seventh Framework Programme (FP7/2007-2013)/ERC grant agreement no. (306045). JBM also thanks UPMC university for financial assistance. We thank John King and two anonymous reviewers for their careful evaluation and thoughtful comments and suggestions on the initial (ACPD) version of the paper.</t>
  </si>
  <si>
    <t>10.5194/acp-17-691-2017</t>
  </si>
  <si>
    <t>WOS:000393892700004</t>
  </si>
  <si>
    <t>Nishizawa, B; Matsuno, K; Labunski, EA; Kuletz, KJ; Yamaguchi, A; Watanuki, Y</t>
  </si>
  <si>
    <t>Nishizawa, Bungo; Matsuno, Kohei; Labunski, Elizabeth A.; Kuletz, Kathy J.; Yamaguchi, Atsushi; Watanuki, Yutaka</t>
  </si>
  <si>
    <t>Seasonal distribution of short-tailed shearwaters and their prey in the Bering and Chukchi seas</t>
  </si>
  <si>
    <t>BIOGEOSCIENCES</t>
  </si>
  <si>
    <t>WATER MASS CHARACTERISTICS; THYSANOESSA-RASCHII; COUNTING SEABIRDS; PRIBILOF ISLANDS; PACIFIC-OCEAN; EUPHAUSIIDS; SHELF; VARIABILITY; ABUNDANCE; INERMIS</t>
  </si>
  <si>
    <t>The short-tailed shearwater (Ardenna tenuirostris) is one of the abundant marine top predators in the Pacific; this seabird spends its non-breeding period in the northern North Pacific during May-October and many visit the southern Chukchi Sea in August-September. We examined potential factors affecting this seasonal pattern of distribution by counting short-tailed shearwaters from boats. Their main prey, krill, was sampled by net tows in the southeastern Bering Sea/Aleutian Islands and in the Bering Strait/southern Chukchi Sea. Short-tailed shearwaters were mainly distributed in the southeastern Bering Sea/Aleutian Islands (60 +/- 473 birds km(-2)) in July 2013, and in the Bering Strait/southern Chukchi Sea (19 +/- 91 birds km(-2)) in September 2012. In the Bering Strait/southern Chukchi Sea, krill size was greater in September 2012 (9.6 +/- 5.0 mm in total length) than in July 2013 (1.9 +/- 1.2 mm). Within the Bering Strait/southern Chukchi Sea in September 2012, short-tailed shearwaters occurred more frequently in cells (50 +/- 50 km) where large-sized krill were more abundant. These findings, and information previously collected in other studies, suggest that the seasonal northward movement of short-tailed shearwaters might be associated with the seasonal increase in krill size in the Bering Strait/southern Chukchi Sea. We could not, however, rule out the possibility that large interannual variation in krill abundance might influence the seasonal distribution of shearwaters. This study highlights the importance of krill, which is advected from the Pacific, as an important prey of top predators in the Arctic marine ecosystem.</t>
  </si>
  <si>
    <t>[Nishizawa, Bungo; Yamaguchi, Atsushi; Watanuki, Yutaka] Hokkaido Univ, Grad Sch Fisheries Sci, 3-1-1 Minato Cho, Hakodate, Hokkaido 0418611, Japan; [Matsuno, Kohei] Australian Antarctic Div, 203 Channel Highway, Kingston, Tas 7050, Australia; [Labunski, Elizabeth A.; Kuletz, Kathy J.] US Fish &amp; Wildlife Serv, 1011 E Tudor Rd, Anchorage, AK 99503 USA</t>
  </si>
  <si>
    <t>Hokkaido University; Australian Antarctic Division; United States Department of the Interior; US Fish &amp; Wildlife Service</t>
  </si>
  <si>
    <t>Nishizawa, B (corresponding author), Hokkaido Univ, Grad Sch Fisheries Sci, 3-1-1 Minato Cho, Hakodate, Hokkaido 0418611, Japan.</t>
  </si>
  <si>
    <t>nishizawa@salmon.fish.hokudai.ac.jp</t>
  </si>
  <si>
    <t>Yamaguchi, Atsushi/A-8613-2012; Matsuno, Kohei/AAJ-6510-2021</t>
  </si>
  <si>
    <t>Yamaguchi, Atsushi/0000-0002-5646-3608; Matsuno, Kohei/0000-0001-9793-7622</t>
  </si>
  <si>
    <t>Green Network of Excellence Program (GRENE); Arctic Challenge for Sustainability project (ArCS)</t>
  </si>
  <si>
    <t>We thank the captain, officers, and crews of the T/S Oshoro-Maru and R/V Mirai, as well as T. Hirawake (chief scientist of the T/S Oshoro-Maru cruise in 2013), Y. Iwahara, Y. Mitani, T. Nakano, and Y. Kono for their help in seabird surveys and zooplankton samplings. H. Waga helped to analyze satellite images of chlorophyll a concentrations and sea-ice concentrations. We also thank G. Hunt, who provided useful comments on the manuscript. This study was conducted with funds from the Green Network of Excellence Program (GRENE, led by T. Kikuchi) and the Arctic Challenge for Sustainability project (ArCS, led by T. Hirawake).</t>
  </si>
  <si>
    <t>1726-4170</t>
  </si>
  <si>
    <t>1726-4189</t>
  </si>
  <si>
    <t>Biogeosciences</t>
  </si>
  <si>
    <t>10.5194/bg-14-203-2017</t>
  </si>
  <si>
    <t>Ecology; Geosciences, Multidisciplinary</t>
  </si>
  <si>
    <t>Environmental Sciences &amp; Ecology; Geology</t>
  </si>
  <si>
    <t>EK4JV</t>
  </si>
  <si>
    <t>WOS:000393893800001</t>
  </si>
  <si>
    <t>Hinke, JT; Cossio, AM; Goebel, ME; Reiss, CS; Trivelpiece, WZ; Watters, GM</t>
  </si>
  <si>
    <t>Hinke, Jefferson T.; Cossio, Anthony M.; Goebel, Michael E.; Reiss, Christian S.; Trivelpiece, Wayne Z.; Watters, George M.</t>
  </si>
  <si>
    <t>Identifying Risk: Concurrent Overlap of the Antarctic Krill Fishery with Krill-Dependent Predators in the Scotia Sea</t>
  </si>
  <si>
    <t>SOUTH SHETLAND ISLANDS; SCALE MANAGEMENT UNITS; CHINSTRAP PENGUINS; EUPHAUSIA-SUPERBA; FUR SEALS; ARCTOCEPHALUS-GAZELLA; PYGOSCELID PENGUINS; MARINE ECOSYSTEM; DIVING BEHAVIOR; ARGOS LOCATIONS</t>
  </si>
  <si>
    <t>Mitigating direct and indirect interactions between marine predators and fisheries is a motivating factor for ecosystem-based fisheries management (EBFM), especially where predators and fisheries compete for a shared resource. One difficulty in advancing EBFM is parameterizing clear functional responses of predators to indices of prey availability. Alternative characterizations of fishery-predator interactions may therefore benefit the implementation of EBFM. Telemetry data identify foraging areas used by predators and, therefore, represent critical information to mitigate potential competition between predators and fisheries. We analyzed six years (2009-2014) of telemetry data collected at Cape Shirreff, Livingston Island and Admiralty Bay, King George Island, Antarctica, on three species of Pygoscelid penguins and female Antarctic fur seals. In this region, all four species are primarily dependent on Antarctic krill. The tracking data demonstrate local movements near breeding colonies during the austral summer and dispersal from breeding colonies during the winter. We then assessed overlap between predators and the Antarctic krill fishery on a suite of spatiotemporal scales to examine how different data aggregations affect the extent and location of overlap. Concurrent overlap was observed on all spatiotemporal scales considered throughout the Antarctic Peninsula and South Orkney Islands region, including near tagging locations and in distant areas where recent fishing activity has concentrated. Overlap occurred at depths where mean krill densities were relatively high. Our results demonstrate that direct overlap of krill-dependent predators with the krill fishery on small spatiotemporal scales is relatively common throughout the Antarctic Peninsula region. As the krill fishery continues to develop and efforts to implement ecosystem-based management mature, indices of overlap may provide a useful metric for indicating where the risks of fishing are highest. A precautionary approach to allocating krill catches in space would be to avoid large increases in catch where overlap on small spatiotemporal scales is common.</t>
  </si>
  <si>
    <t>[Hinke, Jefferson T.; Cossio, Anthony M.; Goebel, Michael E.; Reiss, Christian S.; Trivelpiece, Wayne Z.; Watters, George M.] Natl Marine Fisheries Serv, Antarctic Ecosyst Res Div, Southwest Fisheries Sci Ctr, NOAA, La Jolla, CA 92038 USA</t>
  </si>
  <si>
    <t>National Oceanic Atmospheric Admin (NOAA) - USA</t>
  </si>
  <si>
    <t>Hinke, JT (corresponding author), Natl Marine Fisheries Serv, Antarctic Ecosyst Res Div, Southwest Fisheries Sci Ctr, NOAA, La Jolla, CA 92038 USA.</t>
  </si>
  <si>
    <t>Jefferson.Hinke@noaa.gov</t>
  </si>
  <si>
    <t>Cossio, Anthony/HLX-3335-2023; Watters, George/HPE-2184-2023; , Jefferson/AAG-1702-2021</t>
  </si>
  <si>
    <t>Watters, George/0000-0002-6989-1273; , Jefferson/0000-0002-3600-1414</t>
  </si>
  <si>
    <t>e0170132</t>
  </si>
  <si>
    <t>10.1371/journal.pone.0170132</t>
  </si>
  <si>
    <t>EH7SJ</t>
  </si>
  <si>
    <t>WOS:000391972600066</t>
  </si>
  <si>
    <t>Pertierra, LR; Hughes, KA; Vega, GC; Olalla-Tárraga, MA</t>
  </si>
  <si>
    <t>Pertierra, Luis R.; Hughes, Kevin A.; Vega, Greta C.; Olalla-Tarraga, Miguel A.</t>
  </si>
  <si>
    <t>High Resolution Spatial Mapping of Human Footprint across Antarctica and Its Implications for the Strategic Conservation of Avifauna</t>
  </si>
  <si>
    <t>INVASION; IMPACTS; GOALS</t>
  </si>
  <si>
    <t>Human footprint models allow visualization of human spatial pressure across the globe. Up until now, Antarctica has been omitted from global footprint models, due possibly to the lack of a permanent human population and poor accessibility to necessary datasets. Yet Antarctic ecosystems face increasing cumulative impacts from the expanding tourism industry and national Antarctic operator activities, the management of which could be improved with footprint assessment tools. Moreover, Antarctic ecosystem dynamics could be modelled to incorporate human drivers. Here we present the first model of estimated human footprint across predominantly ice-free areas of Antarctica. To facilitate integration into global models, the Antarctic model was created using methodologies applied elsewhere with land use, density and accessibility features incorporated. Results showed that human pressure is clustered predominantly in the Antarctic Peninsula, southern Victoria Land and several areas of East Antarctica. To demonstrate the practical application of the footprint model, it was used to investigate the potential threat to Antarctica's avifauna by local human activities. Relative footprint values were recorded for all 204 of Antarctica's Important Bird Areas (IBAs) identified by BirdLife International and the Scientific Committee on Antarctic Research (SCAR). Results indicated that formal protection of avifauna under the Antarctic Treaty System has been unsystematic and is lacking for penguin and flying bird species in some of the IBAs most vulnerable to human activity and impact. More generally, it is hoped that use of this human footprint model may help Antarctic Treaty Consultative Meeting policy makers in their decision making concerning avifauna protection and other issues including cumulative impacts, environmental monitoring, non-native species and terrestrial area protection.</t>
  </si>
  <si>
    <t>[Pertierra, Luis R.; Vega, Greta C.; Olalla-Tarraga, Miguel A.] Univ Rey Juan Carlos, Area Biodiversidad &amp; Conservac, Mostoles, Spain; [Hughes, Kevin A.] Natl Environm Res Council, British Antarctic Survey, Madingley Rd, Cambridge, England</t>
  </si>
  <si>
    <t>Universidad Rey Juan Carlos; UK Research &amp; Innovation (UKRI); Natural Environment Research Council (NERC); NERC British Antarctic Survey</t>
  </si>
  <si>
    <t>Pertierra, LR (corresponding author), Univ Rey Juan Carlos, Area Biodiversidad &amp; Conservac, Mostoles, Spain.</t>
  </si>
  <si>
    <t>luis.pertierra@gmail.com</t>
  </si>
  <si>
    <t>Pertierra, Luis R./K-3727-2017; Hughes, Kevin/JVZ-0793-2024; Olalla-Tárraga, Miguel Ángel/ABE-7880-2020; Carrete Vega, Greta/E-8666-2016</t>
  </si>
  <si>
    <t>Pertierra, Luis R./0000-0002-2232-428X; Olalla-Tárraga, Miguel Ángel/0000-0001-5346-4528; , Greta/0000-0001-5115-0146</t>
  </si>
  <si>
    <t>Ministerio de Economia y Competitividad (Spain) [CTM2013-47381-P]; National Environment Research Council (NERC) core funding; NERC [bas010011] Funding Source: UKRI; Natural Environment Research Council [bas010011] Funding Source: researchfish</t>
  </si>
  <si>
    <t>Ministerio de Economia y Competitividad (Spain); National Environment Research Council (NERC) core funding; NERC(UK Research &amp; Innovation (UKRI)Natural Environment Research Council (NERC)); Natural Environment Research Council(UK Research &amp; Innovation (UKRI)Natural Environment Research Council (NERC))</t>
  </si>
  <si>
    <t>This research was funded by Ministerio de Economia y Competitividad (Spain) under project CTM2013-47381-P. KH was supported by National Environment Research Council (NERC) core funding to the British Antarctic Survey's programme 'Environment Office - Long Term Monitoring and Survey' (EOLTMS).</t>
  </si>
  <si>
    <t>e0168280</t>
  </si>
  <si>
    <t>10.1371/journal.pone.0168280</t>
  </si>
  <si>
    <t>Green Published, Green Accepted, gold</t>
  </si>
  <si>
    <t>WOS:000391972600005</t>
  </si>
  <si>
    <t>Vitagliano, L; Mazzarella, L; Merlino, A; Vergara, A</t>
  </si>
  <si>
    <t>Vitagliano, Luigi; Mazzarella, Lelio; Merlino, Antonello; Vergara, Alessandro</t>
  </si>
  <si>
    <t>Fine Sampling of the R→T Quaternary-Structure Transition of a Tetrameric Hemoglobin</t>
  </si>
  <si>
    <t>CHEMISTRY-A EUROPEAN JOURNAL</t>
  </si>
  <si>
    <t>allosterism; IR spectroscopy; metalloproteins; protein structures; X-ray diffraction</t>
  </si>
  <si>
    <t>VIBRATIONAL ECHO EXPERIMENTS; ANTARCTIC FISH HEMOGLOBINS; COLD-ADAPTED HEMOGLOBINS; ROOT EFFECT HEMOGLOBINS; X-RAY-DIFFRACTION; CRYSTAL-STRUCTURE; CARBON-MONOXIDE; TREMATOMUS-BERNACCHII; ALLOSTERIC TRANSITIONS; ELEGINOPS-MACLOVINUS</t>
  </si>
  <si>
    <t>Although the end points of the functional transitions of tetrameric hemoglobins (Hbs) have been well characterized, atomic-resolution data on R-T intermediate states are extremely limited. Herein, the X-ray structures of two independent tetramers of the fully ligated carbomonoxy form of Trematomus newnesi hemoglobin (Hb1Tn) within the same crystal are described. These structures show peculiar features in the heme pocket, EF corner, and tertiary/quaternary structure. Distal histidine side chains have a propensity to swing out of the heme pocket and thus allow compression of the EF corner. In this rotameric state, the distal His group does not interact with the CO ligand, consistent with FTIR spectra recorded in solution. At the quaternary-structure level, one tetramer is an intermediate R-T state, whereas the other assumes a T-like structure. Altogether, the structures of these tetramers provide the best available atomiclevel picture of the R -&gt; T transition of vertebrate Hbs.</t>
  </si>
  <si>
    <t>[Vitagliano, Luigi; Merlino, Antonello; Vergara, Alessandro] CNR, Inst Biostruct &amp; Biomaging, Via Mezzocannone 16, I-80134 Naples, Italy; [Mazzarella, Lelio; Merlino, Antonello; Vergara, Alessandro] Univ Napoli Federico II, Dept Chem Sci, Via Cinthia, I-80126 Naples, Italy; [Vergara, Alessandro] CEINGE Biotecnol Avanzate Scarlm, Via G Salvatore, Naples, Italy</t>
  </si>
  <si>
    <t>Consiglio Nazionale delle Ricerche (CNR); University of Naples Federico II; CEINGE Biotecnologie Avanzate</t>
  </si>
  <si>
    <t>Vergara, A (corresponding author), CNR, Inst Biostruct &amp; Biomaging, Via Mezzocannone 16, I-80134 Naples, Italy.;Vergara, A (corresponding author), Univ Napoli Federico II, Dept Chem Sci, Via Cinthia, I-80126 Naples, Italy.;Vergara, A (corresponding author), CEINGE Biotecnol Avanzate Scarlm, Via G Salvatore, Naples, Italy.</t>
  </si>
  <si>
    <t>avergara@unina.it</t>
  </si>
  <si>
    <t>Vergara, Alessandro/C-4435-2013; Merlino, Antonello/AAI-2114-2020</t>
  </si>
  <si>
    <t>Vergara, Alessandro/0000-0003-4135-0245</t>
  </si>
  <si>
    <t>PRIN; POR BIP (Bioindustrial Processes)</t>
  </si>
  <si>
    <t>PRIN(Ministry of Education, Universities and Research (MIUR)Research Projects of National Relevance (PRIN)); POR BIP (Bioindustrial Processes)</t>
  </si>
  <si>
    <t>Dr. Umberto Oreste and Dr. Cinzia Verde are acknowledged for providing HbTb and Hb1Tn as gifts. PRIN and POR BIP (Bioindustrial Processes) is acknowledged for financial support.</t>
  </si>
  <si>
    <t>WILEY-V C H VERLAG GMBH</t>
  </si>
  <si>
    <t>WEINHEIM</t>
  </si>
  <si>
    <t>POSTFACH 101161, 69451 WEINHEIM, GERMANY</t>
  </si>
  <si>
    <t>0947-6539</t>
  </si>
  <si>
    <t>1521-3765</t>
  </si>
  <si>
    <t>CHEM-EUR J</t>
  </si>
  <si>
    <t>Chem.-Eur. J.</t>
  </si>
  <si>
    <t>JAN 12</t>
  </si>
  <si>
    <t>10.1002/chem.201603421</t>
  </si>
  <si>
    <t>Chemistry, Multidisciplinary</t>
  </si>
  <si>
    <t>Chemistry</t>
  </si>
  <si>
    <t>EK0OI</t>
  </si>
  <si>
    <t>WOS:000393625600018</t>
  </si>
  <si>
    <t>Ruckert, KL; Shaffer, G; Pollard, D; Guan, YW; Wong, TE; Forest, CE; Keller, K</t>
  </si>
  <si>
    <t>Ruckert, Kelsey L.; Shaffer, Gary; Pollard, David; Guan, Yawen; Wong, Tony E.; Forest, Chris E.; Keller, Klaus</t>
  </si>
  <si>
    <t>Assessing the Impact of Retreat Mechanisms in a Simple Antarctic Ice Sheet Model Using Bayesian Calibration</t>
  </si>
  <si>
    <t>SEA-LEVEL RISE; STABILITY</t>
  </si>
  <si>
    <t>The response of the Antarctic ice sheet (AIS) to changing climate forcings is an important driver of sea-level changes. Anthropogenic climate change may drive a sizeable AIS tipping point response with subsequent increases in coastal flooding risks. Many studies analyzing flood risks use simple models to project the future responses of AIS and its sea-level contributions. These analyses have provided important new insights, but they are often silent on the effects of potentially important processes such as Marine Ice Sheet Instability (MISI) or Marine Ice Cliff Instability (MICI). These approximations can be well justified and result in more parsimonious and transparent model structures. This raises the question of how this approximation impacts hindcasts and projections. Here, we calibrate a previously published and relatively simple AIS model, which neglects the effects of MICI and regional characteristics, using a combination of observational constraints and a Bayesian inversion method. Specifically, we approximate the effects of missing MICI by comparing our results to those from expert assessments with more realistic models and quantify the bias during the last interglacial when MICI may have been triggered. Our results suggest that the model can approximate the process of MISI and reproduce the projected median melt from some previous expert assessments in the year 2100. Yet, our mean hindcast is roughly 3/4 of the observed data during the last interglacial period and our mean projection is roughly 1/6 and 1/10 of the mean from a model accounting for MICI in the year 2100. These results suggest that missing MICI and/or regional characteristics can lead to a low-bias during warming period AIS melting and hence a potential low-bias in projected sea levels and flood risks.</t>
  </si>
  <si>
    <t>[Ruckert, Kelsey L.; Pollard, David; Wong, Tony E.; Forest, Chris E.; Keller, Klaus] Penn State Univ, Earth &amp; Environm Syst Inst, University Pk, PA 16802 USA; [Shaffer, Gary] Univ Magallanes, GAZA Antarctica, Punta Arenas, Chile; [Shaffer, Gary] Univ Copenhagen, Niels Bohr Inst, Copenhagen, Denmark; [Guan, Yawen] Penn State Univ, Dept Stat, University Pk, PA 16802 USA; [Forest, Chris E.] Penn State Univ, Dept Meteorol, 503 Walker Bldg, University Pk, PA 16802 USA; [Forest, Chris E.; Keller, Klaus] Penn State Univ, Dept Geosci, University Pk, PA 16802 USA; [Keller, Klaus] Carnegie Mellon Univ, Dept Engn &amp; Publ Policy, Pittsburgh, PA 15213 USA</t>
  </si>
  <si>
    <t>Pennsylvania Commonwealth System of Higher Education (PCSHE); Pennsylvania State University; Pennsylvania State University - University Park; Universidad de Magallanes; University of Copenhagen; Niels Bohr Institute;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 Carnegie Mellon University</t>
  </si>
  <si>
    <t>Keller, K (corresponding author), Penn State Univ, Earth &amp; Environm Syst Inst, University Pk, PA 16802 USA.;Keller, K (corresponding author), Penn State Univ, Dept Geosci, University Pk, PA 16802 USA.;Keller, K (corresponding author), Carnegie Mellon Univ, Dept Engn &amp; Publ Policy, Pittsburgh, PA 15213 USA.</t>
  </si>
  <si>
    <t>klaus@psu.edu</t>
  </si>
  <si>
    <t>Wong, Tony/AAS-9534-2020; Keller, Klaus/A-6742-2013; Forest, Chris/M-1993-2014; Shaffer, Gary/M-8145-2017</t>
  </si>
  <si>
    <t>Wong, Tony/0000-0002-7304-3883; Forest, Chris/0000-0002-2643-0186; Guan, Yawen/0000-0003-4563-1263; Shaffer, Gary/0000-0002-2494-3471; Ruckert, Kelsey/0000-0001-9513-2636</t>
  </si>
  <si>
    <t>National Science Foundation through the Network for Sustainable Climate Risk Management (SCRiM) under NSF [GEO-1240507]; Penn State Center for Climate Risk Management; Chilean ICM [NC120066]; Directorate For Geosciences [1240507] Funding Source: National Science Foundation</t>
  </si>
  <si>
    <t>National Science Foundation through the Network for Sustainable Climate Risk Management (SCRiM) under NSF; Penn State Center for Climate Risk Management; Chilean ICM; Directorate For Geosciences(National Science Foundation (NSF)NSF - Directorate for Geosciences (GEO))</t>
  </si>
  <si>
    <t>This work was partially supported by the National Science Foundation through the Network for Sustainable Climate Risk Management (SCRiM) under NSF cooperative agreement GEO-1240507 and the Penn State Center for Climate Risk Management. G. Shaffer was supported in part by Chilean ICM grant NC120066. Any opinions, findings, and conclusions or recommendations expressed in this material are those of the authors and do not necessarily reflect the views of the National Science Foundation or other funding entities. The funders had no role in study design, data collection and analysis, decision to publish, or preparation of the manuscript.</t>
  </si>
  <si>
    <t>e0170052</t>
  </si>
  <si>
    <t>10.1371/journal.pone.0170052</t>
  </si>
  <si>
    <t>EH7JQ</t>
  </si>
  <si>
    <t>WOS:000391949500124</t>
  </si>
  <si>
    <t>Vernazzani, BG; Jackson, JA; Cabrera, E; Carlson, CA; Brownell, RL</t>
  </si>
  <si>
    <t>Vernazzani, Barbara Galletti; Jackson, Jennifer A.; Cabrera, Elsa; Carlson, Carole A.; Brownell, Robert L., Jr.</t>
  </si>
  <si>
    <t>Estimates of Abundance and Trend of Chilean Blue Whales off Isla de Chiloe, Chile</t>
  </si>
  <si>
    <t>EASTERN NORTH PACIFIC; BALAENOPTERA-MUSCULUS LINNAEUS; HUMPBACK WHALES; CAPTURE-RECAPTURE; POPULATION-STRUCTURE; GENETIC-STRUCTURE; SIGHTINGS; MOVEMENTS; FIDELITY; INSIGHTS</t>
  </si>
  <si>
    <t>Since 1970, blue whales (Balaenoptera musculus) have been seen feeding in the waters off southern Chile during the summer and autumn (December to May). Investigation of the genetic, acoustic and morphological characteristics of these blue whales shows that they are a distinct but unnamed subspecies, called the Chilean blue whales. Photo-identification surveys have been conducted in the waters off northwestern Isla Grande de Chiloe, southern Chile from 2004-2012 and Isla Chanaral, central Chile in 2012. Over this time, 1,070 blue whales were encountered yielding, after photo-quality control, 318 and 267 unique photographs of the left and right side of the flank respectively. Using mark-recapture analysis of left and right side photographs collected from Isla Grande de Chiloe (2004-2012), open population models estimate that similar to 570-760 whales are feeding seasonally in this region. POPAN superpopulation abundance estimates for the same feeding ground in 2012 are 762 (95% confidence intervals, CI = 638-933) and 570 (95% CI 475-705) for left and right side datasets respectively, very similar to results from closed population models. Estimates of trend revealed strong variation in abundance, peaking in 2009 and [suggesting] fluctuating use in the survey area over time, likely related to the density of their prey. High inter-annual return rates suggest a degree of site-fidelity of individuals to Isla Grande de Chiloe and that the number of whales using this feeding ground is relatively small.</t>
  </si>
  <si>
    <t>[Vernazzani, Barbara Galletti; Cabrera, Elsa] Ctr Conservac Cetacea, Casilla 19178 Correo 19, Santiago, Chile; [Jackson, Jennifer A.] British Antarctic Survey, Madingley Rd, Cambridge, England; [Carlson, Carole A.] Coll Atlantic, Bar Harbor, ME USA; [Brownell, Robert L., Jr.] NOAA, Southwest Fisheries Sci Ctr, Monterey, CA USA</t>
  </si>
  <si>
    <t>UK Research &amp; Innovation (UKRI); Natural Environment Research Council (NERC); NERC British Antarctic Survey; National Oceanic Atmospheric Admin (NOAA) - USA</t>
  </si>
  <si>
    <t>Jackson, JA (corresponding author), British Antarctic Survey, Madingley Rd, Cambridge, England.</t>
  </si>
  <si>
    <t>jennifer.jackson@bas.ac.uk</t>
  </si>
  <si>
    <t>Jackson, Jennifer A/E-7997-2013</t>
  </si>
  <si>
    <t>Jackson, Jennifer/0000-0003-4158-1924</t>
  </si>
  <si>
    <t>Directorate General of the Maritime Territory and Merchant Marine (DIRECTEMAR) from the Chilean Navy; Ministry of Foreign Affairs; Global Greengrants Fund; Rufford Foundation; Mohamed Bin Zayed Species Conservation Fund; Pacific Whale Foundation; British Antarctic Survey Polar Science for Planet Earth Programme - Natural Environment Research Council; Natural Environment Research Council [bas0100035] Funding Source: researchfish; NERC [bas0100035] Funding Source: UKRI</t>
  </si>
  <si>
    <t>Directorate General of the Maritime Territory and Merchant Marine (DIRECTEMAR) from the Chilean Navy; Ministry of Foreign Affairs(Ministry of Foreign Affairs and International Cooperation (Italy)); Global Greengrants Fund; Rufford Foundation; Mohamed Bin Zayed Species Conservation Fund; Pacific Whale Foundation; British Antarctic Survey Polar Science for Planet Earth Programme - Natural Environment Research Council; Natural Environment Research Council(UK Research &amp; Innovation (UKRI)Natural Environment Research Council (NERC)); NERC(UK Research &amp; Innovation (UKRI)Natural Environment Research Council (NERC))</t>
  </si>
  <si>
    <t>The Directorate General of the Maritime Territory and Merchant Marine (DIRECTEMAR) from the Chilean Navy and the Ministry of Foreign Affairs have provided Official Support to the Alfaguara (Chilean blue whale) Project. Additionally the Alfaguara project has been supported by the Global Greengrants Fund, Rufford Foundation, Mohamed Bin Zayed Species Conservation Fund and Pacific Whale Foundation. This study has been supported by the British Antarctic Survey Polar Science for Planet Earth Programme, funded by the Natural Environment Research Council. The funders had no role in study design, data collection and analysis, decision to publish, or preparation of the manuscript.</t>
  </si>
  <si>
    <t>e0168646</t>
  </si>
  <si>
    <t>10.1371/journal.pone.0168646</t>
  </si>
  <si>
    <t>Green Submitted, Green Published, Green Accepted, gold</t>
  </si>
  <si>
    <t>WOS:000391949500015</t>
  </si>
  <si>
    <t>Blake, JA</t>
  </si>
  <si>
    <t>Blake, James A.</t>
  </si>
  <si>
    <t>Polychaeta Orbiniidae from Antarctica, the Southern Ocean, the Abyssal Pacific Ocean, and off South America</t>
  </si>
  <si>
    <t>Annelida; Polychaeta; Orbiniidae; Berkeleyia; Califia; Leitoscoloplos; Leodamas; Naineris; Orbinia; Orbiniella; Phylo; Proscoloplos; Scoloplos; Weddell Sea; Ross Sea; Chile; Argentina; Peru; Juan Fernandez Islands; Galapagos; Islands; Clarion-Clipperton Fracture Zone; new species</t>
  </si>
  <si>
    <t>GULF-OF-MEXICO; NAINERIS-SETOSA VERRILL; ANNELIDA POLYCHAETA; SPECIES ORBINIIDAE; SCOLOPLOS-TEXANA; 1ST RECORD; GENUS; COAST; SYSTEMATICS; CALIFORNIA</t>
  </si>
  <si>
    <t>The orbiniid polychaetes chiefly from Antarctic and subantarctic seas and off South America are described based on collections of the National Museum of Natural History and new material from surveys conducted by the United States Antarctic Program and other federal and privately funded sources as well as participation in international programs. A total of 44 species of Orbiniidae distributed in 10 genera are reported from the Pacific Ocean and waters off South America and Antarctica. Twenty-one species are new to science; one species is renamed. Berkeleyia heroae n. sp., B. abyssala n. sp., B. weddellia n. sp.; B. hadala n. sp., Leitoscoloplos simplex n. sp., L. plataensis n. sp., L. nasus n. sp., L. eltaninae n. sp., L. phyllobranchus n. sp., L. rankini n. sp., Scoloplos bathytatus n. sp., S. suroestense n. sp., Leodamas hyphalos n. sp., L. maciolekae n. sp., L. perissobranchiatus n. sp., Califia bilamellata n. sp., Orbinia orensanzi n. sp., Naineris antarctica n. sp., N. argentiniensis n. sp., Orbiniella spinosa n. sp., and O. landrumae n. sp. are new to science. A new name, Naineris furcillata, replaces N. chilensis Carrasco, 1977, a junior homonym of N. dendtritica chilensis Hartmann-Schrder, 1965, which is raised to full species status. Leodamas cochleatus (Ehlers, 1900) is removed from synonymy and redescribed. A neotype is established for Leodamas verax Kinberg, 1966, the type species. A general overview of Leodamasspecies is provided. The Leitoscoloplos kerguelensis (McIntosh, 1885) complex is reviewed and partially revised. Definitions of the genera of the Orbiniidae are updated to conform to recently described taxa. Several new synonymies are proposed following a reexamination of previously described type specimens. The morphological characters used to identify and classify orbiniids are reviewed. The biogeographic and bathymetric distributions of the South American and Southern Ocean orbiniid fauna are reviewed.</t>
  </si>
  <si>
    <t>[Blake, James A.] Aquat Res &amp; Consulting, 24 Hitty Tom Rd, Duxbury, MA 02332 USA; [Blake, James A.] Univ Massachusetts, 100 Morrissey Blvd, Boston, MA 02125 USA</t>
  </si>
  <si>
    <t>University of Massachusetts System; University of Massachusetts Boston</t>
  </si>
  <si>
    <t>Blake, JA (corresponding author), Aquat Res &amp; Consulting, 24 Hitty Tom Rd, Duxbury, MA 02332 USA.;Blake, JA (corresponding author), Univ Massachusetts, 100 Morrissey Blvd, Boston, MA 02125 USA.</t>
  </si>
  <si>
    <t>jablake9@gmail.com</t>
  </si>
  <si>
    <t>Smithsonian Institution; National Science Foundation (NSF) through University of Massachusetts [OPP-0086665]; NSF through University of Massachusetts [DEB-0118693]</t>
  </si>
  <si>
    <t>Smithsonian Institution(Smithsonian Institution); National Science Foundation (NSF) through University of Massachusetts(National Science Foundation (NSF)); NSF through University of Massachusetts(National Science Foundation (NSF))</t>
  </si>
  <si>
    <t>This study was initially begun in 1980 and would not have been possible without the help of several key people. First, Betty Landrum, then manager of the former Smithsonian Oceanographic Sorting Center, provided the USARP and SEPBOB collections on which the main part of this study is based. The late Meredith Jones arranged for loan of Antarctic orbiniids from the general collections of the National Museum of Natural History. Dr. Roy Olerod, Naturhistoriska Riksmuseet, Stockholm, arranged for the loan of orbiniids from the Lund University Chile Expedition and later Dr. Ake Andersson tracked down several important type specimens; the late Dr. Jose Orensanz generously provided his collections of Orbiniidae from Argentina and Uruguay together with a few notes and sketches; Dr. Gesa Hartmann-Schroder loaned several types from the Zoological Museum of Hamburg; Ms. Susan Williams loaned several type specimens and other materials from the collections of the Allan Hancock Foundation; and the late Dr. Gerhard Hartwich, Zoological Museum of Berlin, located and loaned other type specimens. Dr. Harlan K. Dean provided some specimens of Naineris from Costa Rica and Cocos Island, helped obtain key literature, and took the lead on a separate paper describing orbiniids from Costa Rica. Dr. Stacy Kim, Moss Landing Marine Laboratories, collected orbiniids by scuba during my stay at McMurdo Station in Jan 2000. Ms. Felicity McEnnulty, Biodiversity Curator of the Australian Antarctic Division arranged for me to examine orbiniids from Casey Station on Vincennes Bay. I was able to include additional deep-water specimens as part of the ANDEEP I-III cruises for which I thank Drs. Angelika Brandt and Brigitte (Hilbig) Ebbe for allowing me to participate. Ms. Marie Evans assisted me on ANDEEP I-II; Dr. Bhavani Narayanaswamy and Ms. Stacy Doner Tewari expertly processed and sorted the samples collected as part of ANDEEP III. Most recently Ms. Leslie Harris of the Los Angeles Museum of Natural History provided several lots of orbiniids from South America and Antarctica collected as part of expeditions by the R/V Vema and R/V Anton Bruun in the 1960s. Dr. Brigitte (Hilbig) Ebbe translated several of Ehlers' descriptions and edited some of the text. Dr. Nancy Maciolek read and twice painstakingly edited two earlier drafts of the manuscript. Ms. Stacy Doner Tewari assisted in the preparation of material for SEM and performed much of actual scanning. Initial support for this study was arranged by Ms. Betty Landrum through a contract with the Smithsonian Institution. In 1998, the late Dr. Kristian Fauchald, then Chairman of the Department of Invertebrate Zoology, National Museum of Natural History, arranged for an additional contract to help move this study and others along. Field logistics and laboratory support for the ANDEEP cruises was provided by the National Science Foundation (NSF) under Grant No. OPP-0086665 through the University of Massachusetts. Most recently, support for the completion of this manuscript was provided by the NSF under Grant No. DEB-0118693 (PEET) through the University of Massachusetts. Drs. Harlan K. Dean and Brigitte (Hilbig) Ebbe reviewed and provided helpful comments on the final manuscript. Finally, I thank Ms. Cheryl Bright, Ms. Linda Ward, and the late Dr. Kristian Fauchald for their patience in allowing me to retain and study the USARP and SEPBOB material for all these many years.</t>
  </si>
  <si>
    <t>10.11646/zootaxa.4218.1.1</t>
  </si>
  <si>
    <t>EH3PP</t>
  </si>
  <si>
    <t>WOS:000391684500001</t>
  </si>
  <si>
    <t>Kutzner, L; Ostermann, AI; Konrad, T; Riegel, D; Hellhake, S; Schuchardt, JP; Schebb, NH</t>
  </si>
  <si>
    <t>Kutzner, Laura; Ostermann, Annika I.; Konrad, Thade; Riegel, Dieter; Hellhake, Stefan; Schuchardt, Jan Philipp; Schebb, Nils Helge</t>
  </si>
  <si>
    <t>Lipid Class Specific Quantitative Analysis of n-3 Polyunsaturated Fatty Acids in Food Supplements</t>
  </si>
  <si>
    <t>JOURNAL OF AGRICULTURAL AND FOOD CHEMISTRY</t>
  </si>
  <si>
    <t>lipid class; supplements; n-3 PUFA; fish oil; krill oil; algal oil; plant oil</t>
  </si>
  <si>
    <t>KRILL EUPHAUSIA-SUPERBA; ALPHA-LINOLENIC ACID; ANTARCTIC KRILL; FISH; PLASMA; BIOAVAILABILITY; PHOSPHOLIPIDS; EXTRACTION; OIL; TRIACYLGLYCEROLS</t>
  </si>
  <si>
    <t>Supplementation products containing n-3 PUFA from marine sources serve a large market. Although the amount of eicosapentaenoic acid and docosahexaenoic acid in the products is provided by the manufacturer, no or little information is available on their lipid pattern. Therefore, we quantitatively analyzed the fatty acid pattern in the lipid fractions triglycerides, phospholipids, ethyl esters, and free fatty acids in supplementation products by means of solid phase extraction and gas chromatography. Twelve products from the European and U.S. markets containing fish, krill, algal, or plant oil were analyzed. Total n-3 PUFA content ranged from 68 g/100 g fat (fish oil) to 42 g/100 g fat (algal oil) to 17 g/100 g fat (krill oil). On the basis of the n-3 PUFA containing lipid class, the supplements can be separated dominantly in ethyl ester, re-esterified triglyceride, triglyceride, and phospholipid containing products. Algae-based products contained natural triglycerides, krill oils a complex mixture of phospholipids, triglycerides, and free fatty acids, and fish oil products either ethyl esters, re-esterified triglycerides, or triglycerides. Even products of the same class and source showed distinct differences in their lipid pattern. A specification of the lipid composition of n-3 PUFA products would allow distinguishing the different (qualities of) supplements.</t>
  </si>
  <si>
    <t>[Kutzner, Laura; Ostermann, Annika I.; Schebb, Nils Helge] Univ Vet Med Hannover, Inst Food Toxicol &amp; Analyt Chem, Bischofsholer Damm 15, D-30173 Hannover, Germany; [Konrad, Thade; Riegel, Dieter; Hellhake, Stefan; Schebb, Nils Helge] Univ Wuppertal, Inst Food Chem, Wuppertal, Germany; [Schuchardt, Jan Philipp] Leibniz Univ Hannover, Inst Food Sci &amp; Human Nutr, Hannover, Germany</t>
  </si>
  <si>
    <t>University of Veterinary Medicine Hannover; University of Wuppertal; Leibniz University Hannover</t>
  </si>
  <si>
    <t>Schebb, NH (corresponding author), Univ Vet Med Hannover, Inst Food Toxicol &amp; Analyt Chem, Bischofsholer Damm 15, D-30173 Hannover, Germany.;Schebb, NH (corresponding author), Univ Wuppertal, Inst Food Chem, Wuppertal, Germany.</t>
  </si>
  <si>
    <t>nils@schebb-web.de</t>
  </si>
  <si>
    <t>Schebb, Nils Helge/0000-0003-1299-6629; Schuchardt, Jan Philipp/0000-0003-1724-6325</t>
  </si>
  <si>
    <t>German Research Foundation [SCHE 1801, SCHU 2516]</t>
  </si>
  <si>
    <t>German Research Foundation(German Research Foundation (DFG))</t>
  </si>
  <si>
    <t>This study was supported by grants from the German Research Foundation (Grants SCHE 1801 and SCHU 2516) to N.H.S. and J.P.S.</t>
  </si>
  <si>
    <t>AMER CHEMICAL SOC</t>
  </si>
  <si>
    <t>1155 16TH ST, NW, WASHINGTON, DC 20036 USA</t>
  </si>
  <si>
    <t>0021-8561</t>
  </si>
  <si>
    <t>1520-5118</t>
  </si>
  <si>
    <t>J AGR FOOD CHEM</t>
  </si>
  <si>
    <t>J. Agric. Food Chem.</t>
  </si>
  <si>
    <t>JAN 11</t>
  </si>
  <si>
    <t>10.1021/acs.jafc.6b03745</t>
  </si>
  <si>
    <t>Agriculture, Multidisciplinary; Chemistry, Applied; Food Science &amp; Technology</t>
  </si>
  <si>
    <t>Agriculture; Chemistry; Food Science &amp; Technology</t>
  </si>
  <si>
    <t>EH8QJ</t>
  </si>
  <si>
    <t>WOS:000392037100018</t>
  </si>
  <si>
    <t>Clark, GF; Stark, JS; Palmer, AS; Riddle, MJ; Johnston, EL</t>
  </si>
  <si>
    <t>Clark, Graeme F.; Stark, Jonathan S.; Palmer, Anne S.; Riddle, Martin J.; Johnston, Emma L.</t>
  </si>
  <si>
    <t>The Roles of Sea-Ice, Light and Sedimentation in Structuring Shallow Antarctic Benthic Communities</t>
  </si>
  <si>
    <t>COASTAL ENVIRONMENT; MCMURDO SOUND; PHYTOPLANKTON; DISTURBANCE; PHOTOSYNTHESIS; HETEROGENEITY; PENETRATION; PATTERNS; SURVIVAL; IMPACTS</t>
  </si>
  <si>
    <t>On polar coasts, seasonal sea-ice duration strongly influences shallow marine environments by affecting environmental conditions, such as light, sedimentation, and physical disturbance. Sea-ice dynamics are changing in response to climate, but there is limited understanding of how this might affect shallow marine environments and benthos. Here we present a unique set of physical and biological data from a single region of Antarctic coast, and use it to gain insights into factors shaping polar benthic communities. At sites encompassing a gradient of sea-ice duration, we measured temporal and spatial variation in light and sedimentation and hard-substrate communities at different depths and substrate orientations. Biological trends were highly correlated with sea-ice duration, and appear to be driven by opposing gradients in light and sedimentation. As sea-ice duration decreased, there was increased light and reduced sedimentation, and concurrent shifts in community structure from invertebrate to algal dominance. Trends were strongest on shallower, horizontal surfaces, which are most exposed to light and sedimentation. Depth and substrate orientation appear to mediate exposure of benthos to these factors, thereby tempering effects of sea-ice and increasing biological heterogeneity. However, while light and sedimentation both varied spatially with sea-ice, their dynamics differed temporally. Light was sensitive to the site-specific date of sea-ice breakout, whereas sedimentation fluctuated at a regional scale coincident with the summer phytoplankton bloom. Sea-ice duration is clearly the overarching force structuring these shallow Antarctic benthic communities, but direct effects are imposed via light and sedimentation, and mediated by habitat characteristics.</t>
  </si>
  <si>
    <t>[Clark, Graeme F.; Johnston, Emma L.] Univ New South Wales, Evolut &amp; Ecol Res Ctr, Sch Biol Earth &amp; Environm Sci, Sydney, NSW, Australia; [Stark, Jonathan S.; Palmer, Anne S.; Riddle, Martin J.] Dept Environm, Australian Antarctic Div, Kingston, Tasmania, Australia</t>
  </si>
  <si>
    <t>University of New South Wales Sydney; Australian Antarctic Division</t>
  </si>
  <si>
    <t>Clark, GF (corresponding author), Univ New South Wales, Evolut &amp; Ecol Res Ctr, Sch Biol Earth &amp; Environm Sci, Sydney, NSW, Australia.</t>
  </si>
  <si>
    <t>g.clark@unsw.edu.au</t>
  </si>
  <si>
    <t>Stark, Jonathan/ABF-4025-2020; Johnston, Emma/AAC-2878-2022</t>
  </si>
  <si>
    <t>Stark, Jonathan/0000-0002-4268-8072; Johnston, Emma/0000-0002-2117-366X</t>
  </si>
  <si>
    <t>Australian Antarctic Science [2201, 2691]</t>
  </si>
  <si>
    <t>Australian Antarctic Science</t>
  </si>
  <si>
    <t>Research was funded by Australian Antarctic Science Grants 2201 and 2691. The funders had no role in study design, data collection and analysis, decision to publish, or preparation of the manuscript.</t>
  </si>
  <si>
    <t>e0168391</t>
  </si>
  <si>
    <t>10.1371/journal.pone.0168391</t>
  </si>
  <si>
    <t>EH6BJ</t>
  </si>
  <si>
    <t>WOS:000391857100011</t>
  </si>
  <si>
    <t>Perren, BB; Axford, Y; Kaufman, DS</t>
  </si>
  <si>
    <t>Perren, Bianca B.; Axford, Yarrow; Kaufman, Darrell S.</t>
  </si>
  <si>
    <t>Alder, Nitrogen, and Lake Ecology: Terrestrial-Aquatic Linkages in the Postglacial History of Lone Spruce Pond, Southwestern Alaska</t>
  </si>
  <si>
    <t>NUTRIENT LIMITATION; SOIL DEVELOPMENT; NORTH-AMERICAN; GLACIER BAY; CLIMATE; DEPOSITION; RECORD; COMMUNITIES; SUCCESSION; RESPONSES</t>
  </si>
  <si>
    <t>Diatoms, combined with a multiproxy study of lake sediments (organic matter, N, delta N-15, delta C-13, biogenic silica, grain size, Cladocera and chironomids, Alnus pollen) from Lone Spruce Pond, Alaska detail the late-glacial to Holocene history of the lake and its response to regional climate and landscape change over the last 14.5 cal ka BP. We show that the immigration of alder (Alnus viridis) in the early Holocene marks the rise of available reactive nitrogen (Nr) in the lake as well as the establishment of a primarily planktonic diatom community. The later establishment of diatom Discostella stelligera is coupled to a rise of sedimentary delta N-15, indicating diminished competition for this nutrient. This terrestrial-aquatic linkage demonstrates how profoundly vegetation may affect soil geochemistry, lake development, and lake ecology over millennial timescales. Furthermore, the response of the diatom community to strengthened stratification and N levels in the past confirms the sensitivity of planktonic diatom communities to changing thermal and nutrient regimes. These past ecosystem dynamics serve as an analogue for the nature of threshold-type ecological responses to current climate change and atmospheric nitrogen (Nr) deposition, but also for the larger changes we should anticipate under future climate, pollution, and vegetation succession scenarios in high-latitude and high-elevation regions.</t>
  </si>
  <si>
    <t>[Perren, Bianca B.] British Antarctic Survey, High Cross, Cambridge, England; [Axford, Yarrow] Northwestern Univ, Dept Earth &amp; Planetary Sci, Evanston, IL USA; [Kaufman, Darrell S.] No Arizona Univ, Sch Earth Sci &amp; Environm Sustainabil, Flagstaff, AZ USA</t>
  </si>
  <si>
    <t>UK Research &amp; Innovation (UKRI); Natural Environment Research Council (NERC); NERC British Antarctic Survey; Northwestern University; Northern Arizona University</t>
  </si>
  <si>
    <t>Perren, BB (corresponding author), British Antarctic Survey, High Cross, Cambridge, England.</t>
  </si>
  <si>
    <t>biaper@bas.ac.uk</t>
  </si>
  <si>
    <t>Kaufman, Darrell S/A-2471-2008; Axford, Yarrow/N-4151-2014</t>
  </si>
  <si>
    <t>Axford, Yarrow/0000-0002-8033-358X; Perren, Bianca/0000-0001-6089-6468</t>
  </si>
  <si>
    <t>National Science Foundation (USA) [ARC-0909332]; Natural Environment Research Council [bas0100030] Funding Source: researchfish; NERC [bas0100030] Funding Source: UKRI</t>
  </si>
  <si>
    <t>National Science Foundation (USA)(National Science Foundation (NSF)); Natural Environment Research Council(UK Research &amp; Innovation (UKRI)Natural Environment Research Council (NERC)); NERC(UK Research &amp; Innovation (UKRI)Natural Environment Research Council (NERC))</t>
  </si>
  <si>
    <t>This research was funded by the National Science Foundation (USA) in the form of grant #ARC-0909332 to DK. The funders had no role in study design, data collection and analysis, decision to publish, or preparation of the manuscript.</t>
  </si>
  <si>
    <t>e0169106</t>
  </si>
  <si>
    <t>10.1371/journal.pone.0169106</t>
  </si>
  <si>
    <t>Green Accepted, gold, Green Published, Green Submitted</t>
  </si>
  <si>
    <t>WOS:000391857100021</t>
  </si>
  <si>
    <t>Ray, D; Babu, EVSSK; Prakash, LS</t>
  </si>
  <si>
    <t>Ray, Durbar; Babu, E. V. S. S. K.; Prakash, L. Surya</t>
  </si>
  <si>
    <t>Nature of suspended particles in hydrothermal plume at 3°40′N Carlsberg Ridge: a comparison with deep oceanic suspended matter</t>
  </si>
  <si>
    <t>CURRENT SCIENCE</t>
  </si>
  <si>
    <t>Deep-oceanic particulates; geochemistry; hydrothermal plume; micro-texture; suspended particulate matter</t>
  </si>
  <si>
    <t>MID-ATLANTIC RIDGE; RARE-EARTH-ELEMENTS; FUCA RIDGE; EVENT; SEGMENT; BASIN; FIELD; IRON; FLUX</t>
  </si>
  <si>
    <t>Suspended matter from hydrothermal plume at 3 degrees 40'N Carlsberg Ridge was studied for microtexture and geochemistry. Characteristics of these plume particles were compared with deep-oceanic particulates from different depths. Compared to fine, deep-oceanic suspended matter (&lt;= 2.0 mu m), some particles in the plume were larger (&gt;= 20 mu m) and had irregular shape and surface. These plume particles were mostly composed of Fe-oxides and silicates. Bulk composition showed that plume particles were relatively enriched with Fe, P, Mn, rare earth elements (except Ce) and U, but had other trace element concentration analogous to that found in deep-oceanic suspended matter. Efficient scavenging of elements from hydrothermal fluid and sea water makes geochemistry of plume particulates different from common oceanic particles.</t>
  </si>
  <si>
    <t>[Ray, Durbar; Prakash, L. Surya] CSIR Natl Inst Oceanog, Panaji 403004, Goa, India; [Babu, E. V. S. S. K.] CSIR Natl Geophys Res Inst, Uppal Rd, Hyderabad 500007, Andhra Pradesh, India; [Prakash, L. Surya] ESSO Natl Ctr Antarctic &amp; Ocean Res, Vasco Da Gama 403804, Goa, India</t>
  </si>
  <si>
    <t>Council of Scientific &amp; Industrial Research (CSIR) - India; CSIR - National Institute of Oceanography (NIO); Council of Scientific &amp; Industrial Research (CSIR) - India; CSIR - National Geophysical Research Institute (NGRI); Ministry of Earth Sciences (MoES) - India; National Centre for Polar and Ocean Research (NCPOR)</t>
  </si>
  <si>
    <t>Ray, D (corresponding author), CSIR Natl Inst Oceanog, Panaji 403004, Goa, India.</t>
  </si>
  <si>
    <t>dray@nio.org</t>
  </si>
  <si>
    <t>Elapavalooru, Babu/F-3401-2012</t>
  </si>
  <si>
    <t>Elapavalooru, Babu/0000-0002-3474-8864</t>
  </si>
  <si>
    <t>CSIR-NIO; Goa and CSIR-NGRL Hyderabad; MoES project [GAP-2157]; CSIR projects [PSC-0106, PSC-0204]</t>
  </si>
  <si>
    <t>CSIR-NIO; Goa and CSIR-NGRL Hyderabad; MoES project; CSIR projects</t>
  </si>
  <si>
    <t>We thank the Directors, CSIR-NIO, Goa and CSIR-NGRL Hyderabad for their encouragement and the masters and crew of RV Sonne and Akademik Boris Petrov for their support. This study was funded by MoES project, GAP-2157, CSIR projects, PSC-0106 (GEOSINKS) and PSC-0204. We also thank V.D. Khedekar for SEM-EDS analysis, and the three anonymous reviewers for their valuable comments. This is NIO contribution number 5930.</t>
  </si>
  <si>
    <t>INDIAN ACAD SCIENCES</t>
  </si>
  <si>
    <t>BANGALORE</t>
  </si>
  <si>
    <t>C V RAMAN AVENUE, SADASHIVANAGAR, P B #8005, BANGALORE 560 080, INDIA</t>
  </si>
  <si>
    <t>0011-3891</t>
  </si>
  <si>
    <t>CURR SCI INDIA</t>
  </si>
  <si>
    <t>Curr. Sci.</t>
  </si>
  <si>
    <t>JAN 10</t>
  </si>
  <si>
    <t>10.18520/cs/v112/i01/139-146</t>
  </si>
  <si>
    <t>EI2YL</t>
  </si>
  <si>
    <t>WOS:000392355900024</t>
  </si>
  <si>
    <t>De Pooter, D; Appeltans, W; Bailly, N; Bristol, S; Deneudt, K; Eliezer, M; Fujioka, E; Giorgetti, A; Goldstein, P; Lewis, M; Lipizer, M; Mackay, K; Marin, M; Moncoiff, G; Nikolopoulou, S; Provoost, P; Rauch, S; Roubicek, A; Torres, C; van de Putte, A; Vandepitte, L; Vanhoorne, B; Vinci, M; Wambiji, N; Watts, D; Salas, EK; Hernandez, F</t>
  </si>
  <si>
    <t>De Pooter, Daphnis; Appeltans, Ward; Bailly, Nicolas; Bristol, Sky; Deneudt, Klaas; Eliezer, Menashe; Fujioka, Ei; Giorgetti, Alessandra; Goldstein, Philip; Lewis, Mirtha; Lipizer, Marina; Mackay, Kevin; Marin, Maria; Moncoiff, Gwenaelle; Nikolopoulou, Stamatina; Provoost, Pieter; Rauch, Shannon; Roubicek, Andres; Torres, Carlos; van de Putte, Anton; Vandepitte, Leen; Vanhoorne, Bart; Vinci, Matteo; Wambiji, Nina; Watts, David; Klein Salas, Eduardo; Hernandez, Francisco</t>
  </si>
  <si>
    <t>Toward a new data standard for combined marine biological and environmental datasets - expanding OBIS beyond species occurrences</t>
  </si>
  <si>
    <t>BIODIVERSITY DATA JOURNAL</t>
  </si>
  <si>
    <t>Darwin Core Archive; sample event; species occurrence; environmental data; ecosystem data; telemetry data; data standardisation; oceanographic</t>
  </si>
  <si>
    <t>CENSUS; LIFE</t>
  </si>
  <si>
    <t>The Ocean Biogeographic Information System (OBIS) is the world's most comprehensive online, open-access database of marine species distributions. OBIS grows with millions of new species observations every year. Contributions come from a network of hundreds of institutions, projects and individuals with common goals: to build a scientific knowledge base that is open to the public for scientific discovery and exploration and to detect trends and changes that inform society as essential elements in conservation management and sustainable development. Until now, OBIS has focused solely on the collection of biogeographic data (the presence of marine species in space and time) and operated with optimized data flows, quality control procedures and data standards specifically targeted to these data. Based on requirements from the growing OBIS community to manage datasets that combine biological, physical and chemical measurements, the OBIS-ENV-DATA pilot project was launched to develop a proposed standard and guidelines to make sure these combined datasets can stay together and are not, as is often the case, split and sent to different repositories. The proposal in this paper allows for the management of sampling methodology, animal tracking and telemetry data, biological measurements (e.g., body length, percent live cover, ...) as well as environmental measurements such as nutrient concentrations, sediment characteristics or other abiotic parameters measured during sampling to characterize the environment from which biogeographic data was collected. The recommended practice builds on the Darwin Core Archive (DwC-A) standard and on practices adopted by the Global Biodiversity Information Facility (GBIF). It consists of a DwC Event Core in combination with a DwC Occurrence Extension and a proposed enhancement to the DwC MeasurementOrFact Extension. This new structure enables the linkage of measurements or facts - quantitative and qualitative properties - to both sampling events and species occurrences, and includes additional fields for property standardization. We also embrace the use of the new parentEventID DwC term, which enables the creation of a sampling event hierarchy. We believe that the adoption of this recommended practice as a new data standard for managing and sharing biological and associated environmental datasets by IODE and the wider international scientific community would be key to improving the effectiveness of the knowledge base, and will enhance integration and management of critical data needed to understand ecological and biological processes in the ocean, and on land.</t>
  </si>
  <si>
    <t>[De Pooter, Daphnis; Deneudt, Klaas; Vandepitte, Leen; Vanhoorne, Bart; Hernandez, Francisco] Vlaams Inst Zee Flanders Marine Inst, EurOBIS, Oostende, Belgium; [Appeltans, Ward; Provoost, Pieter] UNESCO Intergovt Oceanog Commiss, UNESCO IOC Project Off IODE, Ocean Biogeog Informat Syst, Oostende, Belgium; [Bailly, Nicolas; Nikolopoulou, Stamatina] Hellen Ctr Marine Res, MedOBIS, Gouves, Greece; [Bristol, Sky] US Geol Survey, OBIS USA, 959 Natl Ctr, Reston, VA 22092 USA; [Eliezer, Menashe; Giorgetti, Alessandra; Lipizer, Marina; Vinci, Matteo] Ist Nazl Oceanog &amp; Geofis Sperimentale OGS, Trieste, Italy; [Fujioka, Ei] Duke Univ, Nicholas Sch Environm, OBIS SEAMAP, Marine Geospatial Ecol Lab, Durham, NC 27708 USA; [Goldstein, Philip] Univ Colorado, Museum Nat Hist, OBIS USA, Boulder, CO 80309 USA; [Lewis, Mirtha; Marin, Maria] Ctr Nacl Patagon, ArOBIS, Puerto Madryn, Argentina; [Mackay, Kevin] Natl Inst Water &amp; Atmospher Res, Southwest Pacific OBIS, Wellington, New Zealand; [Moncoiff, Gwenaelle] British Oceanog Data Ctr, Liverpool, Merseyside, England; [Rauch, Shannon] Woods Hole Oceanog Inst, Woods Hole, MA 02543 USA; [Roubicek, Andres; Watts, David] CSIRO Oceans &amp; Atmosphere, OBIS Australia, Hobart, Tas, Australia; [Torres, Carlos] Univ Autonoma Baja California, Mexicali, Baja California, Mexico; [van de Putte, Anton] Royal Belgian Inst Nat Sci, Antarctic OBIS, OD Nat, Brussels, Belgium; [Wambiji, Nina] Kenya Marine &amp; Fisheries Res Inst, Mombasa, Kenya; [Klein Salas, Eduardo] Univ Simon Bolivar, Caribbean OBIS, Caracas, Venezuela</t>
  </si>
  <si>
    <t>Hellenic Centre for Marine Research; United States Department of the Interior; United States Geological Survey; Istituto Nazionale di Oceanografia e di Geofisica Sperimentale; Duke University; University of Colorado System; University of Colorado Boulder; Centro Nacional Patagonico (CENPAT); National Institute of Water &amp; Atmospheric Research (NIWA) - New Zealand; NERC National Oceanography Centre; Woods Hole Oceanographic Institution; Commonwealth Scientific &amp; Industrial Research Organisation (CSIRO); Universidad Autonoma de Baja California; Royal Belgian Institute of Natural Sciences; Simon Bolivar University</t>
  </si>
  <si>
    <t>De Pooter, D (corresponding author), Vlaams Inst Zee Flanders Marine Inst, EurOBIS, Oostende, Belgium.</t>
  </si>
  <si>
    <t>Deneudt, Klaas/ABI-1255-2020; Van de Putte, Anton/S-3729-2019; Vandepitte, Leen/N-9764-2014; Lipizer, Marina/KAM-2054-2024; Wambiji, Nina/JAO-0126-2023; Nikolopoulou, Stamatina/AAU-1793-2021; Torres, Carlos R./T-5064-2017; Wambiji, Nina/AAA-9554-2022; Bailly, Nicolas/AID-4444-2022</t>
  </si>
  <si>
    <t>Deneudt, Klaas/0000-0002-8559-3508; Van de Putte, Anton/0000-0003-1336-5554; Vandepitte, Leen/0000-0002-8160-7941; Lipizer, Marina/0000-0001-5707-6338; Wambiji, Nina/0000-0002-7775-5300; Nikolopoulou, Stamatina/0000-0002-7111-7738; Torres, Carlos R./0000-0001-7510-8196; Wambiji, Nina/0000-0002-7775-5300; Watts, David/0000-0002-0373-1971; De Pooter, Daphnis/0000-0001-7870-9907; Lewis, Mirtha/0000-0001-6262-6226; GIORGETTI, Alessandra/0000-0002-0914-4831; Moncoiffe, Gwenaelle/0000-0001-6559-4178; Vinci, Matteo/0000-0003-1238-4083</t>
  </si>
  <si>
    <t>PENSOFT PUBLISHERS</t>
  </si>
  <si>
    <t>SOFIA</t>
  </si>
  <si>
    <t>12 PROF GEORGI ZLATARSKI ST, SOFIA, 1700, BULGARIA</t>
  </si>
  <si>
    <t>1314-2836</t>
  </si>
  <si>
    <t>1314-2828</t>
  </si>
  <si>
    <t>BIODIVERS DATA J</t>
  </si>
  <si>
    <t>Biodiver. Data J.</t>
  </si>
  <si>
    <t>JAN 9</t>
  </si>
  <si>
    <t>e10989</t>
  </si>
  <si>
    <t>10.3897/BDJ.5.e10989</t>
  </si>
  <si>
    <t>Biodiversity Conservation</t>
  </si>
  <si>
    <t>Biodiversity &amp; Conservation</t>
  </si>
  <si>
    <t>GZ8HN</t>
  </si>
  <si>
    <t>WOS:000449730300001</t>
  </si>
  <si>
    <t>Proud, R; Cox, MJ; Brierley, AS</t>
  </si>
  <si>
    <t>Proud, Roland; Cox, Martin J.; Brierley, Andrew S.</t>
  </si>
  <si>
    <t>Biogeography of the Global Ocean's Mesopelagic Zone</t>
  </si>
  <si>
    <t>CURRENT BIOLOGY</t>
  </si>
  <si>
    <t>DEEP SCATTERING LAYERS; CLIMATE-CHANGE; EXPORT; CARBON; MIGRATION; COMMUNITY; FISHES; TRENDS</t>
  </si>
  <si>
    <t>The global ocean's near surface can be partitioned into distinct provinces on the basis of regional primary productivity and oceanography [1]. This ecological geography provides a valuable framework for understanding spatial variability in ecosystem function but has relevance only partway into the epipelagic zone (the top 200 m). The mesopelagic (200-1,000 m) makes up approximately 20% of the global ocean volume, plays important roles in biogeochemical cycling [2], and holds potentially huge fish resources [3-5]. It is, however, hidden from satellite observation, and a lack of globally consistent data has prevented development of a global-scale understanding. Acoustic deep scattering layers (DSLs) are prominent features of the mesopelagic. These vertically narrow (tens to hundreds of m) but horizontally extensive (continuous for tens to thousands of km) layers comprise fish and zooplankton and are readily detectable using echosounders. We have compiled a database of DSL characteristics globally. We show that DSL depth and acoustic back scattering intensity (a measure of biomass) can be modeled accurately using just surface primary productivity, temperature, and wind stress. Spatial variability in these environmental factors leads to a natural partition of the mesopelagic into ten distinct classes. These classes demark a more complex biogeography than the latitudinally banded schemes proposed before [6, 7]. Knowledge of how environmental factors influence the mesopelagic enables future change to be explored: we predict that by 2100 there will be widespread homogenization of mesopelagic communities and that mesopelagic biomass could increase by approximately 17%. The biomass increase requires increased trophic efficiency, which could arise because of ocean warming and DSL shallowing.</t>
  </si>
  <si>
    <t>[Proud, Roland; Brierley, Andrew S.] Univ St Andrews, Scottish Oceans Inst, Gatty Marine Lab, Pelag Ecol Res Grp, St Andrews KY16 8LB, Scotland; [Cox, Martin J.] Australian Antarctic Div, 203 Channel Highway, Kingston, Tas 7050, Australia</t>
  </si>
  <si>
    <t>University of St Andrews; Australian Antarctic Division</t>
  </si>
  <si>
    <t>Proud, R (corresponding author), Univ St Andrews, Scottish Oceans Inst, Gatty Marine Lab, Pelag Ecol Res Grp, St Andrews KY16 8LB, Scotland.</t>
  </si>
  <si>
    <t>rp43@st-andrews.ac.uk</t>
  </si>
  <si>
    <t>; Brierley, Andrew/G-8019-2011</t>
  </si>
  <si>
    <t>Proud, Roland/0000-0002-8647-5562; Brierley, Andrew/0000-0002-6438-6892</t>
  </si>
  <si>
    <t>European H2020 International Cooperation project MESOPP (Mesopelagic Southern Ocean Prey and Predators)</t>
  </si>
  <si>
    <t>We thank the British Antarctic Survey, the British Oceanographic Data Centre, the Australian Integrated Marine Observing System, and Dr. Phil Hosegood for providing echosounder data. We also thank Dr. Andrew Yool for providing output from NEMO-MEDUSA-2.0, and Dr. Mark Costello and Dr. Witold Fraczek for discussion of mesopelagic volume. This study has received support from the European H2020 International Cooperation project MESOPP (Mesopelagic Southern Ocean Prey and Predators; http://www.mesopp.eu/).</t>
  </si>
  <si>
    <t>CELL PRESS</t>
  </si>
  <si>
    <t>CAMBRIDGE</t>
  </si>
  <si>
    <t>50 HAMPSHIRE ST, FLOOR 5, CAMBRIDGE, MA 02139 USA</t>
  </si>
  <si>
    <t>0960-9822</t>
  </si>
  <si>
    <t>1879-0445</t>
  </si>
  <si>
    <t>CURR BIOL</t>
  </si>
  <si>
    <t>Curr. Biol.</t>
  </si>
  <si>
    <t>10.1016/j.cub.2016.11.003</t>
  </si>
  <si>
    <t>Biochemistry &amp; Molecular Biology; Biology; Cell Biology</t>
  </si>
  <si>
    <t>Biochemistry &amp; Molecular Biology; Life Sciences &amp; Biomedicine - Other Topics; Cell Biology</t>
  </si>
  <si>
    <t>EH6RV</t>
  </si>
  <si>
    <t>Green Accepted, hybrid</t>
  </si>
  <si>
    <t>WOS:000391902500029</t>
  </si>
  <si>
    <t>Kang, S; Ahn, DH; Lee, JH; Lee, SG; Shin, SC; Lee, J; Min, GS; Lee, H; Kim, HW; Kim, S; Park, H</t>
  </si>
  <si>
    <t>Kang, Seunghyun; Ahn, Do-Hwan; Lee, Jun Hyuck; Lee, Sung Gu; Shin, Seung Chul; Lee, Jungeun; Min, Gi-Sik; Lee, Hyoungseok; Kim, Hyun-Woo; Kim, Sanghee; Park, Hyun</t>
  </si>
  <si>
    <t>The genome of the Antarctic-endemic copepod, Tigriopus kingsejongensis</t>
  </si>
  <si>
    <t>GIGASCIENCE</t>
  </si>
  <si>
    <t>Article; Data Paper</t>
  </si>
  <si>
    <t>Copepoda; Genome; Antarctic; Adaptation; Tigriopus</t>
  </si>
  <si>
    <t>PHYLOGENETIC ANALYSIS; GENUS TIGRIOPUS; RNA-SEQ; ANNOTATION; TOOL; INFORMATION; ALIGNMENTS; GENERATION; PIPELINE; SEQUENCE</t>
  </si>
  <si>
    <t>Background: The Antarctic intertidal zone is continuously subjected to extremely fluctuating biotic and abiotic stressors. The West Antarctic Peninsula is the most rapidly warming region on Earth. Organisms living in Antarctic intertidal pools are therefore interesting for research into evolutionary adaptation to extreme environments and the effects of climate change. Findings: We report the whole genome sequence of the Antarctic-endemic harpacticoid copepod Tigriopus kingsejongensi. The 37 Gb raw DNA sequence was generated using the Illumina Miseq platform. Libraries were prepared with 65-fold coverage and a total length of 295 Mb. The final assembly consists of 48 368 contigs with an N50 contig length of 17.5 kb, and 27 823 scaffolds with an N50 contig length of 159.2 kb. A total of 12 772 coding genes were inferred using the MAKER annotation pipeline. Comparative genome analysis revealed that T. kingsejongensis-specific genes are enriched in transport and metabolism processes. Furthermore, rapidly evolving genes related to energy metabolism showed positive selection signatures. Conclusions: The T. kingsejongensis genome provides an interesting example of an evolutionary strategy for Antarctic cold adaptation, and offers new genetic insights into Antarctic intertidal biota.</t>
  </si>
  <si>
    <t>[Kang, Seunghyun; Ahn, Do-Hwan; Lee, Jun Hyuck; Lee, Sung Gu; Shin, Seung Chul; Lee, Jungeun; Lee, Hyoungseok; Park, Hyun] Korea Polar Res Inst, Unit Polar Genom, Incheon, South Korea; [Lee, Jun Hyuck; Lee, Sung Gu; Lee, Jungeun; Lee, Hyoungseok; Park, Hyun] Univ Sci &amp; Technol, Polar Sci, Daejeon, South Korea; [Min, Gi-Sik] Inha Univ, Dept Biol Sci, Incheon, South Korea; [Kim, Hyun-Woo] Pukyong Natl Univ, Dept Marine Biol, Busan, South Korea; [Kim, Sanghee] Korea Polar Res Inst, Div Polar Life Sci, Incheon, South Korea</t>
  </si>
  <si>
    <t>Korea Polar Research Institute (KOPRI); University of Science &amp; Technology (UST); Inha University; Pukyong National University; Korea Polar Research Institute (KOPRI)</t>
  </si>
  <si>
    <t>Park, H (corresponding author), Korea Polar Res Inst, Unit Polar Genom, Incheon, South Korea.;Park, H (corresponding author), Univ Sci &amp; Technol, Polar Sci, Daejeon, South Korea.;Kim, HW (corresponding author), Pukyong Natl Univ, Dept Marine Biol, Busan, South Korea.;Kim, S (corresponding author), Korea Polar Res Inst, Div Polar Life Sci, Incheon, South Korea.</t>
  </si>
  <si>
    <t>kimhw@pknu.ac.kr; sangheekim@kopri.re.kr; hpark@kopri.re.kr</t>
  </si>
  <si>
    <t>Kim, Hyun-Woo/AFN-9184-2022</t>
  </si>
  <si>
    <t>Kim, Hyun-Woo/0000-0003-1357-5893; Park, Hyun/0000-0002-8055-2010; Lee, Hyoungseok/0000-0002-5831-6345</t>
  </si>
  <si>
    <t>Korea Polar Research Institute [PE16070, PE14260]</t>
  </si>
  <si>
    <t>Korea Polar Research Institute(Korea Polar Research Institute of Marine Research Placement (KOPRI))</t>
  </si>
  <si>
    <t>This work was supported by the Korea Polar Research Institute funded the grant 'Antarctic organisms: cold-adaptation mechanism and its application' (PE16070), and basic research program (PE14260).</t>
  </si>
  <si>
    <t>OXFORD UNIV PRESS</t>
  </si>
  <si>
    <t>GREAT CLARENDON ST, OXFORD OX2 6DP, ENGLAND</t>
  </si>
  <si>
    <t>2047-217X</t>
  </si>
  <si>
    <t>GigaScience</t>
  </si>
  <si>
    <t>JAN 7</t>
  </si>
  <si>
    <t>10.1093/gigascience/giw010</t>
  </si>
  <si>
    <t>Biology; Multidisciplinary Sciences</t>
  </si>
  <si>
    <t>Life Sciences &amp; Biomedicine - Other Topics; Science &amp; Technology - Other Topics</t>
  </si>
  <si>
    <t>EX8FH</t>
  </si>
  <si>
    <t>WOS:000403483800001</t>
  </si>
  <si>
    <t>Fischer, AM; Ryan, JP; Rienecker, EV</t>
  </si>
  <si>
    <t>Fischer, Andrew M.; Ryan, John P.; Rienecker, Erich V.</t>
  </si>
  <si>
    <t>Fine scale mapping of the structure and composition of the Elkhorn Slough (California, USA) tidal plume</t>
  </si>
  <si>
    <t>ESTUARINE COASTAL AND SHELF SCIENCE</t>
  </si>
  <si>
    <t>Coastal lagoon; AUV; Plume mapping</t>
  </si>
  <si>
    <t>RIVER PLUME; HIGH-RESOLUTION; NEAR-FIELD; TRANSPORT; WATER; BLOOM; BAY; EXCHANGE; ESTUARY; MODEL</t>
  </si>
  <si>
    <t>Fine scale mapping of the structure and composition of a tidal ebb plume from a highly modified coastal lagoon (Elkhorn Slough, California, USA) was conducted by combining in situ, observational data sets from surface underway mapping, autonomous underwater vehicle (AUV) profiles, drifter tracking and the analysis of plume structure indices. The results reveal a 6-m-deep, jet-like, sediment laden plume extending one km offshore at low tide, which becomes entrained in the prevailing nearshore circulation. The plume that exits the slough is significantly different from the water that enters the slough. The rapidly evolving discharge plume is associated with elevated and highly correlated (r = 0.93) concentrations of dissolved organic matter and nitrate. While dissolved constituents remain in the shallow plume and are transported northward with the prevailing current, sediment may settle quickly through the water column and can be transported southwestward with the littoral currents. This study illustrates the applications of AUVs, when coupled with additional datasets, for generating higher resolution observational snapshots of dynamic and ephemeral tidal plumes. The results provide unique perspective on small-scale dynamics of an estuarine plume and its influence on coastal ecology. (C) 2016 Elsevier Ltd. All rights reserved.</t>
  </si>
  <si>
    <t>[Fischer, Andrew M.] Univ Tasmania, Inst Marine &amp; Antarctic Studies, Locked Bag 1370, Launceston, Tas 7250, Australia; [Fischer, Andrew M.; Ryan, John P.; Rienecker, Erich V.] Monterey Bay Aquarium Res Inst, 7700 Sandholdt Rd, Moss Landing, CA 95039 USA</t>
  </si>
  <si>
    <t>University of Tasmania; Monterey Bay Aquarium Research Institute</t>
  </si>
  <si>
    <t>Fischer, AM (corresponding author), Univ Tasmania, Inst Marine &amp; Antarctic Studies, Locked Bag 1370, Launceston, Tas 7250, Australia.</t>
  </si>
  <si>
    <t>andy.fischer@utas.edu.au</t>
  </si>
  <si>
    <t>Ryan, John Phillip/0000-0001-7954-5369; Fischer, Andrew/0000-0001-5284-6428</t>
  </si>
  <si>
    <t>David and Lucile Packard Foundation</t>
  </si>
  <si>
    <t>David and Lucile Packard Foundation(The David &amp; Lucile Packard Foundation)</t>
  </si>
  <si>
    <t>This research was supported by the David and Lucile Packard Foundation. We thank MBARI AUV operations for acquisition of the AUV data. Comments by anonymous reviewers significantly improved the manuscript.</t>
  </si>
  <si>
    <t>0272-7714</t>
  </si>
  <si>
    <t>1096-0015</t>
  </si>
  <si>
    <t>ESTUAR COAST SHELF S</t>
  </si>
  <si>
    <t>Estuar. Coast. Shelf Sci.</t>
  </si>
  <si>
    <t>JAN 5</t>
  </si>
  <si>
    <t>10.1016/j.ecss.2016.10.035</t>
  </si>
  <si>
    <t>Marine &amp; Freshwater Biology; Oceanography</t>
  </si>
  <si>
    <t>EI8SO</t>
  </si>
  <si>
    <t>WOS:000392778300002</t>
  </si>
  <si>
    <t>Bertolino, M; Cattaneo-Vietti, R; Pansini, M; Santini, C; Bavestrello, G</t>
  </si>
  <si>
    <t>Bertolino, Marco; Cattaneo-Vietti, Riccardo; Pansini, Maurizio; Santini, Chiara; Bavestrello, Giorgio</t>
  </si>
  <si>
    <t>Siliceous sponge spicule dissolution: In field experimental evidences from temperate and tropical waters</t>
  </si>
  <si>
    <t>Siliceous spicules; Spicule dissolution; Marine sponges; Seawater temperature</t>
  </si>
  <si>
    <t>REEF SEDIMENTS; GLASS SPONGES; SILICON SINK; DEMOSPONGIAE; PORIFERA; RECONSTRUCTION; COMMUNITIES; BIOSILICA; SKELETON; DIATOMS</t>
  </si>
  <si>
    <t>Sponge siliceous spicules are considered a sink in the silica balance of the oceans as their dissolution rate seems to be negligible, but no field data are available about this process. The aim of this study was a first evaluation of the quantitative dissolution rates of some demosponge and hexactinellid spicules (collected in different localities at different latitudes), left at sea for six months in two localities characterised by different water average temperatures: Mediterranean Sea and Celebes Sea. The effects of silica dissolution on the experimented spicules, studied by SEM analysis, produced an enlargement of the axial canal sometimes resulting in empty spicules. While in demosponges the axial canal wall of eroded spicules was perfectly smooth or slightly rough, the hexactinellid Rossella racovitzae showed a cavernous, well recognisable pattern of dissolution. The dissolution rates were determined evaluating the decrease in outer diameter and in the expansion of the axial channel of about 300 spicules for each considered species and locality. The spicules from the Mediterranean Geodia cydonium did not show any detectable dissolution in both localities, while those from Tethya citrina showed a loose of silica of about 23% in the Mediterranean and 47% in the Celebes Sea. Paratetilla bacca from the Red Sea decreased the silica content of about 30% in both the localities. Tetilla leptoderma from Mar del Plata lost about 8% and 42% of silica respectively in Mediterranean and Celebes Sea. Finally, the hexactinellid spicules from the Antarctic Rossella racovitzae showed highest dissolution rates in both experimental sites (37% and 66% in the Mediterranean and Celebes Sea, respectively). The different levels of dissolution can be related to the different taxonomic position in terms of specular structures as well as to the temperatures at which the spicules have been deposited and exposed. In fact, spicules from the same species showed a dissolution rate generally higher in tropical waters than in Mediterranean. (C) 2016 Elsevier Ltd. All rights reserved.</t>
  </si>
  <si>
    <t>[Bertolino, Marco; Pansini, Maurizio; Santini, Chiara; Bavestrello, Giorgio] Univ Genoa, Dipartimento Sci Terra Ambiente &amp; Vita, Corso Europa 26, I-16132 Genoa, Italy; [Cattaneo-Vietti, Riccardo] Univ Politecn Marche, Dipartimento Sci Vita &amp; Ambiente, Via Brecce Bianche, I-60131 Ancona, Italy</t>
  </si>
  <si>
    <t>University of Genoa; Marche Polytechnic University</t>
  </si>
  <si>
    <t>Bavestrello, G (corresponding author), Univ Genoa, Dipartimento Sci Terra Ambiente &amp; Vita, Corso Europa 26, I-16132 Genoa, Italy.</t>
  </si>
  <si>
    <t>giorgio.bavestrello@unige.it</t>
  </si>
  <si>
    <t>Bavestrello, Giorgio/JXN-5230-2024</t>
  </si>
  <si>
    <t>BERTOLINO, Marco/0000-0003-3233-303X</t>
  </si>
  <si>
    <t>Italian Ministry of Research, MIUR [CUP D32I15000170008]</t>
  </si>
  <si>
    <t>Italian Ministry of Research, MIUR(Ministry of Education, Universities and Research (MIUR))</t>
  </si>
  <si>
    <t>We would like to thank Dr. Marzia Bo for the helpful suggestions. This study was financially supported by COFIN-PRIN and SIR (CUP D32I15000170008) projects (Italian Ministry of Research, MIUR).</t>
  </si>
  <si>
    <t>10.1016/j.ecss.2016.10.044</t>
  </si>
  <si>
    <t>WOS:000392778300006</t>
  </si>
  <si>
    <t>Bakker, P; Clark, PU; Golledge, NR; Schmittner, A; Weber, ME</t>
  </si>
  <si>
    <t>Bakker, Pepijn; Clark, Peter U.; Golledge, Nicholas R.; Schmittner, Andreas; Weber, Michael E.</t>
  </si>
  <si>
    <t>Centennial-scale Holocene climate variations amplified by Antarctic Ice Sheet discharge</t>
  </si>
  <si>
    <t>SOUTHERN-OCEAN; LAST DEGLACIATION; VARIABILITY; MODEL; SEA; HEMISPHERE; ATLANTIC</t>
  </si>
  <si>
    <t>Proxy-based indicators of past climate change show that current global climate models systematically underestimate Holocene-epoch climate variability on centennial to multi-millennial timescales, with the mismatch increasing for longer periods(1-5). Proposed explanations for the discrepancy include ocean-atmosphere coupling that is too weak in models(6), insufficient energy cascades from smaller to larger spatial and temporal scales(7), or that global climate models do not consider slow climate feedbacks related to the carbon cycle or interactions between ice sheets and climate(4). Such interactions, however, are known to have strongly affected centennial-to orbital-scale climate variability during past glaciations(8-11), and are likely to be important in future climate change(12-14). Here we show that fluctuations in Antarctic Ice Sheet discharge caused by relatively small changes in subsurface ocean temperature can amplify multi-centennial climate variability regionally and globally, suggesting that a dynamic Antarctic Ice Sheet may have driven climate fluctuations during the Holocene. We analysed high-temporal-resolution records of iceberg-rafted debris derived from the Antarctic Ice Sheet, and performed both high-spatial-resolution ice-sheet modelling of the Antarctic Ice Sheet and multi-millennial global climate model simulations. Ice-sheet responses to decadal-scale ocean forcing appear to be less important, possibly indicating that the future response of the Antarctic Ice Sheet will be governed more by long-term anthropogenic warming combined with multi-centennial natural variability than by annual or decadal climate oscillations.</t>
  </si>
  <si>
    <t>[Bakker, Pepijn; Clark, Peter U.; Schmittner, Andreas] Oregon State Univ, Coll Earth Ocean &amp; Atmospher Sci, Corvallis, OR 97331 USA; [Golledge, Nicholas R.] Victoria Univ Wellington, Antarct Res Ctr, Wellington, New Zealand; [Golledge, Nicholas R.] GNS Sci, Lower Hutt, New Zealand; [Weber, Michael E.] Univ Bonn, Steinmann Inst, Bonn, Germany; [Weber, Michael E.] Univ Cambridge, Dept Earth Sci, Cambridge, England</t>
  </si>
  <si>
    <t>Oregon State University; Victoria University Wellington; GNS Science - New Zealand; University of Bonn; University of Cambridge</t>
  </si>
  <si>
    <t>Bakker, P (corresponding author), Univ Bremen, Ctr Marine Environm Sci, MARUM, Bremen, Germany.</t>
  </si>
  <si>
    <t>pbakker@marum.de</t>
  </si>
  <si>
    <t>Schmittner, Andreas/O-9647-2015; Weber, Michael E/G-8707-2012</t>
  </si>
  <si>
    <t>Schmittner, Andreas/0000-0002-8376-0843; Weber, Michael E/0000-0003-2175-8980; Golledge, Nicholas/0000-0001-7676-8970</t>
  </si>
  <si>
    <t>National Oceanographic and Atmospheric Administration [NA15OAR4310239]; Antarctic Glaciology Program of the National Science Foundation [1043517]; Royal Society of New Zealand's Marsden Fund [VUW1203]; Deutsche Forschungsgemeinschaft (DFG) [We2039/8-1]; NASA [NNX13AM16G, NNX13AK27G]; Office of Polar Programs (OPP); Directorate For Geosciences [1043517] Funding Source: National Science Foundation</t>
  </si>
  <si>
    <t>National Oceanographic and Atmospheric Administration(National Oceanic Atmospheric Admin (NOAA) - USA); Antarctic Glaciology Program of the National Science Foundation(National Science Foundation (NSF)NSF - Directorate for Geosciences (GEO)); Royal Society of New Zealand's Marsden Fund(Royal Society of New ZealandMarsden Fund (NZ)); Deutsche Forschungsgemeinschaft (DFG)(German Research Foundation (DFG)); NASA(National Aeronautics &amp; Space Administration (NASA)); Office of Polar Programs (OPP); Directorate For Geosciences(National Science Foundation (NSF)NSF - Directorate for Geosciences (GEO))</t>
  </si>
  <si>
    <t>This work was supported by a grant from the National Oceanographic and Atmospheric Administration (award number NA15OAR4310239 to P.B. and A.S.), the Antarctic Glaciology Program of the National Science Foundation (grant number 1043517 to P.U.C.), the Royal Society of New Zealand's Marsden Fund (grant number VUW1203 to N.R.G.) and the Deutsche Forschungsgemeinschaft (DFG grant number We2039/8-1 to M.E.W.). We thank L. Menviel for providing us with the LOVECLIM-based Southern Ocean subsurface temperature data. Development of PISM is supported by NASA grants NNX13AM16G and NNX13AK27G.</t>
  </si>
  <si>
    <t>MACMILLAN BUILDING, 4 CRINAN ST, LONDON N1 9XW, ENGLAND</t>
  </si>
  <si>
    <t>+</t>
  </si>
  <si>
    <t>10.1038/nature20582</t>
  </si>
  <si>
    <t>EN6NA</t>
  </si>
  <si>
    <t>WOS:000396119500031</t>
  </si>
  <si>
    <t>Smith, JA; Ndersen, TJA; Shortt, M; Gaffney, AM; Truffer, M; Stanton, TP; Bindschadler, R; Dutrieux, P; Enkins, AJ; Hillenbrand, CD; Ehrmann, W; Corr, HFJ; Farley, N; Crowhurst, S; Vaughan, DG</t>
  </si>
  <si>
    <t>Smith, J. A.; Ndersen, T. J. A.; Shortt, M.; Gaffney, A. M.; Truffer, M.; Stanton, T. P.; Bindschadler, R.; Dutrieux, P.; Enkins, A. J.; Hillenbrand, C. -D.; Ehrmann, W.; Corr, H. F. J.; Farley, N.; Crowhurst, S.; Vaughan, D. G.</t>
  </si>
  <si>
    <t>Sub-ice-shelf sediments record history of twentieth-century retreat of Pine Island Glacier</t>
  </si>
  <si>
    <t>AMUNDSEN SEA EMBAYMENT; WEST ANTARCTICA; ROSS SEA; SHEET; PLUTONIUM; ISOTOPES; BEHAVIOR; SURFACE; PROXIES; PB-210</t>
  </si>
  <si>
    <t>The West Antarctic Ice Sheet is one of the largest potential sources of rising sea levels(1). Over the past 40 years, glaciers flowing into the Amundsen Sea sector of the ice sheet have thinned at an accelerating rate(2), and several numerical models suggest that unstable and irreversible retreat of the grounding line-which marks the boundary between grounded ice and floating ice shelf- is underway(3). Understanding this recent retreat requires a detailed knowledge of grounding-line history(4), but the locations of the grounding line before the advent of satellite monitoring in the 1990s are poorly dated. In particular, a history of grounding-line retreat is required to understand the relative roles of contemporaneous ocean-forced change and of ongoing glacier response to an earlier perturbation in driving ice-sheet loss. Here we show that the present thinning and retreat of Pine Island Glacier in West Antarctica is part of a climatically forced trend that was triggered in the 1940s. Our conclusions arise from analysis of sediment cores recovered beneath the floating Pine Island Glacier ice shelf, and constrain the date at which the grounding line retreated from a prominent seafloor ridge. We find that incursion of marine water beyond the crest of this ridge, forming an ocean cavity beneath the ice shelf, occurred in 1945 (+/- 12 years); final ungrounding of the ice shelf from the ridge occurred in 1970 (+/- 4 years). The initial opening of this ocean cavity followed a period of strong warming of West Antarctica, associated with El Nino activity. Thus our results suggest that, even when climate forcing weakened, ice-sheet retreat continued.</t>
  </si>
  <si>
    <t>[Smith, J. A.; Shortt, M.; Enkins, A. J.; Hillenbrand, C. -D.; Corr, H. F. J.; Farley, N.; Vaughan, D. G.] British Antarctic Survey, High Cross,Madingley Rd, Cambridge CB3 0ET, England; [Ndersen, T. J. A.] Univ Copenhagen, Ctr Permafrost CENPERM, Dept Geosci &amp; Nat Resource Management, DK-1350 Copenhagen K, Denmark; [Gaffney, A. M.] Lawrence Livermore Natl Lab, Nucl &amp; Chem Sci Div, Livermore, CA 94550 USA; [Truffer, M.] Univ Alaska, Inst Geophys, Fairbanks, AK 99775 USA; [Stanton, T. P.] Naval Postgrad Sch, Dept Oceanog, Monterey, CA 93943 USA; [Bindschadler, R.] NASA, Goddard Space Flight Ctr, Greenbelt, MD 20771 USA; [Dutrieux, P.] Columbia Univ, Lamont Doherty Earth Observ, Palisades, NY 10964 USA; [Ehrmann, W.] Univ Leipzig, Inst Geophys &amp; Geol, Talstr 35, D-04103 Leipzig, Germany; [Farley, N.] Univ Geneva, Dept Earth Sci, 13 Rue Maraichers, CH-1205 Geneva, Switzerland; [Crowhurst, S.] Univ Cambridge, Dept Earth Sci, Godwin Lab Palaeoclimate Res, Downing St, Cambridge CB2 3EQ, England</t>
  </si>
  <si>
    <t>UK Research &amp; Innovation (UKRI); Natural Environment Research Council (NERC); NERC British Antarctic Survey; University of Copenhagen; United States Department of Energy (DOE); Lawrence Livermore National Laboratory; University of Alaska System; University of Alaska Fairbanks; United States Department of Defense; United States Navy; Naval Postgraduate School; National Aeronautics &amp; Space Administration (NASA); NASA Goddard Space Flight Center; Columbia University; Leipzig University; University of Geneva; University of Cambridge</t>
  </si>
  <si>
    <t>Smith, JA (corresponding author), British Antarctic Survey, High Cross,Madingley Rd, Cambridge CB3 0ET, England.</t>
  </si>
  <si>
    <t>jaas@bas.ac.uk</t>
  </si>
  <si>
    <t>Corr, Hugh/C-5398-2011; Vaughan, David/C-8348-2011; Jenkins, Adrian/IUN-2406-2023; Gaffney, Amy/F-8423-2014; Andersen, Thorbjorn Joest/N-7560-2014; Dutrieux, Pierre/B-7568-2012</t>
  </si>
  <si>
    <t>Jenkins, Adrian/0000-0002-9117-0616; Vaughan, David/0000-0002-9065-0570; Gaffney, Amy/0000-0001-5714-0029; Andersen, Thorbjorn Joest/0000-0001-5032-9945; Dutrieux, Pierre/0000-0002-8066-934X</t>
  </si>
  <si>
    <t>NSF's Office of Polar Programs under NSF [ANT-0732926, ANT 0732730]; NASA's Cryospheric Sciences Program; New York University Abhu Dabi [1204]; Natural Environment Research Council-British Antarctic Survey Polar Science for Planet Earth Programme; [DE-AC52-07NA27344]; [LLNL-JRNL-697878]; NERC [NE/J005770/1, NE/G001367/1, bas0100033, bosc01001, bas0100030] Funding Source: UKRI; Natural Environment Research Council [bas0100030, NE/J005770/1, bosc01001, bas0100033, NE/G001367/1] Funding Source: researchfish</t>
  </si>
  <si>
    <t>NSF's Office of Polar Programs under NSF; NASA's Cryospheric Sciences Program(National Aeronautics &amp; Space Administration (NASA)); New York University Abhu Dabi; Natural Environment Research Council-British Antarctic Survey Polar Science for Planet Earth Programme; ; ; NERC(UK Research &amp; Innovation (UKRI)Natural Environment Research Council (NERC)); Natural Environment Research Council(UK Research &amp; Innovation (UKRI)Natural Environment Research Council (NERC))</t>
  </si>
  <si>
    <t>We thank D. Pomraning for help with designing and manning the hot-water drill equipment. Logistic and safety support was provided by K. Gibbon, D. Einerson, E. Steinarsson, F. McCarthy, S. Consalvi, S. King, the PIG support camp personnel, and the National Science Foundation (NSF) Antarctic support team. We particularly thank E. Steinarsson for his help with sediment coring. This research project was supported by NSF's Office of Polar Programs under NSF grants including ANT-0732926 and ANT 0732730; by funding from NASA's Cryospheric Sciences Program; by New York University Abhu Dabi grant 1204; and by the Natural Environment Research Council-British Antarctic Survey Polar Science for Planet Earth Programme. Work at the Lawrence Livermore National Laboratory (LLNL) was performed under contract DE-AC52-07NA27344; LLNL-JRNL-697878.</t>
  </si>
  <si>
    <t>10.1038/nature20136</t>
  </si>
  <si>
    <t>Green Accepted, Green Submitted</t>
  </si>
  <si>
    <t>WOS:000396119500032</t>
  </si>
  <si>
    <t>Fogwill, CJ; Turney, CSM; Golledge, NR; Etheridge, DM; Rubino, M; Thornton, DP; Baker, A; Woodward, J; Winter, K; van Ommen, TD; Moy, AD; Curran, MAJ; Davies, SM; Weber, ME; Bird, MI; Munksgaard, NC; Menviel, L; Rootes, CM; Ellis, B; Millman, H; Vohra, J; Rivera, A; Cooper, A</t>
  </si>
  <si>
    <t>Fogwill, C. J.; Turney, C. S. M.; Golledge, N. R.; Etheridge, D. M.; Rubino, M.; Thornton, D. P.; Baker, A.; Woodward, J.; Winter, K.; van Ommen, T. D.; Moy, A. D.; Curran, M. A. J.; Davies, S. M.; Weber, M. E.; Bird, M. I.; Munksgaard, N. C.; Menviel, L.; Rootes, C. M.; Ellis, B.; Millman, H.; Vohra, J.; Rivera, A.; Cooper, A.</t>
  </si>
  <si>
    <t>Antarctic ice sheet discharge driven by atmosphere-ocean feedbacks at the Last Glacial Termination</t>
  </si>
  <si>
    <t>WEDDELL SEA; CLIMATE RECORD; PATRIOT HILLS; HOLOCENE; VARIABILITY; COLLAPSE; PULSE; RISE</t>
  </si>
  <si>
    <t>Reconstructing the dynamic response of the Antarctic ice sheets to warming during the Last Glacial Termination (LGT; 18,000-11,650 yrs ago) allows us to disentangle ice-climate feedbacks that are key to improving future projections. Whilst the sequence of events during this period is reasonably well-known, relatively poor chronological control has precluded precise alignment of ice, atmospheric and marine records, making it difficult to assess relationships between Antarctic ice-sheet (AIS) dynamics, climate change and sea level. Here we present results from a highly-resolved 'horizontal ice core' from the Weddell Sea Embayment, which records millennial-scale AIS dynamics across this extensive region. Counterintuitively, we find AIS mass-loss across the full duration of the Antarctic Cold Reversal (ACR; 14,600-12,700 yrs ago), with stabilisation during the subsequent millennia of atmospheric warming. Earth-system and ice-sheet modelling suggests these contrasting trends were likely Antarctic-wide, sustained by feedbacks amplified by the delivery of Circumpolar Deep Water onto the continental shelf. Given the anti-phase relationship between inter-hemispheric climate trends across the LGT our findings demonstrate that Southern Ocean-AIS feedbacks were controlled by global atmospheric teleconnections. With increasing stratification of the Southern Ocean and intensification of mid-latitude westerly winds today, such teleconnections could amplify AIS mass loss and accelerate global sea-level rise.</t>
  </si>
  <si>
    <t>[Fogwill, C. J.; Turney, C. S. M.; Baker, A.; Menviel, L.; Vohra, J.] Univ New South Wales, PANGEA Res Ctr, Sydney, NSW 2052, Australia; [Fogwill, C. J.; Turney, C. S. M.; Menviel, L.; Millman, H.; Vohra, J.] Univ New South Wales, Sch Biol Earth &amp; Environm Sci, Climate Change Res Ctr, Sydney, NSW 2052, Australia; [Golledge, N. R.] Victoria Univ Wellington, Antarctic Res Ctr, Wellington 6140, New Zealand; [Golledge, N. R.] GNS Sci, Lower Hutt, New Zealand; [Etheridge, D. M.; Rubino, M.; Thornton, D. P.] CSIRO Climate Sci Ctr, Oceans &amp; Atmosphere, Aspendale, Vic 3195, Australia; [Rubino, M.] Univ Campania Luigi Vanvitelli, Dipartimento Matemat &amp; Fis, Viale Lincoln 5, I-81100 Caserta, Italy; [Woodward, J.; Winter, K.] Northumbria Univ, Fac Engn &amp; Environm, Dept Geog, Newcastle Upon Tyne NE1 8ST, Tyne &amp; Wear, England; [van Ommen, T. D.; Moy, A. D.; Curran, M. A. J.] Australian Antarctic Div, 203 Channel Highway, Kingston, Tas 7050, Australia; [van Ommen, T. D.; Moy, A. D.; Curran, M. A. J.] Univ Tasmania, Antarctic Climate &amp; Ecosyst Cooperat Res Ctr, Private Bag 80, Hobart, Tas 7001, Australia; [Davies, S. M.] Swansea Univ, Dept Geog, Coll Sci, Swansea, W Glam, Wales; [Weber, M. E.] Univ Cambridge, Dept Earth Sci, Drummond St, Cambridge, England; [Weber, M. E.] Univ Bonn, Steinmann Inst, Bonn, Germany; [Bird, M. I.; Munksgaard, N. C.] James Cook Univ, Coll Sci &amp; Engn, Ctr Trop Environm &amp; Sustainabil Sci, Cairns, Australia; [Munksgaard, N. C.] Charles Darwin Univ, Res Inst Environm &amp; Livelihoods, Darwin, NT 0909, Australia; [Rootes, C. M.] Univ Sheffield, Dept Geog, Sheffield S10 2TN, S Yorkshire, England; [Ellis, B.] Australian Natl Univ, Res Sch Earth Sci, Canberra, ACT, Australia; [Rivera, A.] Ctr Estudios Cient, Glaciol &amp; Climate Change Lab, Arturo Prat 514, Valdivia, Chile; [Rivera, A.] Univ Chile, Dept Geog, Santiago, Chile; [Cooper, A.] Univ Adelaide, Australian Ctr Ancient DNA, Adelaide, SA 5005, Australia</t>
  </si>
  <si>
    <t>University of New South Wales Sydney; University of New South Wales Sydney; Victoria University Wellington; GNS Science - New Zealand; Commonwealth Scientific &amp; Industrial Research Organisation (CSIRO); Universita della Campania Vanvitelli; Northumbria University; Australian Antarctic Division; University of Tasmania; Antarctic Climate &amp; Ecosystems Cooperative Research Centre (ACE CRC); Swansea University; University of Cambridge; University of Bonn; James Cook University; Charles Darwin University; University of Sheffield; Australian National University; Universidad de Chile; University of Adelaide</t>
  </si>
  <si>
    <t>Fogwill, CJ (corresponding author), Univ New South Wales, PANGEA Res Ctr, Sydney, NSW 2052, Australia.;Fogwill, CJ (corresponding author), Univ New South Wales, Sch Biol Earth &amp; Environm Sci, Climate Change Res Ctr, Sydney, NSW 2052, Australia.</t>
  </si>
  <si>
    <t>c.fogwill@unsw.edu.au</t>
  </si>
  <si>
    <t>Rubino, Mauro/Q-5578-2016; Menviel, Laurie/O-7833-2019; Ellis, Bethany/ISA-4270-2023; Fogwill, Chris/AAW-3502-2021; Woodward, John/I-1046-2013; Etheridge, David M/B-7334-2013; Baker, Andy/O-5362-2019; Weber, Michael E/G-8707-2012; Bird, Michael/G-5364-2010; Fogwill, Christopher/HPF-1150-2023; Andric, Shreya/HMV-7401-2023; Turney, Chris/P-8701-2018; Davies, Siwan/E-6915-2011; Menviel, Laurie/D-6902-2013; van Ommen, Tas/B-5020-2012</t>
  </si>
  <si>
    <t>Fogwill, Chris/0000-0002-6471-1106; Baker, Andy/0000-0002-1552-6166; Bird, Michael/0000-0003-1801-8703; Golledge, Nicholas/0000-0001-7676-8970; Turney, Chris/0000-0001-6733-0993; Ellis, Bethany/0000-0002-4662-1115; Davies, Siwan/0000-0003-0999-7233; Cooper, Alan/0000-0002-7738-7851; Rubino, Mauro/0000-0002-8721-4508; Rivera, Andres/0000-0002-2779-4192; Menviel, Laurie/0000-0002-5068-1591; Winter, Kate/0000-0003-2389-8637; Etheridge, David/0000-0001-7970-2002; van Ommen, Tas/0000-0002-2463-1718; Weber, Michael E/0000-0003-2175-8980; Woodward, John/0000-0002-4980-4080</t>
  </si>
  <si>
    <t>Australian Research Council (ARC); Royal Society; Linkage Partner Antarctic Logistics and Expeditions [LP120200724]; NERC grant [NE/I027576/1]; Australian Climate Change Science Program (ACCSP), an Australian Government Initiative; Coleg Cymraeg Cenedlaethol; European Research Council (ERC grant) [25923]; ARC [DE150100107]; NERC [NE/I027576/1] Funding Source: UKRI; Natural Environment Research Council [NE/I027576/1] Funding Source: researchfish; Australian Research Council [LP120200724] Funding Source: Australian Research Council</t>
  </si>
  <si>
    <t>Australian Research Council (ARC)(Australian Research Council); Royal Society(Royal Society); Linkage Partner Antarctic Logistics and Expeditions; NERC grant(UK Research &amp; Innovation (UKRI)Natural Environment Research Council (NERC)); Australian Climate Change Science Program (ACCSP), an Australian Government Initiative; Coleg Cymraeg Cenedlaethol; European Research Council (ERC grant)(European Research Council (ERC)); ARC(Australian Research Council); NERC(UK Research &amp; Innovation (UKRI)Natural Environment Research Council (NERC)); Natural Environment Research Council(UK Research &amp; Innovation (UKRI)Natural Environment Research Council (NERC)); Australian Research Council(Australian Research Council)</t>
  </si>
  <si>
    <t>C.J.F., C.S.M.T. and N.R.G. are supported by their respective Australian Research Council (ARC) and Royal Society of N.Z. fellowships. Fieldwork was undertaken under ARC Linkage Project (LP120200724), supported by Linkage Partner Antarctic Logistics and Expeditions. J.W. and K.W. undertook GPR survey of the Patriot Hills record under NERC grant NE/I027576/1 with logistical field support from the British Antarctic Survey. We thank Dr Chris Hayward for electron microprobe assistance, Dr Nelia Dunbar for providing the Siple Dome data and Kathryn Lacey and Gareth James for help with preparing the tephra samples, CSIRO GASLAB personnel for support of gas analysis, and Prof. Bill Sturges and Dr Sam Allin of the Centre for Ocean and Atmospheric Sciences, University of East Anglia for performing the SF6 analyses. CSIRO's contribution was supported in part by the Australian Climate Change Science Program (ACCSP), an Australian Government Initiative. SMD acknowledges financial support from Coleg Cymraeg Cenedlaethol and the European Research Council (ERC grant agreement no. 25923), LM acknowledges funding from the ARC (DE150100107). We thank A/Prof. Andrew Mackintosh for detailed discussions over the implications of our data and acknowledge the efforts of two anonymous reviewers whose detailed reviews strengthened the manuscript. The data reported in this paper are archived on the NOAA Paleoclimatology website. The author(s) wish to acknowledge use of the Ferret program for analysis and graphics of the LOVECLIM outputs presented in this paper. Ferret is a product of NOAA's Pacific Marine Environmental Laboratory. (Information is available at http://ferret.pmel.noaa.gov/Ferret/).</t>
  </si>
  <si>
    <t>10.1038/srep39979</t>
  </si>
  <si>
    <t>EG6WT</t>
  </si>
  <si>
    <t>Green Accepted, Green Published, gold</t>
  </si>
  <si>
    <t>WOS:000391187700001</t>
  </si>
  <si>
    <t>Dömel, JS; Melzer, RR; Harder, AM; Mahon, AR; Leese, F</t>
  </si>
  <si>
    <t>Doemel, Jana S.; Melzer, Roland R.; Harder, Avril M.; Mahon, Andrew R.; Leese, Florian</t>
  </si>
  <si>
    <t>Nuclear and Mitochondrial Gene Data Support Recent Radiation within the Sea Spider Species Complex Pallenopsis patagonica</t>
  </si>
  <si>
    <t>FRONTIERS IN ECOLOGY AND EVOLUTION</t>
  </si>
  <si>
    <t>Southern Ocean; Chelicerata; Pycnogonida; DNA-barcoding; ITS; cryptic species</t>
  </si>
  <si>
    <t>COLOSSENDEIS-MEGALONYX HOEK; SEROLID ISOPODS CRUSTACEA; ANTARCTIC POLAR FRONT; OPEN-OCEAN BARRIERS; SOUTHERN-OCEAN; PROMACHOCRINUS-KERGUELENSIS; SUBZERO TEMPERATURES; PYCNOGONIDA; DISPERSAL; LINEAGES</t>
  </si>
  <si>
    <t>The climate history of the Antarctic continental shelf has formed a diverse benthic ecosystem over evolutionary time scales. The extent of faunal diversity has only recently been unveiled especially by using genetic data. In addition to newly reported species, known species of benthic invertebrates in the Southern Ocean turned out to be in fact species complexes representing genetically very distinct clades. Previous studies have shown that the sea spider Pallenopsis patagonica is such a species complex consisting of several divergent mitochondrial clades. However, genetic analyses of another sea spider complex, Colossendeis megalonyx, showed that looking at one mitochondrial gene only can lead to overestimation of species number within a species complex and revealed mito-nuclear discordances. In this study we expand the current data set of P. patagonica by adding not only samples from Patagonia, the Subantarctic and the Eastern Weddell Sea, but also sequence data for the nuclear internal transcribed spacer (ITS) region to obtain more information about the species complex. In fact, the number of distinct clades is reduced when looking at nuclear data, but there are no cases of mito-nuclear discordance and hence no evidence for hybridization and speciation reversal events between divergent mitochondrial clades as in C. megalonyx. As patterns of mitochondrial COI diversity and divergence within P. patagonica and C. megalonyx are very similar and molecular dating analyses of both species complexes suggest a recent separation of clades during the Pleistocene, different biological processes seem to have led to fast and stable species boundaries in P. patagonica as opposed to C. megalonyx where hybridization even across major mitochondrial lineages occured.</t>
  </si>
  <si>
    <t>[Doemel, Jana S.; Leese, Florian] Univ Duisburg Essen, Aquat Ecosyst Res, Fac Biol, Essen, Germany; [Melzer, Roland R.] Zool Staatssammlung Munchen, Munich, Germany; [Melzer, Roland R.] Ludwig Maximilians Univ Munchen, Bioctr, Fac Biol, Munich, Germany; [Melzer, Roland R.] Ludwig Maximilians Univ Munchen, GeoBioCtr, Munich, Germany; [Harder, Avril M.; Mahon, Andrew R.] Cent Michigan Univ, Dept Biol, Inst Great Lakes Res, Mt Pleasant, MI 48859 USA; [Leese, Florian] Univ Duisburg Essen, Ctr Water &amp; Environm Res, Essen, Germany</t>
  </si>
  <si>
    <t>University of Duisburg Essen; University of Munich; University of Munich; Central Michigan University; University of Duisburg Essen</t>
  </si>
  <si>
    <t>Dömel, JS (corresponding author), Univ Duisburg Essen, Aquat Ecosyst Res, Fac Biol, Essen, Germany.</t>
  </si>
  <si>
    <t>jana.doemel@uni-due.de</t>
  </si>
  <si>
    <t>Harder, Avril/AAC-7387-2020; Leese, Florian/D-4277-2012</t>
  </si>
  <si>
    <t>Harder, Avril/0000-0001-7371-4002; Leese, Florian/0000-0002-5465-913X; Mahon, Andrew/0000-0002-5074-8725</t>
  </si>
  <si>
    <t>Deutsche Forschungsgemeinschaft (DFG) [LE 2323/3-1, ME 2683/8-1]; research grant Biodiversity of the Chilean Fjords of Sea Life Center Munich; National Science Foundation [ANT-1043745, PLR-1043670]</t>
  </si>
  <si>
    <t>Deutsche Forschungsgemeinschaft (DFG)(German Research Foundation (DFG)); research grant Biodiversity of the Chilean Fjords of Sea Life Center Munich; National Science Foundation(National Science Foundation (NSF))</t>
  </si>
  <si>
    <t>This work was supported by the Deutsche Forschungsgemeinschaft (DFG) in the framework of the priority programme Antarctic Research with comparative investigations in Arctic ice areas by a grant to FL (LE 2323/3-1) and RRM (ME 2683/8-1), and by research grant Biodiversity of the Chilean Fjords of Sea Life Center Munich to RRM. This work was also supported by National Science Foundation Grants to ARM (ANT-1043745, PLR-1043670).</t>
  </si>
  <si>
    <t>FRONTIERS MEDIA SA</t>
  </si>
  <si>
    <t>LAUSANNE</t>
  </si>
  <si>
    <t>AVENUE DU TRIBUNAL FEDERAL 34, LAUSANNE, CH-1015, SWITZERLAND</t>
  </si>
  <si>
    <t>2296-701X</t>
  </si>
  <si>
    <t>FRONT ECOL EVOL</t>
  </si>
  <si>
    <t>Front. Ecol. Evol.</t>
  </si>
  <si>
    <t>JAN 4</t>
  </si>
  <si>
    <t>10.3389/fevo.2016.00139</t>
  </si>
  <si>
    <t>Ecology</t>
  </si>
  <si>
    <t>HC1BN</t>
  </si>
  <si>
    <t>WOS:000451534200001</t>
  </si>
  <si>
    <t>Grange, LJ; Smith, CR; Lindsay, DJ; Bentlage, B; Youngbluth, MJ</t>
  </si>
  <si>
    <t>Grange, Laura J.; Smith, Craig R.; Lindsay, Dhugal J.; Bentlage, Bastian; Youngbluth, Marsh J.</t>
  </si>
  <si>
    <t>High Abundance of the Epibenthic Trachymedusa Ptychogastria polaris Allman, 1878 (Hydrozoa, Trachylina) in Subpolar Fjords along the West Antarctic Peninsula</t>
  </si>
  <si>
    <t>BENTHIC BOUNDARY-LAYER; GELATINOUS ZOOPLANKTON; NORTHEAST GREENLAND; OXYGEN-CONSUMPTION; SUBMARINE CANYONS; CNIDARIA HYDROZOA; BARENTS SEA; SP NOV.; WATER; HYDROMEDUSAE</t>
  </si>
  <si>
    <t>Medusae can be conspicuous and abundant members of seafloor communities in deep-sea benthic boundary layers. The epibenthic trachymedusa, Ptychogastria polaris Allman, 1878 (Hydrozoa: Trachylina: Ptychogastriidae) occurs in the cold, high latitude systems of both the northern and southern hemispheres, with a circumpolar distribution in Arctic and sub Arctic areas, and disjunct reports of a few individuals from Antarctica. In January-February 2010, during benthic megafaunal photosurveys in three subpolar fjords along the West Antarctic Peninsula (Andvord, Flandres and Barilari Bays), P. polaris was recorded in Antarctic Peninsula waters. The trachymedusa, identified from megacore-collected specimens, was a common component of the epifauna in the sediment floored basins at 436-725 m depths in Andvord and Flandres Bays, reaching densities up to 13 m(-2), with mean densities in individual basins ranging from 0.06 to 4.19 m(-2). These densities are 2 to 400-fold higher than previously reported for P. polaris in either the Arctic or Antarctic. This trachymedusa had an aggregated distribution, occurring frequently in Andvord Bay, but was often solitary in Flandres Bay, with a distribution not significantly different from random. Epibenthic individuals were similar in size, typically measuring 15-25 mm in bell diameter. A morphologically similar trachymedusa, presumably the same species, was also observed in the water column near the bottom in all three fjords. This benthopelagic form attained abundances of up to 7 m(-2) of seafloor; however, most P. polaris (similar to 80%), were observed on soft sediments. Our findings indicate that fjords provide a prime habitat for the development of dense populations of P. polaris, potentially resulting from high and varied food inputs to the fjord floors. Because P. polaris resides in the water column and at the seafloor, large P. polaris populations may contribute significantly to pelagic-benthic coupling in the WAP fjord ecosystems.</t>
  </si>
  <si>
    <t>[Grange, Laura J.; Smith, Craig R.] Univ Hawaii Manoa, Dept Oceanog, Honolulu, HI 96822 USA; [Lindsay, Dhugal J.] Japan Agcy Marine Earth Sci &amp; Technol JAMSTEC, Natsushima Cho, Yokosuka, Kanagawa, Japan; [Bentlage, Bastian] Natl Museum Nat Hist, Dept Invertebrate Zool, Smithsonian Inst, Washington, DC 20560 USA; [Youngbluth, Marsh J.] Florida Atlantic Univ, Harbor Branch Oceanog Inst, Ft Pierce, FL USA; [Grange, Laura J.] Univ Southampton, Natl Oceanog Ctr Southampton, Ocean &amp; Earth Sci, Southampton, Hants, England; [Bentlage, Bastian] Univ Guam Marine Lab, UOG Stn, Mangilao, GU USA</t>
  </si>
  <si>
    <t>University of Hawaii System; University of Hawaii Manoa; Japan Agency for Marine-Earth Science &amp; Technology (JAMSTEC); Smithsonian Institution; Smithsonian National Museum of Natural History; State University System of Florida; Florida Atlantic University; Harbor Branch Oceanographic Institute Foundation; University of Southampton; NERC National Oceanography Centre; University of Guam</t>
  </si>
  <si>
    <t>Grange, LJ (corresponding author), Univ Hawaii Manoa, Dept Oceanog, Honolulu, HI 96822 USA.;Grange, LJ (corresponding author), Univ Southampton, Natl Oceanog Ctr Southampton, Ocean &amp; Earth Sci, Southampton, Hants, England.</t>
  </si>
  <si>
    <t>L.J.Grange@noc.soton.ac.uk</t>
  </si>
  <si>
    <t>Grange, Laura/E-8495-2014</t>
  </si>
  <si>
    <t>Grange, Laura/0000-0001-9222-6848</t>
  </si>
  <si>
    <t>Office of Polar Programs (OPP), United States National Science Foundation under the LARISSA [OPP-0732711]; Smithsonian Peter Buck postdoctoral fellowship; Office Of The Director; Office of Integrative Activities [1457769] Funding Source: National Science Foundation</t>
  </si>
  <si>
    <t>Office of Polar Programs (OPP), United States National Science Foundation under the LARISSA; Smithsonian Peter Buck postdoctoral fellowship; Office Of The Director; Office of Integrative Activities(National Science Foundation (NSF)NSF - Office of the Director (OD)NSF - Office of Integrative Activities (OIA))</t>
  </si>
  <si>
    <t>This material is based upon work supported by the Office of Polar Programs (OPP), United States National Science Foundation under the LARISSA Project OPP-0732711 to C.R.S. B.B. wishes to acknowledge support through a Smithsonian Peter Buck postdoctoral fellowship. The funders had no role in study design, data collection and analysis, decision to publish, or preparation of the manuscript.</t>
  </si>
  <si>
    <t>e0168648</t>
  </si>
  <si>
    <t>10.1371/journal.pone.0168648</t>
  </si>
  <si>
    <t>EH2TP</t>
  </si>
  <si>
    <t>Green Published, Green Accepted, Green Submitted, gold</t>
  </si>
  <si>
    <t>WOS:000391621500020</t>
  </si>
  <si>
    <t>Peres, LV; Bencherif, H; Mbatha, N; Schuch, AP; Toihir, AM; Bègue, N; Portafaix, T; Anabor, V; Pinheiro, DK; Leme, NMP; Bageston, JV; Schuch, NJ</t>
  </si>
  <si>
    <t>Peres, Lucas Vaz; Bencherif, Hassan; Mbatha, Nkanyiso; Schuch, Andre Passaglia; Toihir, Abdoulwahab Mohamed; Begue, Nelson; Portafaix, Thierry; Anabor, Vagner; Pinheiro, Damaris Kirsch; Paes Leme, Neusa Maria; Bageston, Jose Valentin; Schuch, Nelson Jorge</t>
  </si>
  <si>
    <t>Measurements of the total ozone column using a Brewer spectrophotometer and TOMS and OMI satellite instruments over the Southern Space Observatory in Brazil</t>
  </si>
  <si>
    <t>Atmospheric composition and structure; middle atmosphere; composition and chemistry</t>
  </si>
  <si>
    <t>QUASI-BIENNIAL OSCILLATION; GROUND-BASED MEASUREMENTS; STRATOSPHERE-TROPOSPHERE EXCHANGE; WAVELET ANALYSIS; TROPICAL STRATOSPHERE; CLIMATOLOGY; QBO; TEMPERATURE; CIRCULATION; TRENDS</t>
  </si>
  <si>
    <t>This paper presents 23 years (1992-2014) of quasi-continuous measurements of the total ozone column (TOC) over the Southern Space Observatory (SSO) in Sao Martinho da Serra, Brazil (29.26 degrees S, 53.48 degrees and 488m altitude). The TOC was measured by a Brewer spectrometer, and the results are also compared to daily and monthly observations from the TOMS (Total Ozone Mapping Spectrometer) and OMI (Ozone Monitoring Instrument) satellite instruments. Analyses of the main interannual modes of variability computed using the wavelet transform method were performed. A favorable agreement between the Brewer spectrophotometer and satellite datasets was found. The seasonal TOC variation is dominated by an annual cycle, with a minimum of approximately 260DU in April and a maximum of approximately 295DU in September. The wavelet analysis applied in the SSO TOC anomaly time series revealed that the Quasi-Biennial Oscillation (QBO) modulation was the main mode of interannual variability. The comparison between the SSO TOC anomaly time series with the QBO index revealed that the two are in opposite phases.</t>
  </si>
  <si>
    <t>[Peres, Lucas Vaz; Schuch, Andre Passaglia; Anabor, Vagner; Pinheiro, Damaris Kirsch] Univ Fed Santa Maria, BR-97195000 Santa Maria, RS, Brazil; [Peres, Lucas Vaz] CAPES Fdn, Minist Educ Brazil, BR-70040020 Brasilia, DF, Brazil; [Bencherif, Hassan; Toihir, Abdoulwahab Mohamed; Begue, Nelson; Portafaix, Thierry] Univ Reunion Isl, LACy, UMR 8105, St Denis, Reunion, France; [Bencherif, Hassan] Univ KwaZulu Natal, Sch Chem &amp; Phys, Durban, South Africa; [Mbatha, Nkanyiso] Univ Zululand, Dept Geog, ZA-3886 Kwa Dlangezwa, South Africa; [Paes Leme, Neusa Maria] Northern Reg Ctr, Natl Inst Space Res CRN INPE, BR-59076740 Natal, RN, Brazil; [Bageston, Jose Valentin; Schuch, Nelson Jorge] Southern Reg Ctr, Natl Inst Space Res CRS INPE, BR-97105970 Santa Maria, RS, Brazil</t>
  </si>
  <si>
    <t>Universidade Federal de Santa Maria (UFSM); Coordenacao de Aperfeicoamento de Pessoal de Nivel Superior (CAPES); Centre National de la Recherche Scientifique (CNRS); CNRS - National Institute for Earth Sciences &amp; Astronomy (INSU); University of La Reunion; University of Kwazulu Natal; University of Zululand</t>
  </si>
  <si>
    <t>Peres, LV (corresponding author), Univ Fed Santa Maria, BR-97195000 Santa Maria, RS, Brazil.;Peres, LV (corresponding author), CAPES Fdn, Minist Educ Brazil, BR-70040020 Brasilia, DF, Brazil.</t>
  </si>
  <si>
    <t>lucasvazperes@gmail.com</t>
  </si>
  <si>
    <t>Bageston, Jose Valentin/F-1269-2018; Schuch, André/AAY-8946-2020; Anabor, Vagner/I-5814-2012; Schuch, Nelson Jorge/K-9730-2015; Pinheiro, Damaris Kirsch/AAE-6120-2020; Anabor, Vagner/AAL-4118-2021</t>
  </si>
  <si>
    <t>Pinheiro, Damaris Kirsch/0000-0001-6939-7091; Bageston, Jose V/0000-0003-2931-8488</t>
  </si>
  <si>
    <t>Coordination for the Improvement of Higher Education Personnel (CAPES) [99999.010629/2014-09]; National Council for Scientific and Technological Development (CNPq) [574018/2008-5]; Carlos Chagas Filho Foundation for Research Support in the State of Rio de Janeiro (FAPERJ) [E-16/170 023/2008]; Ministry of Science, Technology and Innovation (MCTI); Ministry of Environment (MMA); Inter-ministerial Commission for Sea Resources (CIRM); Research Support Foundation of the Rio Grande do Sul State (FAPERGS); NASA/TOMS/OMI; NOAA; ATMAN-TAR Project; MCTI/CNPq announcement of International Polar Year [52.0182/2006-5]</t>
  </si>
  <si>
    <t>Coordination for the Improvement of Higher Education Personnel (CAPES)(Coordenacao de Aperfeicoamento de Pessoal de Nivel Superior (CAPES)); National Council for Scientific and Technological Development (CNPq)(Conselho Nacional de Desenvolvimento Cientifico e Tecnologico (CNPQ)); Carlos Chagas Filho Foundation for Research Support in the State of Rio de Janeiro (FAPERJ)(Fundacao Carlos Chagas Filho de Amparo a Pesquisa do Estado do Rio De Janeiro (FAPERJ)); Ministry of Science, Technology and Innovation (MCTI); Ministry of Environment (MMA); Inter-ministerial Commission for Sea Resources (CIRM); Research Support Foundation of the Rio Grande do Sul State (FAPERGS)(Fundacao de Amparo a Ciencia e Tecnologia do Estado do Rio Grande do Sul (FAPERGS)); NASA/TOMS/OMI; NOAA(National Oceanic Atmospheric Admin (NOAA) - USA); ATMAN-TAR Project; MCTI/CNPq announcement of International Polar Year</t>
  </si>
  <si>
    <t>This work is part of the Graduate Program in Meteorology, Federal University of Santa Maria (UFSM), together with the Laboratory of Atmosphere and Cyclones (LACy) of the University of Reunion Island (France), supported by Coordination for the Improvement of Higher Education Personnel (CAPES) Process no. 99999.010629/2014-09 and the National Institute of Science and Technology - Antarctic Environmental Research (INCT-APA), which receives scientific and financial support of the National Council for Scientific and Technological Development (CNPq process: no. 574018/2008-5) and the Carlos Chagas Filho Foundation for Research Support in the State of Rio de Janeiro (FAPERJ No. E-16/170 023/2008). The authors also acknowledge the support of the Ministry of Science, Technology and Innovation (MCTI), the Ministry of Environment (MMA), and the Inter-ministerial Commission for Sea Resources (CIRM) along with the Research Support Foundation of the Rio Grande do Sul State (FAPERGS) by scholarship, as well as the NASA/TOMS/OMI and NOAA climate index for the data used in the analysis, the ATMAN-TAR Project, and the MCTI/CNPq announcement of International Polar Year, Case No. 52.0182/2006-5.</t>
  </si>
  <si>
    <t>JAN 3</t>
  </si>
  <si>
    <t>10.5194/angeo-35-25-2017</t>
  </si>
  <si>
    <t>EI0XS</t>
  </si>
  <si>
    <t>WOS:000392199500003</t>
  </si>
  <si>
    <t>Jansen, MF</t>
  </si>
  <si>
    <t>Jansen, Malte F.</t>
  </si>
  <si>
    <t>Glacial ocean circulation and stratification explained by reduced atmospheric temperature</t>
  </si>
  <si>
    <t>PROCEEDINGS OF THE NATIONAL ACADEMY OF SCIENCES OF THE UNITED STATES OF AMERICA</t>
  </si>
  <si>
    <t>LGM; AMOC; stratification; cooling; sea-ice</t>
  </si>
  <si>
    <t>WESTERLY WIND CHANGES; SEA-ICE CONTROL; OVERTURNING CIRCULATION; DEEP-OCEAN; THERMOHALINE CIRCULATION; FLUX MEASUREMENTS; MAXIMUM; MODELS; CLIMATE; DEGLACIATION</t>
  </si>
  <si>
    <t>Earth's climate has undergone dramatic shifts between glacial and interglacial time periods, with high-latitude temperature changes on the order of 5-10 degrees C. These climatic shifts have been associated with major rearrangements in the deep ocean circulation and stratification, which have likely played an important role in the observed atmospheric carbon dioxide swings by affecting the partitioning of carbon between the atmosphere and the ocean. The mechanisms by which the deep ocean circulation changed, however, are still unclear and represent a major challenge to our understanding of glacial climates. This study shows that various inferred changes in the deep ocean circulation and stratification between glacial and interglacial climates can be interpreted as a direct consequence of atmospheric temperature differences. Colder atmospheric temperatures lead to increased sea ice cover and formation rate around Antarctica. The associated enhanced brine rejection leads to a strongly increased deep ocean stratification, consistent with high abyssal salinities inferred for the last glacial maximum. The increased stratification goes together with a weakening and shoaling of the interhemispheric overturning circulation, again consistent with proxy evidence for the last glacial. The shallower interhemispheric overturning circulation makes room for slowly moving water of Antarctic origin, which explains the observed middepth radiocarbon age maximum and may play an important role in ocean carbon storage.</t>
  </si>
  <si>
    <t>[Jansen, Malte F.] Univ Chicago, Dept Geophys Sci, 5734 S Ellis Ave, Chicago, IL 60637 USA</t>
  </si>
  <si>
    <t>University of Chicago</t>
  </si>
  <si>
    <t>Jansen, MF (corresponding author), Univ Chicago, Dept Geophys Sci, 5734 S Ellis Ave, Chicago, IL 60637 USA.</t>
  </si>
  <si>
    <t>mfj@uchicago.edu</t>
  </si>
  <si>
    <t>Jansen, Malte/ABB-4451-2020</t>
  </si>
  <si>
    <t>Jansen, Malte/0000-0003-3894-1124</t>
  </si>
  <si>
    <t>National Science Foundation [1536454]; Division Of Ocean Sciences; Directorate For Geosciences [1536454] Funding Source: National Science Foundation</t>
  </si>
  <si>
    <t>National Science Foundation(National Science Foundation (NSF)); Division Of Ocean Sciences; Directorate For Geosciences(National Science Foundation (NSF)NSF - Directorate for Geosciences (GEO))</t>
  </si>
  <si>
    <t>I thank Alice Marzocchi, K. Thomas, and two anonymous reviewers for their very valuable comments. The MITgcm configuration files and model output data are available from the author upon request. Funding for this work was provided by the National Science Foundation under Award 1536454, and computational resources were provided by the Research Computing Center at the University of Chicago.</t>
  </si>
  <si>
    <t>NATL ACAD SCIENCES</t>
  </si>
  <si>
    <t>2101 CONSTITUTION AVE NW, WASHINGTON, DC 20418 USA</t>
  </si>
  <si>
    <t>0027-8424</t>
  </si>
  <si>
    <t>P NATL ACAD SCI USA</t>
  </si>
  <si>
    <t>Proc. Natl. Acad. Sci. U. S. A.</t>
  </si>
  <si>
    <t>10.1073/pnas.1610438113</t>
  </si>
  <si>
    <t>EG5OM</t>
  </si>
  <si>
    <t>Green Published, Bronze</t>
  </si>
  <si>
    <t>WOS:000391093700024</t>
  </si>
  <si>
    <t>Giordano, MR; Kalnajs, LE; Avery, A; Goetz, JD; Davis, SM; DeCarlo, PF</t>
  </si>
  <si>
    <t>Giordano, Michael R.; Kalnajs, Lars E.; Avery, Anita; Goetz, J. Douglas; Davis, Sean M.; DeCarlo, Peter F.</t>
  </si>
  <si>
    <t>A missing source of aerosols in Antarctica - beyond long-range transport, phytoplankton, and photochemistry</t>
  </si>
  <si>
    <t>SEA-SALT-SULFATE; CLOUD CONDENSATION NUCLEI; POSITIVE MATRIX FACTORIZATION; ROSS ISLAND REGION; BOUNDARY-LAYER; MASS-SPECTROMETER; ATMOSPHERIC AEROSOL; COASTAL ANTARCTICA; SIZE DISTRIBUTION; SULFUR EMISSIONS</t>
  </si>
  <si>
    <t>Understanding the sources and evolution of aerosols is crucial for constraining the impacts that aerosols have on a global scale. An unanswered question in atmospheric science is the source and evolution of the Antarctic aerosol population. Previous work over the continent has primarily utilized low temporal resolution aerosol filters to answer questions about the chemical composition of Antarctic aerosols. Bulk aerosol sampling has been useful in identifying seasonal cycles in the aerosol populations, especially in populations that have been attributed to Southern Ocean phytoplankton emissions. However, real-time, high-resolution chemical composition data are necessary to identify the mechanisms and exact timing of changes in the Antarctic aerosol. The recent 2ODIAC (2-Season Ozone Depletion and Interaction with Aerosols Campaign) field campaign saw the first ever deployment of a real-time, high-resolution aerosol mass spectrometer (SP-AMS - soot particle aerosol mass spectrometer -or AMS) to the continent. Data obtained from the AMS, and a suite of other aerosol, gas-phase, and meteorological instruments, are presented here. In particular, this paper focuses on the aerosol population over coastal Antarctica and the evolution of that population in austral spring. Results indicate that there exists a sulfate mode in Antarctica that is externally mixed with a mass mode vacuum aerodynamic diameter of 250 nm. Springtime increases in sulfate aerosol are observed and attributed to biogenic sources, in agreement with previous research identifying phytoplankton activity as the source of the aerosol. Furthermore, the total Antarctic aerosol population is shown to undergo three distinct phases during the winter to summer transition. The first phase is dominated by highly aged sulfate particles comprising the majority of the aerosol mass at low wind speed. The second phase, previously unidentified, is the generation of a sub-250 nm aerosol population of unknown composition. The second phase appears as a transitional phase during the extended polar sunrise. The third phase is marked by an increased importance of biogenically derived sulfate to the total aerosol population (photolysis of dimethyl sulfate and methanesulfonic acid (DMS and MSA)). The increased importance of MSA is identified both through the direct, real-time measurement of aerosol MSA and through the use of positive matrix factorization on the sulfur-containing ions in the high-resolution mass-spectral data. Given the importance of sub-250 nm particles, the aforementioned second phase suggests that early austral spring is the season where new particle formation mechanisms are likely to have the largest contribution to the aerosol population in Antarctica.</t>
  </si>
  <si>
    <t>[Giordano, Michael R.; Avery, Anita; Goetz, J. Douglas; DeCarlo, Peter F.] Drexel Univ, Dept Civil Architectural &amp; Environm Engn, Philadelphia, PA 19104 USA; [Kalnajs, Lars E.] Univ Colorado, Atmospher &amp; Space Phys Lab, Campus Box 392, Boulder, CO 80309 USA; [Davis, Sean M.] NOAA, Div Chem Sci, Earth Syst Res Lab, Boulder, CO USA; [Davis, Sean M.] Univ Colorado, Cooperat Inst Res Environm Sci, Boulder, CO 80309 USA; [DeCarlo, Peter F.] Drexel Univ, Dept Chem, Philadelphia, PA 19104 USA; [Giordano, Michael R.] US EPA, Hosted, Washington, DC 20460 USA</t>
  </si>
  <si>
    <t>Drexel University; University of Colorado System; University of Colorado Boulder; National Oceanic Atmospheric Admin (NOAA) - USA; University of Colorado System; University of Colorado Boulder; Drexel University; United States Environmental Protection Agency</t>
  </si>
  <si>
    <t>DeCarlo, PF (corresponding author), Drexel Univ, Dept Civil Architectural &amp; Environm Engn, Philadelphia, PA 19104 USA.;DeCarlo, PF (corresponding author), Drexel Univ, Dept Chem, Philadelphia, PA 19104 USA.</t>
  </si>
  <si>
    <t>pfd33@drexel.edu</t>
  </si>
  <si>
    <t>DeCarlo, Peter F/AAA-8561-2019; Davis, Sean/HGC-5795-2022; DeCarlo, Peter F/B-2118-2008; Davis, Sean/C-9570-2011</t>
  </si>
  <si>
    <t>DeCarlo, Peter F/0000-0001-6385-7149; Davis, Sean/0000-0001-9276-6158; Davis, Sean/0000-0001-9276-6158; Avery, Anita/0000-0002-6130-9664; KALNAJS, LARS/0000-0003-2301-2461; Giordano, Michael/0000-0002-6820-6668; Goetz, James/0000-0003-0824-1215</t>
  </si>
  <si>
    <t>National Science Foundation [1341628, 1341492]; Grants-in-Aid for Scientific Research [26281016, 16H01184] Funding Source: KAKEN; Directorate For Geosciences; Office of Polar Programs (OPP) [1341492, 1341628] Funding Source: National Science Foundation; Div Atmospheric &amp; Geospace Sciences; Directorate For Geosciences [1405805] Funding Source: National Science Foundation</t>
  </si>
  <si>
    <t>National Science Foundation(National Science Foundation (NSF)); Grants-in-Aid for Scientific Research(Ministry of Education, Culture, Sports, Science and Technology, Japan (MEXT)Japan Society for the Promotion of ScienceGrants-in-Aid for Scientific Research (KAKENHI)); Directorate For Geosciences; Office of Polar Programs (OPP)(National Science Foundation (NSF)NSF - Directorate for Geosciences (GEO)); Div Atmospheric &amp; Geospace Sciences; Directorate For Geosciences(National Science Foundation (NSF)NSF - Directorate for Geosciences (GEO))</t>
  </si>
  <si>
    <t>The authors of this paper would like to thank the National Science Foundation for funding this work through grant numbers 1341628 and 1341492. Additionally, the authors extend many thanks to all of the support staff at McMurdo Station, especially Tony Buchanan; without their support none of this work would have been possible. The authors would also like to thank Terry Deshler, Andrew Slater, and Anondo Mukherjee for their direct help with measurements in the field and Erin Frolli for her assistance in satellite image retrieval and creation. The authors would also like to thank and acknowledge Soeren Zorn and Julia Schmale for their permission to reproduce their data in Fig. 5. Any opinions, findings, and conclusions expressed in this material are those of the authors and do not necessarily reflect the views of the NSF.</t>
  </si>
  <si>
    <t>JAN 2</t>
  </si>
  <si>
    <t>10.5194/acp-17-1-2017</t>
  </si>
  <si>
    <t>EH9OO</t>
  </si>
  <si>
    <t>WOS:000392100900001</t>
  </si>
  <si>
    <t>C</t>
  </si>
  <si>
    <t>Chakraborty, S; Mali, K; Chatterjee, S; Banerjee, S; Roy, K; Dutta, N; Bhaumik, N; Mazumdar, S</t>
  </si>
  <si>
    <t>IEEE</t>
  </si>
  <si>
    <t>Chakraborty, Shouvik; Mali, Kalyani; Chatterjee, Sankhadeep; Banerjee, Soumen; Roy, Kyamelia; Dutta, Nairik; Bhaumik, Navoniloy; Mazumdar, Sourav</t>
  </si>
  <si>
    <t>Dermatological effect of UV rays owing to Ozone layer depletion</t>
  </si>
  <si>
    <t>2017 4TH INTERNATIONAL CONFERENCE ON OPTO-ELECTRONICS AND APPLIED OPTICS (OPTRONIX)</t>
  </si>
  <si>
    <t>Proceedings Paper</t>
  </si>
  <si>
    <t>4th International Conference on Opto-Electronics and Applied Optics (Optronix)</t>
  </si>
  <si>
    <t>NOV 02-03, 2017</t>
  </si>
  <si>
    <t>Kolkata, INDIA</t>
  </si>
  <si>
    <t>Ozone hole; skin diseases; environmental pollution; skin disease detection</t>
  </si>
  <si>
    <t>SKIN-CANCER; SUN EXPOSURE; RISK</t>
  </si>
  <si>
    <t>In recent years, one of the major threat for the earth is the depletion of ozone layer that accelerates the incoming amount of various solar rays including the UV rays. It has an drastic effect on the health of different living organisms most prominently on the skin. There are several reasons for which ozone hole is being created and increased continuously. In recent days, an increasing awareness can be noticed and different countries are showing their concern on this issue. It is also one of the reasons for global warming and different climate changes that can indirectly. Besides various effects, one of the major threats caused by solar radiation is the skin cancers. In United Kingdom, higher temperature can be observed during the summer period along with some temperature events. This can cause serious issues that can be harmful for the total population. An ozone hole can be observed at the Antarctic region. A notable increase in UV-B has been reported in Punta Arenas, Chile which also known as the south most city. So, the rate of depletion of the ozone layer must be reduced. Moreover, skin related diseases should be detected early so that proper treatment can be given. In this work, effects of ozone hole are being studied on the skin.</t>
  </si>
  <si>
    <t>[Chakraborty, Shouvik; Mali, Kalyani] Univ Kalyani, Dept Comp Sci &amp; Engn, Nadia, W Bengal, India; [Chatterjee, Sankhadeep] Univ Engn &amp; Management, Dept Comp Sci &amp; Engn, Kolkata, W Bengal, India; [Banerjee, Soumen; Roy, Kyamelia; Dutta, Nairik; Bhaumik, Navoniloy; Mazumdar, Sourav] Univ Engn &amp; Management, Dept Elect &amp; Commun Engn, Kolkata, W Bengal, India</t>
  </si>
  <si>
    <t>Kalyani University</t>
  </si>
  <si>
    <t>Chakraborty, S (corresponding author), Univ Kalyani, Dept Comp Sci &amp; Engn, Nadia, W Bengal, India.</t>
  </si>
  <si>
    <t>shouvikchakraborty51@gmail.com; kalyanimali1992@gmail.com; chatterjeesankhadeep.cu@gmail.com; prof.sbanerjee@gmail.com; nairik32@gmail.com</t>
  </si>
  <si>
    <t>Chatterjee, Sankhadeep/AAS-1054-2020; Banerjee, Soumen/AAO-8275-2021; Banerjee, Soumen/AAD-5390-2021; Chatterjee, Sankhadeep/F-4672-2017</t>
  </si>
  <si>
    <t>Chatterjee, Sankhadeep/0000-0002-3930-4699; Banerjee, Soumen/0000-0003-3918-1892;</t>
  </si>
  <si>
    <t>345 E 47TH ST, NEW YORK, NY 10017 USA</t>
  </si>
  <si>
    <t>Engineering, Electrical &amp; Electronic; Optics</t>
  </si>
  <si>
    <t>Conference Proceedings Citation Index - Science (CPCI-S)</t>
  </si>
  <si>
    <t>Engineering; Optics</t>
  </si>
  <si>
    <t>BL5MI</t>
  </si>
  <si>
    <t>WOS:000452153400017</t>
  </si>
  <si>
    <t>Periasamy, L; Gasiewski, AJ</t>
  </si>
  <si>
    <t>Periasamy, Lavanya; Gasiewski, Albin J.</t>
  </si>
  <si>
    <t>PRELAUNCH PERFORMANCE OF THE 118 GHZ POLARCUBE 3U TEMPERATURE SOUNDING RADIOMETER</t>
  </si>
  <si>
    <t>2017 IEEE INTERNATIONAL GEOSCIENCE AND REMOTE SENSING SYMPOSIUM (IGARSS)</t>
  </si>
  <si>
    <t>IEEE International Symposium on Geoscience and Remote Sensing IGARSS</t>
  </si>
  <si>
    <t>IEEE International Geoscience &amp; Remote Sensing Symposium</t>
  </si>
  <si>
    <t>JUL 23-28, 2017</t>
  </si>
  <si>
    <t>Fort Worth, TX</t>
  </si>
  <si>
    <t>Design, analysis and pre-launch performance of the Polar-Cube 3U CubeSat 118.75 GHz radiometer payload is presented. Procedures used to determine optimum feed horn/reflector dimensions, phase center and antenna efficiencies based on a full wave Fourier analysis are outlined. A brief description of the design and functionality of the eight channel intermediate frequency board is also provided. Images obtained by the instrument during recent airborne tests over the Antarctic using an aluminium 3D printed corrugated feed indicate a well focused scanning reflector antenna system with high main beam efficiency and good separation between the radiometer channels.</t>
  </si>
  <si>
    <t>[Periasamy, Lavanya; Gasiewski, Albin J.] Univ Colorado, Dept Elect Comp &amp; Energy Engn, Boulder, CO 80309 USA</t>
  </si>
  <si>
    <t>University of Colorado System; University of Colorado Boulder</t>
  </si>
  <si>
    <t>Periasamy, L (corresponding author), Univ Colorado, Dept Elect Comp &amp; Energy Engn, Boulder, CO 80309 USA.</t>
  </si>
  <si>
    <t>Periasamy, Lavanya/0000-0001-7354-4007</t>
  </si>
  <si>
    <t>2153-6996</t>
  </si>
  <si>
    <t>978-1-5090-4951-6</t>
  </si>
  <si>
    <t>INT GEOSCI REMOTE SE</t>
  </si>
  <si>
    <t>Geosciences, Multidisciplinary; Remote Sensing</t>
  </si>
  <si>
    <t>Geology; Remote Sensing</t>
  </si>
  <si>
    <t>BJ6TY</t>
  </si>
  <si>
    <t>WOS:000426954602064</t>
  </si>
  <si>
    <t>Cannata, A; Larocca, G; Del Carlo, P; Giudice, G; Giuffrida, G; Liuzzo, M; Zuccarello, L; Di Grazia, G; Gambino, S; Privitera, E; Delladio, A; Grigioni, P</t>
  </si>
  <si>
    <t>Cannata, Andrea; Larocca, Graziano; Del Carlo, Paola; Giudice, Gaetano; Giuffrida, Giovanni; Liuzzo, Marco; Zuccarello, Luciano; Di Grazia, Giuseppe; Gambino, Salvatore; Privitera, Eugenio; Delladio, Alberto; Grigioni, Paolo</t>
  </si>
  <si>
    <t>Characterization of seismic signals recorded in Tethys Bay, Victoria Land (Antarctica): data from atmosphere-cryosphere-hydrosphere interaction</t>
  </si>
  <si>
    <t>ANNALS OF GEOPHYSICS</t>
  </si>
  <si>
    <t>WAVE CLIMATE; EARTHQUAKES; MICROSEISMS; GLACIER; VARIABILITY; COHERENCE; SEA</t>
  </si>
  <si>
    <t>In this paper, we analysed 3-component seismic signals recorded during 27 November 2016 -10 January 2017 by two stations installed in Tethys Bay (Victoria Land, Antarctica), close to Mario Zucchelli Station. Due to the low noise levels, it was possible to identify three different kinds of signals: teleseismic earthquakes, microseisms, and icequakes. We focus on the latter two. A statistically significant relationship was found between microseism amplitude and both wind speed and sea swell. Thus, we suggest that the recorded microseism data are caused by waves at the shore close to the seismic stations rather than in the deep ocean during storms. In addition, we detected three icequakes, with dominant low frequencies (below 2 Hz), located in the David Glacier area with local magnitude of 2.4-2.6. These events were likely to have been generated at the rock-ice interface under the glacier. This work shows how seismic signals recorded in Antarctica provide insights on the interactions between the atmosphere-cryosphere- hydrosphere. Since climate patterns drive these interactions, investigations on Antarctic seismic signals could serve as a proxy indicator for estimating climate changes.</t>
  </si>
  <si>
    <t>[Cannata, Andrea] Univ Perugia, Dipartimento Fis &amp; Geol, Perugia, Italy; [Cannata, Andrea; Larocca, Graziano; Zuccarello, Luciano; Di Grazia, Giuseppe; Gambino, Salvatore; Privitera, Eugenio] Ist Nazl Geofis &amp; Vulcanol, Osservatorio Etneo, Sez Catania, Catania, Italy; [Del Carlo, Paola] Ist Nazl Geofis &amp; Vulcanol, Sez Pisa, Pisa, Italy; [Giudice, Gaetano; Giuffrida, Giovanni; Liuzzo, Marco] Ist Nazl Geofis &amp; Vulcanol, Sez Palermo, Palermo, Italy; [Delladio, Alberto] Ist Nazl Geofis &amp; Vulcanol, Sez Roma, Rome, Italy; [Grigioni, Paolo] ENEA, Lab Observat &amp; Anal Earth Climate SSPT PROTER OAC, Rome, Italy</t>
  </si>
  <si>
    <t>University of Perugia; Istituto Nazionale Geofisica e Vulcanologia (INGV); Istituto Nazionale Geofisica e Vulcanologia (INGV); Istituto Nazionale Geofisica e Vulcanologia (INGV); Istituto Nazionale Geofisica e Vulcanologia (INGV); Italian National Agency New Technical Energy &amp; Sustainable Economics Development</t>
  </si>
  <si>
    <t>Cannata, A (corresponding author), Univ Perugia, Dipartimento Fis &amp; Geol, Perugia, Italy.</t>
  </si>
  <si>
    <t>andrea.cannata@unipg.it</t>
  </si>
  <si>
    <t>Grigioni, paolo/AAH-5193-2020; Di Grazia, Giuseppe/G-1784-2015; Zuccarello, Luciano/N-2244-2016; Privitera, Eugenio/D-4973-2009; Del Carlo, Paola/AAH-1725-2019; Gambino, Salvo/C-6690-2014; Cannata, Andrea/N-8589-2014</t>
  </si>
  <si>
    <t>Di Grazia, Giuseppe/0000-0002-8153-9280; Zuccarello, Luciano/0000-0003-0094-9577; Cannata, Andrea/0000-0002-0028-5822; Gambino, Salvatore/0000-0001-8055-3059; Giudice, Gaetano/0000-0002-9410-4139; Del Carlo, Paola/0000-0001-5506-4579; PRIVITERA, Eugenio/0000-0001-9623-1919; Giuffrida, Giovanni Bruno/0000-0003-3072-4088</t>
  </si>
  <si>
    <t>PNRA (Programma Nazionale di Ricerche in Antartide); Seismological Facilities for the Advancement of Geoscience and EarthScope (SAGE) Proposal of the National Science Foundation [EAR-1261681]; [PNRA14_00011]</t>
  </si>
  <si>
    <t>PNRA (Programma Nazionale di Ricerche in Antartide); Seismological Facilities for the Advancement of Geoscience and EarthScope (SAGE) Proposal of the National Science Foundation(National Science Foundation (NSF)NSF - Directorate for Geosciences (GEO));</t>
  </si>
  <si>
    <t>This work was funded by PNRA14_00011 project, called ICE-VOLC (multiparametrIC Experiment at antarctica VOLCanoes: data from volcano and cryosphere-ocean-atmosphere dynamics, www.icevolc-project.com/data). We acknowledge PNRA (Programma Nazionale di Ricerche in Antartide) for funding the project, ENEA for providing field logistics, and CNR for scientific support. Crosswavelet and wavelet coherence software were kindly provided by A. Grinsted. Data and information about wind speed were obtained from 'Meteo-Climatological Observatory' of PNRA - www.climantartide.it. We kindly acknowledge the Ufficio Meteorologico of MZS (Francesco Sudati and Giuliana D'Ercole) for providing sea swell data. We are grateful to the helicopter pilots Jamie Henery and Bob Mcelhinney and the alpine guide Davide De Podesta. The facilities of IRIS Data Services, and specifically the IRIS Data Management Center, were used for access to waveforms of SBA and VNDA seismic stations. IRIS Data Services are funded through the Seismological Facilities for the Advancement of Geoscience and EarthScope (SAGE) Proposal of the National Science Foundation under Cooperative Agreement EAR-1261681. In particular, we used data from Global Telemetered Seismograph Network (USAF/USGS). We are grateful to the Editor Francesca Bianco, the Associate Editor, and two anonymous reviewers for their useful suggestions that greatly improved the paper. We thank S. Conway for revising and improving the English text.</t>
  </si>
  <si>
    <t>IST NAZIONALE DI GEOFISICA E VULCANOLOGIA</t>
  </si>
  <si>
    <t>ROME</t>
  </si>
  <si>
    <t>VIA VIGNA MURATA 605, ROME, 00143, ITALY</t>
  </si>
  <si>
    <t>1593-5213</t>
  </si>
  <si>
    <t>2037-416X</t>
  </si>
  <si>
    <t>ANN GEOPHYS-ITALY</t>
  </si>
  <si>
    <t>S0555</t>
  </si>
  <si>
    <t>10.4401/ag-7408</t>
  </si>
  <si>
    <t>FI0NU</t>
  </si>
  <si>
    <t>WOS:000411625200008</t>
  </si>
  <si>
    <t>Sarmiento, FO; Ibarra, JT; Barreau, A; Pizarro, JC; Rozzi, R; González, JA; Frolich, LM</t>
  </si>
  <si>
    <t>Sarmiento, Fausto O.; Tomas Ibarra, J.; Barreau, Antonia; Cristobal Pizarro, J.; Rozzi, Ricardo; Gonzalez, Juan A.; Frolich, Larry M.</t>
  </si>
  <si>
    <t>Applied Montology Using Critical Biogeography in the Andes</t>
  </si>
  <si>
    <t>ANNALS OF THE AMERICAN ASSOCIATION OF GEOGRAPHERS</t>
  </si>
  <si>
    <t>Andes; biocultural landscape; critical biogeography; ethnobiology; intangible heritage; montology; paramo</t>
  </si>
  <si>
    <t>GEOGRAPHY; ECOLOGY</t>
  </si>
  <si>
    <t>More than most other landforms, mountains have been at the vanguard of geographical inquiry. Whether promontories, cultural works on slopes, or even metaphorical/spiritual heights, mountain research informs current narratives of global environmental change. We review how montology shifts geographic paradigms via the novel approach of critical biogeography in the Andes. We use it to bridge nature and society through indigenous heritage, local biodiversity conservation narratives, and vernacular nature-culture hybrids of biocultural landscapes (BCLs), focusing on how socioecological systems (SES) enlighten scientific query in the Andes. In our Andean study cases, integrated critical frameworks guide the understanding of BCLs as the product of long-term human-environment interactions. With situated exemplars from place naming, wild edible plants, medicinal plants, sacred trees, foodstuffs, ritualistic plants, and floral and faunal causation, we convey the need for cognition of mountains as BCLs in the Anthropocene. We conclude that applied montology allows for a multi-method approach with the four Cs of critical biogeography, a model that engages forward-looking geographers and interdisciplinary Andeanists in assessments for sustainable development of fragile BCLs in the Andes.</t>
  </si>
  <si>
    <t>[Sarmiento, Fausto O.] Univ Georgia, Dept Geog, Athens, GA 30602 USA; [Sarmiento, Fausto O.] Univ Georgia, Neotrop Montol Collaboratory, Athens, GA 30602 USA; [Tomas Ibarra, J.] Pontificia Univ Catolica Chile, Ctr Local Dev, Santiago, Chile; [Tomas Ibarra, J.] Pontificia Univ Catolica Chile, Fauna Australis Lab, Ohiggins 501, Villarrica, IX Region, Chile; [Tomas Ibarra, J.] Univ British Columbia, Fac Forestry, Forest &amp; Commun Transit Lab, Vancouver, BC V5Z 1M9, Canada; [Cristobal Pizarro, J.] Univ Waterloo, Dept Environm &amp; Resource Studies, Waterloo, ON N2L 3G1, Canada; [Rozzi, Ricardo] Univ North Texas, Sub Antarctic Biocultural Conservat Program, Denton, TX 76203 USA; [Rozzi, Ricardo] Univ Magallanes, Punta Arenas, Chile; [Rozzi, Ricardo] Omora Ethnobot Pk, Punta Arenas, Chile; [Gonzalez, Juan A.] Fdn Miguel Lillo, Inst Ecol, San Miguel De Tucuman, Argentina; [Frolich, Larry M.] Miami Dade Coll, Dept Nat Sci, Wolfson Campus, Miami, FL 33132 USA</t>
  </si>
  <si>
    <t>University System of Georgia; University of Georgia; University System of Georgia; University of Georgia; Pontificia Universidad Catolica de Chile; Pontificia Universidad Catolica de Chile; University of British Columbia; University of Waterloo; University of North Texas System; University of North Texas Denton; Universidad de Magallanes; Miguel Lillo Foundation; Consejo Nacional de Investigaciones Cientificas y Tecnicas (CONICET)</t>
  </si>
  <si>
    <t>Sarmiento, FO (corresponding author), Univ Georgia, Dept Geog, Athens, GA 30602 USA.;Sarmiento, FO (corresponding author), Univ Georgia, Neotrop Montol Collaboratory, Athens, GA 30602 USA.</t>
  </si>
  <si>
    <t>fsarmien@uga.edu; jtibarra@uc.cl; abarreau@gmail.com; jcpizarrop@gmail.com; rozzi@unt.edu; jagonzalez@lillo.org; lfrolich@mdc.edu</t>
  </si>
  <si>
    <t>Rozzi, Ricardo/G-1047-2012; Pizarro, Cristobal/J-8925-2014; Sarmiento, Fausto/AAD-2467-2020; Azevedo, Micheline/JHT-0825-2023</t>
  </si>
  <si>
    <t>Rozzi, Ricardo/0000-0001-5265-8726; Pizarro, Cristobal/0000-0002-5240-2816; Sarmiento, Fausto O./0000-0003-0501-6020; Ibarra, Jose Tomas/0000-0002-7705-3974</t>
  </si>
  <si>
    <t>University of Georgia Latin American and Caribbean Studies Institute's NRC Title VI [ED/NRC/P015A140046]; University of Georgia Willson Center; Center for Intercultural and Indigenous Research [CONICYT/FONDAP/15110006]</t>
  </si>
  <si>
    <t>University of Georgia Latin American and Caribbean Studies Institute's NRC Title VI; University of Georgia Willson Center; Center for Intercultural and Indigenous Research</t>
  </si>
  <si>
    <t>Funds for Fausto O. Sarmiento came from the University of Georgia Latin American and Caribbean Studies Institute's NRC Title VI (ED/NRC/P015A140046) to the Neotropical Montology Initiative and the University of Georgia Willson Center to the Research Cluster on Indigenous Foods and Fabrics. J. Tomas Ibarra was supported by the Center for Intercultural and Indigenous Research (CONICYT/FONDAP/15110006).</t>
  </si>
  <si>
    <t>ROUTLEDGE JOURNALS, TAYLOR &amp; FRANCIS LTD</t>
  </si>
  <si>
    <t>ABINGDON</t>
  </si>
  <si>
    <t>2-4 PARK SQUARE, MILTON PARK, ABINGDON OX14 4RN, OXON, ENGLAND</t>
  </si>
  <si>
    <t>2469-4452</t>
  </si>
  <si>
    <t>2469-4460</t>
  </si>
  <si>
    <t>ANN AM ASSOC GEOGR</t>
  </si>
  <si>
    <t>Ann. Am. Assoc. Geogr.</t>
  </si>
  <si>
    <t>10.1080/24694452.2016.1260438</t>
  </si>
  <si>
    <t>Geography</t>
  </si>
  <si>
    <t>Social Science Citation Index (SSCI)</t>
  </si>
  <si>
    <t>EM1SO</t>
  </si>
  <si>
    <t>WOS:000395097500017</t>
  </si>
  <si>
    <t>S</t>
  </si>
  <si>
    <t>Mackintosh, AN; Anderson, BM; Pierrehumbert, RT</t>
  </si>
  <si>
    <t>Freeman, KH; Jeanloz, R</t>
  </si>
  <si>
    <t>Mackintosh, Andrew N.; Anderson, Brian M.; Pierrehumbert, Raymond T.</t>
  </si>
  <si>
    <t>Reconstructing Climate from Glaciers</t>
  </si>
  <si>
    <t>ANNUAL REVIEW OF EARTH AND PLANETARY SCIENCES, VOL 45</t>
  </si>
  <si>
    <t>Annual Review of Earth and Planetary Sciences</t>
  </si>
  <si>
    <t>Review; Book Chapter</t>
  </si>
  <si>
    <t>glaciers; climate; paleoclimate; moraines; modeling; proxy</t>
  </si>
  <si>
    <t>EQUILIBRIUM-LINE ALTITUDES; FRANZ-JOSEF GLACIER; NEW-ZEALAND; SOUTHERN ALPS; ENERGY-BALANCE; MASS-BALANCE; ICE-SHEET; ABLATION ZONE; TEMPERATURE; MAXIMUM</t>
  </si>
  <si>
    <t>Glaciers offer the potential to reconstruct past climate over timescales from decades to millennia. They are found on nearly every continent, and at the Last Glacial Maximum, glaciers were larger in all regions on Earth. The physics of glacier-climate interaction are relatively well understood, and glacier models can be used to reconstruct past climate from geological evidence of past glacier extent. This can lead to significant insights regarding past, present, and future climate. For example, glacier modeling has demonstrated that the near-ubiquitous global pattern of glacier retreat during the last few centuries resulted from a global-scale climate warming of similar to 1 degrees C, consistent with instrumental data and climate proxy records. Climate reconstructions from glaciers have also demonstrated that the tropics were colder at the Last Glacial Maximum than was originally inferred from sea surface temperature reconstructions. Future efforts to reconstruct climate from glaciers may provide new constraints on climate sensitivity to CO2 forcing, polar amplification of climate change, and more.</t>
  </si>
  <si>
    <t>[Mackintosh, Andrew N.; Anderson, Brian M.] Victoria Univ Wellington, Antarctic Res Ctr, Wellington 6140, New Zealand; [Mackintosh, Andrew N.] Victoria Univ Wellington, Sch Geog Environm &amp; Earth Sci, Wellington 6140, New Zealand; [Pierrehumbert, Raymond T.] Univ Oxford, Dept Phys, Clarendon Lab, Oxford OX1 3PU, England</t>
  </si>
  <si>
    <t>Victoria University Wellington; Victoria University Wellington; University of Oxford</t>
  </si>
  <si>
    <t>Mackintosh, AN (corresponding author), Victoria Univ Wellington, Antarctic Res Ctr, Wellington 6140, New Zealand.;Mackintosh, AN (corresponding author), Victoria Univ Wellington, Sch Geog Environm &amp; Earth Sci, Wellington 6140, New Zealand.</t>
  </si>
  <si>
    <t>Andrew.Mackintosh@vuw.ac.nz; Brian.Anderson@vuw.ac.nz; Raymond.Pierrehumbert@physics.ox.ac.uk</t>
  </si>
  <si>
    <t>Mackintosh, Andrew/0000-0002-6430-4711; Pierrehumbert, Raymond/0000-0002-5887-1197</t>
  </si>
  <si>
    <t>ANNUAL REVIEWS</t>
  </si>
  <si>
    <t>PALO ALTO</t>
  </si>
  <si>
    <t>4139 EL CAMINO WAY, PO BOX 10139, PALO ALTO, CA 94303-0897 USA</t>
  </si>
  <si>
    <t>0084-6597</t>
  </si>
  <si>
    <t>1545-4495</t>
  </si>
  <si>
    <t>978-0-8243-2045-4</t>
  </si>
  <si>
    <t>ANNU REV EARTH PL SC</t>
  </si>
  <si>
    <t>Annu. Rev. Earth Planet. Sci.</t>
  </si>
  <si>
    <t>10.1146/annurev-earth-063016-020643</t>
  </si>
  <si>
    <t>Astronomy &amp; Astrophysics; Geosciences, Multidisciplinary</t>
  </si>
  <si>
    <t>Book Citation Index – Science (BKCI-S); Science Citation Index Expanded (SCI-EXPANDED)</t>
  </si>
  <si>
    <t>Astronomy &amp; Astrophysics; Geology</t>
  </si>
  <si>
    <t>BK1JY</t>
  </si>
  <si>
    <t>WOS:000431848100005</t>
  </si>
  <si>
    <t>Glen, RA; Fitzsimons, ICW; Griffin, WL; Saeed, A</t>
  </si>
  <si>
    <t>Glen, R. A.; Fitzsimons, I. C. W.; Griffin, W. L.; Saeed, A.</t>
  </si>
  <si>
    <t>East Antarctic sources of extensive Lower-Middle Ordovician turbidites in the Lachlan Orogen, southern Tasmanides, eastern Australia</t>
  </si>
  <si>
    <t>AUSTRALIAN JOURNAL OF EARTH SCIENCES</t>
  </si>
  <si>
    <t>Detrital zircon dating; U-Pb; Hf isotopes; turbidites; sediment sources; Antarctica; Lachlan Orogen; Tasmanides</t>
  </si>
  <si>
    <t>NORTHERN VICTORIA LAND; DRONNING-MAUD-LAND; U-PB ZIRCON; CENTRAL TRANSANTARCTIC MOUNTAINS; EARLY PALEOZOIC SANDSTONES; PRINCE-CHARLES MOUNTAINS; MARIE BYRD LAND; DETRITAL-ZIRCON; TECTONIC EVOLUTION; FOLD BELT</t>
  </si>
  <si>
    <t>Lower to upper Middle Ordovician quartz-rich turbidites form the bedrock of the Lachlan Orogen in the southern Tasmanides of eastern Australia and occupy a present-day deformed volume of similar to 2-3 million km(3). We have used U-Pb and Hf-isotope analyses of detrital zircons in biostratigraphically constrained turbiditic sandstones from three separate terranes of the Lachlan Orogen to investigate possible source regions and to compare similarities and differences in zircon populations. Comparison with shallowwater Lower Ordovician sandstones deposited on the subsiding margin of the Gondwana craton suggests different source regions, with Grenvillian zircons in shelf sandstones derived from the Musgrave Province in central Australia, and Panafrican sources in shelf sandstones possibly locally derived. All Ordovician turbiditic sandstone samples in the Lachlan Orogen are dominated by ca 490620 Ma (late Panafrican) and ca 950-1120 Ma (late Grenvillian) zircons that are sourced mainly from East Antarctica. Subtle differences between samples point to different sources. In particular, the age consistency of late Panafrican zircon data from the most inboard of our terranes (Castlemaine Group, Bendigo Terrane) suggests they may have emanated directly from late Grenvillian East Antarctic belts, such as in Dronning Maud Land and subglacial extensions that were reworked in the late Panafrican. Changes in zircon data in the more outboard Hermidale and Albury-Bega terranes are more consistent with derivation from the youngest of four sedimentary sequences of the Ross Orogen of Antarctica (Cambrian-Ordovician upper Byrd Group, Liv Group and correlatives referred to here as sequence 4) and/or from the same mixture of sources that supplied that sequence. These sources include uncommon ca 650 Ma rift volcanics, late Panafrican Ross arc volcanics, now largely eroded, and some &lt;545 Ma Granite Harbour Intrusives, representing the roots of the Ross Orogen continental-margin arc. Unlike farther north, Granite Harbour Intrusives between the Queen Maud and Pensacola mountains of the southern Ross Orogen contain late Grenvillian zircon xenocrysts (derived from underlying relatively juvenile basement), as well as late Panafrican magmatic zircons, and are thus able to supply sequence 4 and the Lachlan Ordovician turbidites with both these populations. Other zircons and detrital muscovites in the Lachlan Ordovician turbidites were derived from relatively juvenile inland Antarctic sources external to the orogen (e.g. Dronning Maud Land, Sor Rondane and a possible extension of the Pinjarra Orogen) either directly or recycled through older sedimentary sequences 2 (Beardmore and Skelton groups) and 3 (e.g. Hannah Ridge Formation) in the Ross Orogen. Shallow-water, forearc basin sequence 4 sediments (or their sources) fed turbidity currents into outboard, deeper-water parts of the forearc basin and led to deposition of the Ordovician turbidites similar to 2500-3400 km to the north in backarc-basin settings of the Lachlan Orogen.</t>
  </si>
  <si>
    <t>[Glen, R. A.; Griffin, W. L.; Saeed, A.] Macquarie Univ, Natl Key Ctr Geochem Evolut &amp; Metallogeny Contine, Dept Earth &amp; Planetary Sci, Sydney, NSW 2109, Australia; [Fitzsimons, I. C. W.] Curtin Univ, Western Australian Sch Mines, Dept Appl Geol, G POB U1987, Perth, WA 6845, Australia; [Fitzsimons, I. C. W.] Curtin Univ, Western Australian Sch Mines, Inst Geosci Res, G POB U1987, Perth, WA 6845, Australia; [Griffin, W. L.] Macquarie Univ, ARC Ctr Excellence Core Crust Fluid Syst CCFS, Dept Earth &amp; Planetary Sci, Sydney, NSW 2109, Australia</t>
  </si>
  <si>
    <t>Macquarie University; Curtin University; Curtin University; Macquarie University</t>
  </si>
  <si>
    <t>Glen, RA (corresponding author), Macquarie Univ, Natl Key Ctr Geochem Evolut &amp; Metallogeny Contine, Dept Earth &amp; Planetary Sci, Sydney, NSW 2109, Australia.</t>
  </si>
  <si>
    <t>richard.glen@mq.edu.au</t>
  </si>
  <si>
    <t>Fitzsimons, Ian/A-3707-2012; Griffin, William L/F-7713-2011</t>
  </si>
  <si>
    <t>Fitzsimons, Ian/0000-0002-8907-7455; Griffin, William L/0000-0002-0980-2566</t>
  </si>
  <si>
    <t>Macquarie University External Collaborative Research Grant [A005405]; Geological Survey of New South Wales, NSW Trade and Investment</t>
  </si>
  <si>
    <t>Macquarie University External Collaborative Research Grant; Geological Survey of New South Wales, NSW Trade and Investment</t>
  </si>
  <si>
    <t>Macquarie University External Collaborative Research Grant [grant number A005405], and a collaborative project with the Geological Survey of New South Wales, NSW Trade and Investment.</t>
  </si>
  <si>
    <t>TAYLOR &amp; FRANCIS LTD</t>
  </si>
  <si>
    <t>2-4 PARK SQUARE, MILTON PARK, ABINGDON OR14 4RN, OXON, ENGLAND</t>
  </si>
  <si>
    <t>0812-0099</t>
  </si>
  <si>
    <t>1440-0952</t>
  </si>
  <si>
    <t>AUST J EARTH SCI</t>
  </si>
  <si>
    <t>Aust. J. Earth Sci.</t>
  </si>
  <si>
    <t>10.1080/08120099.2017.1273256</t>
  </si>
  <si>
    <t>EQ4VU</t>
  </si>
  <si>
    <t>WOS:000398079400001</t>
  </si>
  <si>
    <t>Wilson, JRU; Gaertner, M; Richardson, DM; van Wilgen, BW</t>
  </si>
  <si>
    <t>Wilson, John R. U.; Gaertner, Mirijam; Richardson, David M.; van Wilgen, Brian W.</t>
  </si>
  <si>
    <t>Contributions to the National Status Report on Biological Invasions in South Africa</t>
  </si>
  <si>
    <t>BOTHALIA</t>
  </si>
  <si>
    <t>Article; Proceedings Paper</t>
  </si>
  <si>
    <t>43rd Annual Research Symposium on the Management of Biological Invasions in South Africa</t>
  </si>
  <si>
    <t>MAY 18-20, 2016</t>
  </si>
  <si>
    <t>SOUTH AFRICA</t>
  </si>
  <si>
    <t>ALIEN PLANTS; MANAGEMENT; CHALLENGES; FRAMEWORK; IMPACTS; HISTORY; WORKING; AREAS</t>
  </si>
  <si>
    <t>South Africa has committed to producing a National Status Report on Biological Invasions by October 2017 and thereafter every three years. This will be the first status report at a national level specifically on biological invasions. As part of soliciting input, a workshop was held in May 2016 that led to this special issue of 19 papers in the journal Bothalia: African Biodiversity and Conservation. This editorial introduces the symposium, discusses the special issue and summarises how each contribution provides an estimate of 'status'. Papers focus on key pathways, taxa, areas, and evaluations of interventions, specifically the movement of taxa between South Africa and neighbouring countries; the dispersal pathways of amphibians; a review of alien animals; a report on changes in the number and abundance of alien plants; in-depth reviews of the status of invasions for cacti, fishes, fungi and grasses; an assessment of the impact of widespread invasive plants on animals; reviews on invasions in municipalities, protected areas and sub-Antarctic Islands; assessments of the efficacy of biological control and other control programmes; and recommendations for how to deal with conflict species, to conduct scientific assessments and to improve risk assessments. The papers in this special issue confirm that South Africa is an excellent place to study invasions that can provide insights for understanding and managing invasions in other countries. Negative impacts seem to be largely precipitated by certain taxa (especially plants), whereas invasions by a number of other groups do not, yet, seem to have caused the widespread negative impacts felt in other countries. Although South Africa has effectively managed a few biological invasions (e.g. highly successful biological control of some invasive plants), the key challenge seems to be to establish and maintain a strong link between implementation, monitoring, reporting and planning.</t>
  </si>
  <si>
    <t>[Wilson, John R. U.] Kirstenbosch Res Ctr, South African Natl Biodivers Inst, Cape Town, South Africa; [Wilson, John R. U.; Gaertner, Mirijam; Richardson, David M.; van Wilgen, Brian W.] Univ Stellenbosch, Dept Bot &amp; Zool, Ctr Invas Biol, ZA-7600 Stellenbosch, South Africa; [Gaertner, Mirijam] Environm Resource Management Dept, Green Jobs Unit, Cape Town, South Africa</t>
  </si>
  <si>
    <t>South African National Biodiversity Institute; Stellenbosch University</t>
  </si>
  <si>
    <t>Wilson, JRU (corresponding author), Kirstenbosch Res Ctr, South African Natl Biodivers Inst, Cape Town, South Africa.;Wilson, JRU (corresponding author), Univ Stellenbosch, Dept Bot &amp; Zool, Ctr Invas Biol, ZA-7600 Stellenbosch, South Africa.</t>
  </si>
  <si>
    <t>john.wilson2@gmail.com</t>
  </si>
  <si>
    <t>van Wilgen, Nicola/D-7262-2012; Wilson, John/B-4101-2008; Richardson, David Mark/A-1495-2008</t>
  </si>
  <si>
    <t>van Wilgen, Nicola/0000-0001-8110-698X; Wilson, John/0000-0003-0174-3239; Richardson, David Mark/0000-0001-9574-8297</t>
  </si>
  <si>
    <t>Department of Environmental Affairs of the South African National Biodiversity Institute's Invasive Species Programme; DST-NRF Centre of Excellence for Invasion Biology; National Research Foundation [85417, 87550]</t>
  </si>
  <si>
    <t>Department of Environmental Affairs of the South African National Biodiversity Institute's Invasive Species Programme; DST-NRF Centre of Excellence for Invasion Biology(Department of Science &amp; Technology (India)); National Research Foundation</t>
  </si>
  <si>
    <t>The symposium was supported by the Department of Environmental Affairs funding of the South African National Biodiversity Institute's Invasive Species Programme, as well as through funding from the DST-NRF Centre of Excellence for Invasion Biology. D.M.R. and B.W.v.W. were supported by the National Research Foundation (grants 85417 and 87550, respectively).</t>
  </si>
  <si>
    <t>AOSIS</t>
  </si>
  <si>
    <t>CAPE TOWN</t>
  </si>
  <si>
    <t>POSTNET SUITE 55, PRIVATE BAG X22, TYGERVALLEY, CAPE TOWN, 00000, SOUTH AFRICA</t>
  </si>
  <si>
    <t>0006-8241</t>
  </si>
  <si>
    <t>2311-9284</t>
  </si>
  <si>
    <t>Bothalia</t>
  </si>
  <si>
    <t>a2207</t>
  </si>
  <si>
    <t>10.4102/abc.v47i2.2207</t>
  </si>
  <si>
    <t>Plant Sciences</t>
  </si>
  <si>
    <t>Science Citation Index Expanded (SCI-EXPANDED); Conference Proceedings Citation Index - Science (CPCI-S)</t>
  </si>
  <si>
    <t>EQ9IL</t>
  </si>
  <si>
    <t>WOS:000398398000020</t>
  </si>
  <si>
    <t>Sinha, RK; Krishnan, KP; Hatha, AAM; Rahiman, M; Thresyamma, DD; Kerkar, S</t>
  </si>
  <si>
    <t>Sinha, Rupesh Kumar; Krishnan, Kottekkatu Padinchati; Hatha, Ammanamveetil Abdulla Mohamed; Rahiman, Mujeeb; Thresyamma, Divya David; Kerkar, Savita</t>
  </si>
  <si>
    <t>Diversity of retrievable heterotrophic bacteria in Kongsfjorden, an Arctic fjord</t>
  </si>
  <si>
    <t>BRAZILIAN JOURNAL OF MICROBIOLOGY</t>
  </si>
  <si>
    <t>Kongsfjorden; Retrievable heterotrophic bacteria; 16S rRNA; Arctic fjord</t>
  </si>
  <si>
    <t>COLD-ACTIVE ENZYMES; SP-NOV; FRAM STRAIT; COMMUNITIES; GLACIER; BACTERIOPLANKTON; KROSSFJORDEN; ENVIRONMENT; SEQUENCE; SYSTEM</t>
  </si>
  <si>
    <t>The diversity and abundance of retrievable pelagic heterotrophic bacteria in Kongsfjorden, an Arctic fjord, was studied during the summer of 2011 (June, August, and September). Retrievable bacterial load ranged from 10(3) to 10(7) CFU L-1 in June, while it was 10(4)-10(6) CFU L-1 in August and September. Based on 16S rRNA gene sequence similarities, a higher number of phylotypes was observed during August (22 phylotypes) compared to that during June (6 phylotypes) and September (12 phylotypes). The groups were classified into four phyla: Firmicutes, Actinobacteria, Proteobacteria, and Bacteroidetes. Bacteroidetes was represented only by a single member Leewenhoekiella aequorea during the three months and was dominant (40%) in June. However, this dominance changed in August to a well-known phytopathogenic species Rhodococcus fascians (32%), which could be a result of decrease in the phytoplankton biomass following the secondary bloom. It is the first report of Halomonas titanicae isolation from the Arctic waters. It showed an increase in its abundance with the intrusion of Atlantic water into Kongsfjorden. Increased abundance of Psychrobacter species in the late summer months coincided with the presence of cooler waters. Thus, the composition and function of heterotrophic bacterial community was fundamentally different in different months. This could be linked to the changes in the water masses and/or phytoplankton bloom dynamics occurring in Arctic summer. (C) 2016 Sociedade Brasileira de Microbiologia. Published by Elsevier Editora Ltda.</t>
  </si>
  <si>
    <t>[Sinha, Rupesh Kumar; Krishnan, Kottekkatu Padinchati; Thresyamma, Divya David] Natl Ctr Antarctic &amp; Ocean Res, ESSO NCAOR, Vasco Da Gama, Goa, India; [Hatha, Ammanamveetil Abdulla Mohamed; Rahiman, Mujeeb] Cochin Univ Sci &amp; Technol, Dept Marine Biol, Microbiol &amp; Biochem, Cochin, Kerala, India; [Kerkar, Savita] Goa Univ, Dept Biotechnol, Taleigao Plateau, Goa, India</t>
  </si>
  <si>
    <t>Ministry of Earth Sciences (MoES) - India; National Centre for Polar and Ocean Research (NCPOR); Cochin University Science &amp; Technology; Goa University</t>
  </si>
  <si>
    <t>Sinha, RK (corresponding author), Natl Ctr Antarctic &amp; Ocean Res, ESSO NCAOR, Vasco Da Gama, Goa, India.</t>
  </si>
  <si>
    <t>kineto.magnetic@gmail.com</t>
  </si>
  <si>
    <t>Sinha, Rupesh/ABB-8319-2020; P, Krishnan K/ABF-8783-2020</t>
  </si>
  <si>
    <t>David T, Divya/0000-0002-8385-839X; , K. P. Krishnan/0000-0003-1101-657X; Sinha, Rupesh Kumar/0000-0002-2080-0975; Abdulla, Mohamed Hatha/0000-0003-0136-2911</t>
  </si>
  <si>
    <t>1517-8382</t>
  </si>
  <si>
    <t>1678-4405</t>
  </si>
  <si>
    <t>BRAZ J MICROBIOL</t>
  </si>
  <si>
    <t>Braz. J. Microbiol.</t>
  </si>
  <si>
    <t>JAN-MAR</t>
  </si>
  <si>
    <t>10.1016/j.bjm.2016.09.011</t>
  </si>
  <si>
    <t>Microbiology</t>
  </si>
  <si>
    <t>EK7ZQ</t>
  </si>
  <si>
    <t>Green Published, hybrid</t>
  </si>
  <si>
    <t>WOS:000394144100012</t>
  </si>
  <si>
    <t>Makarov, VV; Khromov, AV; Guschin, VA; Tkachuk, AP</t>
  </si>
  <si>
    <t>Makarov, V. V.; Khromov, A., V; Guschin, V. A.; Tkachuk, A. P.</t>
  </si>
  <si>
    <t>EMERGENCE OF NEW INFECTIONS IN THE 21ST CENTURY AND IDENTIFICATION OF PATHOGENS USING NEXT GENERATION SEQUENCING</t>
  </si>
  <si>
    <t>BULLETIN OF RUSSIAN STATE MEDICAL UNIVERSITY</t>
  </si>
  <si>
    <t>Review</t>
  </si>
  <si>
    <t>infectious agents; pathogens; techniques for identification of new pathogens; next generation sequencing; coronavirus; influenza virus; horizontal gene transfer; resistance to antibiotics</t>
  </si>
  <si>
    <t>ACUTE RESPIRATORY SYNDROME; HEMOLYTIC-UREMIC SYNDROME; ESCHERICHIA-COLI O104/H4; HUMAN METAPNEUMOVIRUS INFECTION; ANTIBIOTIC-RESISTANCE GENES; HUMAN BOCAVIRUS INFECTION; GRAM-NEGATIVE BACILLI; SYNDROME CORONAVIRUS; ANTIMICROBIAL RESISTANCE; CLINICAL CHARACTERISTICS</t>
  </si>
  <si>
    <t>Each new emerging infection may become a big challenge to the medical community. Changing environment, tropical deforestation, melting of the Antarctic ice, growing population density and uncontrolled use of antibiotics provoke emergence and evolution of pathogens. Epidemics caused by new strains of the influenza virus, respiratory syndromes associated with coronaviruses, outbreaks of hemolytic Escherichia coli infections and antibiotic-resistant superbacteria are hazards to humans. Among high-priority measures for pathogen control that are yet to be taken is development of fast and accurate techniques for pathogen identification. Our review looks at the cases of new infections registered in the 21st century and explores feasibility of next generation sequencing for the detection and identification of new pathogens.</t>
  </si>
  <si>
    <t>[Makarov, V. V.; Guschin, V. A.] Lomonosov Moscow State Univ, AN Belozersky Inst Physicochem Biol, Dept Phys Measurement Methods, Moscow, Russia; [Khromov, A., V] Lomonosov Moscow State Univ, Fac Bioengn &amp; Bioinformat, Moscow, Russia; [Guschin, V. A.; Tkachuk, A. P.] NF Gamaleya Fed Res Ctr Epidemiol &amp; Microbiol, Translat Biomed Lab, Moscow, Russia</t>
  </si>
  <si>
    <t>Lomonosov Moscow State University; Lomonosov Moscow State University; Russian Academy of Medical Sciences; Gamaleya National Research Center for Epidemiology &amp; Microbiology, RAMS</t>
  </si>
  <si>
    <t>Makarov, VV (corresponding author), D-1,Str 40, Moscow 119991, Russia.</t>
  </si>
  <si>
    <t>makarovvalentine@gmail.com</t>
  </si>
  <si>
    <t>Tkachuk, Artem/AAU-1208-2021; Gushchin, Vladimir/F-7207-2017</t>
  </si>
  <si>
    <t>Tkachuk, Artem/0000-0003-3262-4873</t>
  </si>
  <si>
    <t>Russian Foundation for Basic Research [15-54-04004]</t>
  </si>
  <si>
    <t>Russian Foundation for Basic Research(Russian Foundation for Basic Research (RFBR)Spanish Government)</t>
  </si>
  <si>
    <t>this work was supported by the Russian Foundation for Basic Research, grant no. 15-54-04004.</t>
  </si>
  <si>
    <t>PIROGOV RUSSIAN NATL RESEARCH MEDICAL UNIV</t>
  </si>
  <si>
    <t>MOSCOW</t>
  </si>
  <si>
    <t>UL OSTROVITYANOVA, D 1, MOSCOW, 117997, RUSSIA</t>
  </si>
  <si>
    <t>2500-1094</t>
  </si>
  <si>
    <t>2542-1204</t>
  </si>
  <si>
    <t>B RUSS STATE MED U</t>
  </si>
  <si>
    <t>Bull. Russ. State Med. Univ.</t>
  </si>
  <si>
    <t>JAN-FEB</t>
  </si>
  <si>
    <t>10.24075/brsmu.2017-01-01</t>
  </si>
  <si>
    <t>Medicine, General &amp; Internal</t>
  </si>
  <si>
    <t>Emerging Sources Citation Index (ESCI)</t>
  </si>
  <si>
    <t>General &amp; Internal Medicine</t>
  </si>
  <si>
    <t>HE2NQ</t>
  </si>
  <si>
    <t>WOS:000453123600001</t>
  </si>
  <si>
    <t>Icardo, JM</t>
  </si>
  <si>
    <t>Gamperl, AK; Gillis, TE; Farrell, AP; Brauner, CJ</t>
  </si>
  <si>
    <t>Icardo, Jose M.</t>
  </si>
  <si>
    <t>HEART MORPHOLOGY AND ANATOMY</t>
  </si>
  <si>
    <t>CARDIOVASCULAR SYSTEM: MORPHOLOGY, CONTROL AND FUNCTION</t>
  </si>
  <si>
    <t>Fish Physiology</t>
  </si>
  <si>
    <t>Article; Book Chapter</t>
  </si>
  <si>
    <t>ACIPENSER-NACCARII HEART; TUNA THUNNUS-ALBACARES; BULBUS ARTERIOSUS; CONUS ARTERIOSUS; VENTRICULAR MYOCARDIUM; RAINBOW-TROUT; FISH HEART; FUNCTIONAL-MORPHOLOGY; ELECTRON-MICROSCOPY; ANTARCTIC TELEOSTS</t>
  </si>
  <si>
    <t>This chapter covers morphological aspects of the fish heart. It starts with the recognition of the existence of six heart components that are present during embryonic development, and in the adult, and that are anatomically arranged in sequence: sinus venosus, atrium, atrioventricular canal, ventricle, conus arteriosus, and bulbus arteriosus. The anatomy and structure of all the cardiac components are then described and compared between the different fish groups. Data from the basal Cyclostomata, chondrichthyans, basal Osteichthyes, and more advanced teleosts are included and analyzed. Then, data on blood supply to the heart, nerves, and localization of the heart pacemaker are discussed. A separate section at the end of the chapter is committed to the lungfish heart. Lungfishes share many anatomical and functional characteristics with both freshwater fish and amphibians, and the lungfish heart shows some unique and very peculiar characteristics. The enormous diversification of morphological characteristics of the fish heart is emphasized throughout this chapter.</t>
  </si>
  <si>
    <t>[Icardo, Jose M.] Univ Cantabria, Santander, Spain</t>
  </si>
  <si>
    <t>Universidad de Cantabria</t>
  </si>
  <si>
    <t>Icardo, JM (corresponding author), Univ Cantabria, Santander, Spain.</t>
  </si>
  <si>
    <t>icardojm@unican.es</t>
  </si>
  <si>
    <t>Icardo, Jose Manuel/ABH-5431-2020</t>
  </si>
  <si>
    <t>Icardo, Jose Manuel/0000-0001-9543-2444</t>
  </si>
  <si>
    <t>ACADEMIC PRESS LTD-ELSEVIER SCIENCE LTD</t>
  </si>
  <si>
    <t>125 LONDON WALL, LONDON EC2Y 5AS, ENGLAND</t>
  </si>
  <si>
    <t>1546-5098</t>
  </si>
  <si>
    <t>978-0-12-804166-6; 978-0-12-804163-5</t>
  </si>
  <si>
    <t>FISH PHYSIOL</t>
  </si>
  <si>
    <t>A</t>
  </si>
  <si>
    <t>10.1016/bs.fp.2017.05.002</t>
  </si>
  <si>
    <t>Marine &amp; Freshwater Biology; Physiology</t>
  </si>
  <si>
    <t>Book Citation Index – Science (BKCI-S)</t>
  </si>
  <si>
    <t>BJ0SJ</t>
  </si>
  <si>
    <t>WOS:000417101800002</t>
  </si>
  <si>
    <t>Brockmann, PE; Gozal, D; Villarroel, L; Damiani, F; Nuñez, F; Cajochen, C</t>
  </si>
  <si>
    <t>Brockmann, Pablo E.; Gozal, David; Villarroel, Luis; Damiani, Felipe; Nunez, Felipe; Cajochen, Christian</t>
  </si>
  <si>
    <t>Geographic latitude and sleep duration: A population-based survey from the Tropic of Capricorn to the Antarctic Circle</t>
  </si>
  <si>
    <t>CHRONOBIOLOGY INTERNATIONAL</t>
  </si>
  <si>
    <t>Circadian; geography; insomnia; sleepiness; sleep hours</t>
  </si>
  <si>
    <t>SEASONAL-VARIATIONS; CHILDREN; ADOLESCENTS; ADULTS; APNEA; HYPERTENSION; CHRONOTYPE; PREVALENCE; SCHEDULES; INSOMNIA</t>
  </si>
  <si>
    <t>The impact of latitude on sleep duration remains virtually unexplored, even though latitude exerts profound influences on daylight duration. Using Chile as a one-country model, we explored on the potential associations between sleep duration and latitude. Based on the 2nd Chilean Health Survey, we identified reported sleep data during spring of people living from north to south in Chilean cities, located between 18 degrees 29'S to 53 degrees 18'S (4329 km distance at same longitude). A total of n = 2493 participants were included (mean age 45.3 +/- 18.4 years, 41.8% males). Mean sleep duration on workdays and weekends was 7.42 +/- 1.71 h, and 7.91 +/- 2.13 h, respectively, ranging from 7.91 +/- 1.92 h in the north to 8.33 +/- 1.89 h in the south, such that more northern latitudes (i.e., 18 degrees 29'S to 39 degrees 50'S) slept less compared to more southern latitudes (i.e., 51 degrees 43'S-53 degrees 18'), even after controlling for age, gender, and socioeconomic status. In the logistic regression models, men residing at northern latitudes exhibited an odds ratio of 3.348 [95% CI: 1.905-5.882; p &lt; 0.0001] for having shorter sleep on weekends than their southern counterparts. Latitude appears to strongly affect reported sleep patterns, leading to longer sleep duration with increasing latitude, particularly in men during weekends. Whether environmental factors such as photoperiod are causally involved in theses associations needs to be elucidated in future studies.</t>
  </si>
  <si>
    <t>[Brockmann, Pablo E.] Pontificia Univ Catolica Chile, Sch Med, Div Pediat, Dept Pediat Cardiol &amp; Pulmonol, Santiago, Chile; [Brockmann, Pablo E.] Pontificia Univ Catolica Chile, Sch Med, Dept Neurol, Sleep Med Ctr, Santiago, Chile; [Gozal, David] Univ Chicago, Pritzker Sch Med, Dept Pediat, Div Biol Sci,Sect Pediat Sleep Med, Chicago, IL 60637 USA; [Gozal, David] Univ Chicago, Pritzker Sch Med, Dept Pediat, Div Biol Sci,Sect Pulmonol, Chicago, IL 60637 USA; [Villarroel, Luis] Pontificia Univ Catolica Chile, Sch Med, Dept Publ Hlth, Santiago, Chile; [Damiani, Felipe; Nunez, Felipe] Pontificia Univ Catolica Chile, Sch Med, Santiago, Chile; [Cajochen, Christian] Univ Basel, Hosp Psychiat, Ctr Chronobiol, Basel, Switzerland</t>
  </si>
  <si>
    <t>Pontificia Universidad Catolica de Chile; Pontificia Universidad Catolica de Chile; University of Chicago; University of Chicago; Pontificia Universidad Catolica de Chile; Pontificia Universidad Catolica de Chile; University of Basel</t>
  </si>
  <si>
    <t>Brockmann, PE (corresponding author), Pontificia Univ Catolica Chile, Dept Pediat Cardiol &amp; Pulmonol, Sch Med, Sleep Ctr, Lira 85,5 Piso, Santiago 8330074, Chile.</t>
  </si>
  <si>
    <t>pbrockmann@med.puc.cl</t>
  </si>
  <si>
    <t>Gozal, David/M-9492-2017; Gozal, David/ABH-3805-2020</t>
  </si>
  <si>
    <t>Cajochen, Christian/0000-0003-2699-7171</t>
  </si>
  <si>
    <t>FONDECYT [11130573]</t>
  </si>
  <si>
    <t>FONDECYT(Comision Nacional de Investigacion Cientifica y Tecnologica (CONICYT)CONICYT FONDECYT)</t>
  </si>
  <si>
    <t>The Chilean Health Ministry (MINSAL) founded the 2nd National Health Survey 2009-2010 used for this study and the FONDECYT project (#11130573) that supported the analysis.</t>
  </si>
  <si>
    <t>TAYLOR &amp; FRANCIS INC</t>
  </si>
  <si>
    <t>PHILADELPHIA</t>
  </si>
  <si>
    <t>530 WALNUT STREET, STE 850, PHILADELPHIA, PA 19106 USA</t>
  </si>
  <si>
    <t>0742-0528</t>
  </si>
  <si>
    <t>1525-6073</t>
  </si>
  <si>
    <t>CHRONOBIOL INT</t>
  </si>
  <si>
    <t>Chronobiol. Int.</t>
  </si>
  <si>
    <t>10.1080/07420528.2016.1277735</t>
  </si>
  <si>
    <t>Biology; Physiology</t>
  </si>
  <si>
    <t>Life Sciences &amp; Biomedicine - Other Topics; Physiology</t>
  </si>
  <si>
    <t>EO5KY</t>
  </si>
  <si>
    <t>WOS:000396733100008</t>
  </si>
  <si>
    <t>Palerme, C; Genthon, C; Claud, C; Kay, JE; Wood, NB; L'Ecuyer, T</t>
  </si>
  <si>
    <t>Palerme, Cyril; Genthon, Christophe; Claud, Chantal; Kay, Jennifer E.; Wood, Norman B.; L'Ecuyer, Tristan</t>
  </si>
  <si>
    <t>Evaluation of current and projected Antarctic precipitation in CMIP5 models</t>
  </si>
  <si>
    <t>CLIMATE DYNAMICS</t>
  </si>
  <si>
    <t>Antarctica; Precipitation; CloudSat; CMIP5; Sea level</t>
  </si>
  <si>
    <t>SURFACE MASS-BALANCE; CLIMATE-CHANGE; ICE-SHEET; SNOW ACCUMULATION; RADAR; CLOUD</t>
  </si>
  <si>
    <t>On average, the models in the Fifth Climate Model Intercomparison Project archive predict an increase in Antarctic precipitation from 5.5 to 24.5 % between 1986-2005 and 2080-2099, depending on greenhouse gas emissions scenarios. This translates into a moderation of future sea level rise ranging from -19 to -71 mm between 2006 and 2099. However, comparison with CloudSat and ERA-Interim data show that almost all the models overestimate current Antarctic precipitation, some by more than 100 %. If only the models that agree with CloudSat data within 20 % of error are considered, larger precipitation changes (from 7.4 to 29.3 %) and impact on sea level (from -25 to -85 mm) are predicted. A common practice of averaging all models to evaluate climate projections thus leads to a significant underestimation of the contribution of Antarctic precipitation to future sea level. Models simulate, on average, a 7.4 %/A degrees C precipitation change with surface temperature warming. The models in better agreement with CloudSat observations for Antarctic snowfall predict, on average, larger temperature and Antarctic sea ice cover changes, which could explain the larger changes in Antarctic precipitation simulated by these models. The agreement between the models, CloudSat data and ERA-Interim is generally less in the interior of Antarctica than at the peripheries, but the interior is also where climate change will induce the smallest absolute change in precipitation. About three-quarters of the impact on sea level will result from precipitation change over the half most peripheral and lowest elevation part of the surface of Antarctica.</t>
  </si>
  <si>
    <t>[Palerme, Cyril; Genthon, Christophe] CNRS, LGGE, F-380413 Grenoble, France; [Palerme, Cyril; Genthon, Christophe] Univ Grenoble Alpes, LGGE, F-38041 Grenoble, France; [Claud, Chantal] CNRS, LMD IPSL, Palaiseau, France; [Claud, Chantal] Univ Paris Saclay, Ecole Polytech, Palaiseau, France; [Kay, Jennifer E.] Univ Colorado, Dept Atmospher &amp; Ocean Sci, Cooperat Inst Res Environm Sci, Boulder, CO 80309 USA; [Wood, Norman B.] Univ Wisconsin, Cooperat Inst Meteorol Satellite Studies, Madison, WI USA; [L'Ecuyer, Tristan] Univ Wisconsin, Dept Atmospher &amp; Ocean Sci, Madison, WI USA</t>
  </si>
  <si>
    <t>Communaute Universite Grenoble Alpes; Universite Grenoble Alpes (UGA); Centre National de la Recherche Scientifique (CNRS); Communaute Universite Grenoble Alpes; Universite Grenoble Alpes (UGA); Ecole des Ponts ParisTech; Centre National de la Recherche Scientifique (CNRS); Universite Paris Saclay; Universite Paris Cite; Institut Polytechnique de Paris; University of Colorado System; University of Colorado Boulder; University of Wisconsin System; University of Wisconsin Madison; University of Wisconsin System; University of Wisconsin Madison</t>
  </si>
  <si>
    <t>Palerme, C (corresponding author), CNRS, LGGE, F-380413 Grenoble, France.;Palerme, C (corresponding author), Univ Grenoble Alpes, LGGE, F-38041 Grenoble, France.</t>
  </si>
  <si>
    <t>cyrilpalerme@gmail.com</t>
  </si>
  <si>
    <t>L'Ecuyer, Tristan S/E-5607-2012; KAY, JENNIFER/C-6042-2012</t>
  </si>
  <si>
    <t>L'Ecuyer, Tristan S/0000-0002-7584-4836; Palerme, Cyril/0000-0003-1475-7496; KAY, JENNIFER/0000-0002-3625-5377; Wood, Norman/0000-0001-8228-3910</t>
  </si>
  <si>
    <t>LEFE programmes CLAPA; DEPHY2 (Institut National des Sciences de l'Univers); French National Research Agency (ANR) [ANR-15-CE01-0003]; European Community Unions Framework Programme [603608]; la Region Rhone-Alpes; NASA [12-CCST10-0095]; National Aeronautics and Space Administration CloudSat Research Grant [G-3969-1]; Agence Nationale de la Recherche (ANR) [ANR-15-CE01-0003] Funding Source: Agence Nationale de la Recherche (ANR)</t>
  </si>
  <si>
    <t>LEFE programmes CLAPA; DEPHY2 (Institut National des Sciences de l'Univers); French National Research Agency (ANR)(Agence Nationale de la Recherche (ANR)Norwegian Agency for Development Cooperation - NORAD); European Community Unions Framework Programme; la Region Rhone-Alpes(Region Auvergne-Rhone-Alpes); NASA(National Aeronautics &amp; Space Administration (NASA)); National Aeronautics and Space Administration CloudSat Research Grant; Agence Nationale de la Recherche (ANR)(Agence Nationale de la Recherche (ANR))</t>
  </si>
  <si>
    <t>This study was supported by the LEFE programmes CLAPA and DEPHY2 (Institut National des Sciences de l'Univers), and by the French National Research Agency (ANR) through the APRES3 project, ANR-15-CE01-0003. Support from the European Community Unions Framework Programme under grant agreement number 603608 (Earth2Observe project) is gratefully acknowledged. We are grateful to the Centre National d'Etudes Spatiales (CNES). Funding for this project was provided by a grant from la Region Rhone-Alpes. J.E.K. was funded by NASA grant 12-CCST10-0095. Parts of this research conducted by N. B. Wood and T. LEcuyer were performed at the University of Wisconsin- Madison for the Jet Propulsion Laboratory, California Institute of Technology, sponsored by National Aeronautics and Space Administration CloudSat Research Grant G-3969-1. Finally, we thank the four anonymous reviewers for their comments which significantly improved the manuscript.</t>
  </si>
  <si>
    <t>233 SPRING ST, NEW YORK, NY 10013 USA</t>
  </si>
  <si>
    <t>0930-7575</t>
  </si>
  <si>
    <t>1432-0894</t>
  </si>
  <si>
    <t>CLIM DYNAM</t>
  </si>
  <si>
    <t>Clim. Dyn.</t>
  </si>
  <si>
    <t>JAN</t>
  </si>
  <si>
    <t>1-2</t>
  </si>
  <si>
    <t>10.1007/s00382-016-3071-1</t>
  </si>
  <si>
    <t>EI2HK</t>
  </si>
  <si>
    <t>hybrid, Green Published</t>
  </si>
  <si>
    <t>WOS:000392307300013</t>
  </si>
  <si>
    <t>Kim, TW; Ha, HK; Wåhlin, AK; Lee, SH; Kim, CS; Lee, JH; Cho, YK</t>
  </si>
  <si>
    <t>Kim, T. W.; Ha, H. K.; Wahlin, A. K.; Lee, S. H.; Kim, C. S.; Lee, J. H.; Cho, Y. K.</t>
  </si>
  <si>
    <t>Is Ekman pumping responsible for the seasonal variation of warm circumpolar deep water in the Amundsen Sea?</t>
  </si>
  <si>
    <t>CONTINENTAL SHELF RESEARCH</t>
  </si>
  <si>
    <t>Southern Ocean; Ekman transport; Sea ice drift; Amundsen Sea; Circumpolar deep water; Antarctic winter water; Wind stress; Surface stress; Marginal ice zone</t>
  </si>
  <si>
    <t>ANTARCTIC ICE-SHEET; PINE ISLAND GLACIER; OCEAN CIRCULATION; DRAG COEFFICIENTS; WEST ANTARCTICA; WIND STRESS; SHELF; VARIABILITY; INFLOW; LAYER</t>
  </si>
  <si>
    <t>Ekman pumping induced by horizontally varying wind and sea ice drift is examined as an explanation for observed seasonal variation of the warm layer thickness of circumpolar deep water on the Amundsen Sea continental shelf. Spatial and temporal variation of the warm layer thickness in one of the deep troughs on the shelf (Dotson Trough) was measured during two oceanographic surveys and a two-year mooring deployment. A hydrographic transect from the deep ocean, across the shelf break, and into the trough shows a local elevation of the warm layer at the shelf break. On the shelf, the water flows south-east along the trough, gradually becoming colder and fresher due to mixing with cold water masses. A mooring placed in the trough shows a thicker and warmer layer in February and March (late summer/early autumn) and thinner and colder layer in September, October and November (late winter/early spring). The amplitude of this seasonal variation is up to 60 m. In order to investigate the effects of Ekman pumping, remotely sensed wind (Antarctic Mesoscale Prediction System wind data) and sea ice velocity and concentration (EASE Polar Pathfinder) were used. From the estimated surface stress field, the Ekman transport and Ekman pumping were calculated. At the shelf break, where the warm layer is elevated, the Ekman pumping shows a seasonal variation correlating with the mooring data. Previous studies have not been able to show a correlation between observed wind and bottom temperature, but it is shown here that when sea ice drift is taken into account the Ekman pumping at the outer shelf correlates with bottom temperature in Dotson Trough. The reason why the Ekman pumping varies seasonally at the shelf break appears to be the migration of the ice edge in the expanding polynya in combination with the wind field which on average is westward south of the shelf break.</t>
  </si>
  <si>
    <t>[Kim, T. W.; Lee, S. H.; Kim, C. S.] Korea Polar Res Inst, Incheon 21990, South Korea; [Ha, H. K.] Inha Univ, Dept Ocean Sci, Incheon 22212, South Korea; [Wahlin, A. K.] Univ Gothenburg, Dept Marine Sci, Gothenburg, Sweden; [Lee, J. H.] Korea Inst Ocean Sci &amp; Technol, Ansan 15627, South Korea; [Cho, Y. K.] Seoul Natl Univ, Sch Earth &amp; Environm Sci, Seoul 08826, South Korea</t>
  </si>
  <si>
    <t>Korea Polar Research Institute (KOPRI); Inha University; University of Gothenburg; Korea Institute of Ocean Science &amp; Technology (KIOST); Seoul National University (SNU)</t>
  </si>
  <si>
    <t>Wåhlin, AK (corresponding author), Univ Gothenburg, Dept Marine Sci, Gothenburg, Sweden.</t>
  </si>
  <si>
    <t>awahlin@gu.se</t>
  </si>
  <si>
    <t>Ha, Ho Kyung/HCH-4138-2022; Kim, Tae-Wan/JGM-9981-2023; Cho, Yang-Ki/AAU-2549-2020; Wåhlin, Anna/U-3790-2017</t>
  </si>
  <si>
    <t>Kim, Tae-Wan/0000-0001-5257-7256; Cho, Yang-Ki/0000-0003-0026-0550; Wåhlin, Anna/0000-0003-1799-6476</t>
  </si>
  <si>
    <t>K-Polar Program of KOPRI [PP13020, PP14020]; National Research Foundation of Korea [2015K2A3A1000201]; Swedish Research Council [2011-5263]</t>
  </si>
  <si>
    <t>K-Polar Program of KOPRI(Korea Polar Research Institute of Marine Research Placement (KOPRI)); National Research Foundation of Korea(National Research Foundation of Korea); Swedish Research Council(Swedish Research Council)</t>
  </si>
  <si>
    <t>We would like to thank C. S. Hong, H. J. Lee and L. Arneborg for mooring data acquisition and analysis. We also thank M. Tschudi for providing the Polar Pathfinder daily 25 km EASE-Grid sea ice motion data. This work was supported by grants from the K-Polar Program (Grants PP13020 and PP14020) of KOPRI, the National Research Foundation of Korea (No. 2015K2A3A1000201), and the Swedish Research Council (2011-5263).</t>
  </si>
  <si>
    <t>0278-4343</t>
  </si>
  <si>
    <t>1873-6955</t>
  </si>
  <si>
    <t>CONT SHELF RES</t>
  </si>
  <si>
    <t>Cont. Shelf Res.</t>
  </si>
  <si>
    <t>JAN 1</t>
  </si>
  <si>
    <t>10.1016/j.csr.2016.09.005</t>
  </si>
  <si>
    <t>Oceanography</t>
  </si>
  <si>
    <t>EJ1YC</t>
  </si>
  <si>
    <t>WOS:000393005500005</t>
  </si>
  <si>
    <t>Mendelova, M; Hein, AS; McCulloch, R; Davies, B</t>
  </si>
  <si>
    <t>Mendelova, M.; Hein, A. S.; McCulloch, R.; Davies, B.</t>
  </si>
  <si>
    <t>THE LAST GLACIAL MAXIMUM AND DEGLACIATION IN CENTRAL PATAGONIA, 44° S-49° S</t>
  </si>
  <si>
    <t>CUADERNOS DE INVESTIGACION GEOGRAFICA</t>
  </si>
  <si>
    <t>Last Glacial Maximum; deglaciation; Holocene; Patagonia; glacial chronology</t>
  </si>
  <si>
    <t>SOUTHERNMOST SOUTH-AMERICA; ANTARCTIC COLD REVERSAL; LAGO-BUENOS-AIRES; TIERRA-DEL-FUEGO; COSMOGENIC-NUCLIDE MEASUREMENTS; CENTRAL CHILEAN PATAGONIA; LAGUNA SAN-RAFAEL; NEW-ZEALAND; RADIOCARBON CHRONOLOGY; HOLOCENE TRANSITION</t>
  </si>
  <si>
    <t>This paper reviews published geochronological data on glacier fluctuations and environmental changes in central Patagonia (44 degrees S-49 degrees S) from the Last Glacial Maximum (LGM) through to the Holocene. Well-dated glacial chronologies from the southern mid-latitudes can inform on the synchronicity of glacial advances worldwide and provide insight on the drivers of southern hemisphere glaciations. In central Patagonia, two large outlet lobes of the former Patagonian Ice Sheet advanced in broad synchrony with the global LGM. In contrast to other parts of Patagonia, there is no convincing evidence for a more extensive local LGM advance during Marine Isotope Stage 3. Deglaciation initiated at ca. 19 ka, earlier than in other parts of Patagonia and regionally in the Southern Hemisphere, and rapid deglaciation saw ice margins retreat in places by at least 80-120 km within a few millennia. The Lateglacial glacier margins are poorly constrained, but an ice mass substantial enough to maintain a large regional proglacial lake must have persisted at this time. The timing of lake drainage and opening of the Rio Baker drainage route to the Pacific Ocean is debated; the only directly dated shoreline suggests this occurred at the end of the Antarctic Cold Reversal at 12.7 ka. Palaeoecological evidence for cooling during the Antarctic Cold Reversal or Younger Dryas remains equivocal, which may reflect both the eurythermic nature of Patagonian vegetation and shifting Southern Westerly Winds. Eastern outlet glaciers appear to have advanced or stabilised at the Lateglacial/Holocene transition when palaeoenvironmental records indicate warmer and drier conditions, but the reason for this is unclear. Our review reveals both spatial and temporal gaps in available data that provide avenues for future research.</t>
  </si>
  <si>
    <t>[Mendelova, M.; Hein, A. S.] Univ Edinburgh, Sch GeoSci, Drummond St, Edinburgh EH8 9XP, Midlothian, Scotland; [McCulloch, R.] Univ Stirling, Biol &amp; Environm Sci, Stirling FK9 4LA, Scotland; [Davies, B.] Royal Holloway Univ London, Dept Geog, Ctr Quaternary Res, Egham TW20 0EX, Surrey, England</t>
  </si>
  <si>
    <t>University of Edinburgh; University of Stirling; University of London; Royal Holloway University London</t>
  </si>
  <si>
    <t>Mendelova, M (corresponding author), Univ Edinburgh, Sch GeoSci, Drummond St, Edinburgh EH8 9XP, Midlothian, Scotland.</t>
  </si>
  <si>
    <t>M.Mendelova@sms.ed.ac.uk</t>
  </si>
  <si>
    <t>Davies, Bethan/KFR-3266-2024; Hein, Andrew/JWO-3756-2024</t>
  </si>
  <si>
    <t>Davies, Bethan/0000-0002-8636-1813;</t>
  </si>
  <si>
    <t>UK Natural Environment Research Council; University of Edinburgh; Natural Environment Research Council [1645480] Funding Source: researchfish</t>
  </si>
  <si>
    <t>UK Natural Environment Research Council(UK Research &amp; Innovation (UKRI)Natural Environment Research Council (NERC)); University of Edinburgh; Natural Environment Research Council(UK Research &amp; Innovation (UKRI)Natural Environment Research Council (NERC))</t>
  </si>
  <si>
    <t>We thank the UK Natural Environment Research Council and University of Edinburgh for Monika Mendelova's Ph.D. studentship.</t>
  </si>
  <si>
    <t>UNIV RIOJA, SERV PUBLICACIONES</t>
  </si>
  <si>
    <t>LA RIOJA</t>
  </si>
  <si>
    <t>C/ PISCINAS S/N, LOGRONO, LA RIOJA, 26004, SPAIN</t>
  </si>
  <si>
    <t>0211-6820</t>
  </si>
  <si>
    <t>1697-9540</t>
  </si>
  <si>
    <t>CUAD INVESTIG GEOGR</t>
  </si>
  <si>
    <t>Cuad. Investig. Geogr.</t>
  </si>
  <si>
    <t>10.18172/cig.3263</t>
  </si>
  <si>
    <t>Geography, Physical</t>
  </si>
  <si>
    <t>Physical Geography</t>
  </si>
  <si>
    <t>FR1EQ</t>
  </si>
  <si>
    <t>WOS:000418809200016</t>
  </si>
  <si>
    <t>Sangrà, P; Stegner, A; Hernández-Arencibia, M; Marrero-Díaz, A; Salinas, C; Aguiar-González, B; Henríquez-Pastene, C; Mouriño-Carballido, B</t>
  </si>
  <si>
    <t>Sangra, Pablo; Stegner, Alexander; Hernandez-Arencibia, Monica; Marrero-Diaz, Angeles; Salinas, Carolina; Aguiar-Gonzalez, Borja; Henriquez-Pastene, Cristian; Mourino-Carballido, Beatriz</t>
  </si>
  <si>
    <t>The Bransfield Gravity Current</t>
  </si>
  <si>
    <t>DEEP-SEA RESEARCH PART I-OCEANOGRAPHIC RESEARCH PAPERS</t>
  </si>
  <si>
    <t>South Shetland Islands; Bransfield current; Buoyant gravity current; Laboratory experiments; In situ observations</t>
  </si>
  <si>
    <t>SOUTH SHETLAND ISLANDS; INERTIAL INSTABILITY; ANTARCTIC PENINSULA; IN-SITU; CIRCULATION; VARIABILITY; STRAIT; PHYTOPLANKTON; SHELF; GENERATION</t>
  </si>
  <si>
    <t>Using in situ data and laboratory experiments, we show that the circulation of the Bransfield Current (BC) around the South Shetland Islands (SSI) may be characterized in terms of a propagating buoyant gravity current. First, we describe the SSI hydrography and some drifter trajectories, paying special attention to the recirculation of the BC at the northeastern tip and northern slopes of the SSI. We observed that when the northeastward-flowing BC reaches the northeastern tip of the SSI, it recirculates around an anticyclonic mesoscale eddy that has not previously been reported in this region. Part of this recirculating water then proceeds southwest along the northern SSI shelf break as a narrow baroclinic jet and another part join the Antarctic Circumpolar Current. Consequently, the cross-slope gradients of properties strengthen, and the southern boundary of the Antarctic Circumpolar Current becomes a nearly submesoscale (similar to 10 km) front. Second, we compare the observations with buoyant gravity current laboratory experiments in an open basin setup where the SSI topographic barrier is represented by a central wall. The resulting circulation of the buoyant gravity current around the wall mirrors our in situ observations. First, a narrow buoyant gravity current flows northeastward along the southern boundary of the wall. Once the head of the buoyant gravity current reaches the tip of the wall, a recirculating anticyclonic vortex is generated, and the buoyant gravity current then proceeds westward along the north side of the wall. This circulation of the BC around the SSI as a buoyant gravity current may contribute to the fertilization of the waters around the SSI, as suggested by previously reported distributions of nutrients and phytoplankton.</t>
  </si>
  <si>
    <t>[Sangra, Pablo; Salinas, Carolina] Univ Las Palmas Gran Canaria, Inst Oceanog &amp; Cambio Global IOCAG, Las Palmas Gran Canaria, Spain; [Stegner, Alexander] Ecole Polytech, CNRS, Lab Meteorol Dynam LMD, F-91128 Palaiseau, France; [Hernandez-Arencibia, Monica; Marrero-Diaz, Angeles] Univ Las Palmas Gran Canaria, Dept Fis, Las Palmas Gran Canaria, Spain; [Aguiar-Gonzalez, Borja] NIOZ Royal Netherlands Inst Sea Res, Dept Ocean Syst Sci, POB 59, NL-1790 AB Den Burg, Texel, Netherlands; [Aguiar-Gonzalez, Borja] Univ Utrecht, POB 59, NL-1790 AB Den Burg, Texel, Netherlands; [Henriquez-Pastene, Cristian] Univ Concepcion, Dept Fis, Casilla 160-C, Concepcion, Chile; [Henriquez-Pastene, Cristian] Pontificia Univ Catolica Valparaiso, Escuela Ciencias Mar, Valparaiso, Chile; [Mourino-Carballido, Beatriz] Univ Vigo, Vigo 36310, Spain</t>
  </si>
  <si>
    <t>Universidad de Las Palmas de Gran Canaria; Ecole des Ponts ParisTech; Centre National de la Recherche Scientifique (CNRS); Sorbonne Universite; Institut Polytechnique de Paris; Universidad de Las Palmas de Gran Canaria; Utrecht University; Royal Netherlands Institute for Sea Research (NIOZ); Utrecht University; Universidad de Concepcion; Pontificia Universidad Catolica de Valparaiso; Universidade de Vigo</t>
  </si>
  <si>
    <t>Marrero-Díaz, A (corresponding author), Edificio Ciencias Basicas,Campus Univ Tafira, Las Palmas Gran Canaria 35017, Spain.</t>
  </si>
  <si>
    <t>angeles.marrero@ulpgc.es</t>
  </si>
  <si>
    <t>Aguiar-González, Borja/J-5557-2019; Mourino, Beatriz/E-8635-2016; Marrero-Díaz, Ángeles/H-2175-2015</t>
  </si>
  <si>
    <t>Aguiar-González, Borja/0000-0002-2064-1724; Marrero-Díaz, Ángeles/0000-0001-7697-0036; Stegner, Alexandre/0000-0001-7882-493X; Mourino-Carballido, Beatriz/0000-0001-7961-1477</t>
  </si>
  <si>
    <t>Spanish government through project COUPLING [CTM2008-06343-CO2-01]</t>
  </si>
  <si>
    <t>Spanish government through project COUPLING</t>
  </si>
  <si>
    <t>We express our gratitude to the technical staff and crew of the R/V Hesperides for supporting our work at sea. This work was supported by the Spanish government through the project COUPLING (CTM2008-06343-CO2-01). We would also like to thank the anonymous reviewers for their careful and constructive criticism of the original manuscript.</t>
  </si>
  <si>
    <t>0967-0637</t>
  </si>
  <si>
    <t>1879-0119</t>
  </si>
  <si>
    <t>DEEP-SEA RES PT I</t>
  </si>
  <si>
    <t>Deep-Sea Res. Part I-Oceanogr. Res. Pap.</t>
  </si>
  <si>
    <t>10.1016/j.dsr.2016.11.003</t>
  </si>
  <si>
    <t>EJ5KH</t>
  </si>
  <si>
    <t>WOS:000393256400001</t>
  </si>
  <si>
    <t>Hasenfratz, AP; Martínez-García, A; Jaccard, SL; Vance, D; Wälle, M; Greaves, M; Haug, GH</t>
  </si>
  <si>
    <t>Hasenfratz, Adam P.; Martinez-Garcia, Alfredo; Jaccard, Samuel L.; Vance, Derek; Walle, Markus; Greaves, Mervyn; Haug, Gerald H.</t>
  </si>
  <si>
    <t>Determination of the Mg/Mn ratio in foraminiferal coatings: An approach to correct Mg/Ca temperatures for Mn-rich contaminant phases</t>
  </si>
  <si>
    <t>paleoceanography; trace metal geochemistry; foraminifera; Mg/Ca thermometry; Mn overgrowths</t>
  </si>
  <si>
    <t>PLANKTONIC-FORAMINIFERA; GLOBIGERINOIDES-SACCULIFER; MANGANESE CARBONATE; CLEANING PROCEDURES; PAST TEMPERATURE; SOUTH ATLANTIC; OCEAN; SEAWATER; PALEOTHERMOMETRY; GEOCHEMISTRY</t>
  </si>
  <si>
    <t>The occurrence of manganese-rich coatings on foraminifera can have a significant effect on their bulk Mg/Ca ratios thereby biasing seawater temperature reconstructions. The removal of this Mn phase requires a reductive cleaning step, but this has been suggested to preferentially dissolve Mg-rich biogenic carbonate, potentially introducing an analytical bias in paleotemperature estimates. In this study, the geochemical composition of foraminifera tests from Mn-rich sediments from the Antarctic Southern Ocean (ODP Site 1094) was investigated Using solution-based and laser ablation ICP-MS in order to determine the amount of Mg incorporated into the coatings. The analysis of planktonic and benthic foraminifera revealed a nearly constant Mg/Mn ratio in the Mn coating of similar to 0.2 mol/mol. Consequently, the coating Mg/Mn ratio can be used to correct for the Mg incorporated into the Mn phase by using the down core Mn/Ca values of samples that have not been reductively cleaned. The consistency of the coating, Mg/Mn ratio obtained in this study, as well as that found in samples from the Panama Basin, suggests that spatial variation of Mg/Mn in foraminiferal Mn overgrowths may be smaller than expected from Mn nodules and Mn-Ca carbonates. However, a site-specific assessment of the Mg/Mn ratio in foraminiferal coatings is recommended to improve the accuracy of the correction. (C) 2016 Elsevier B.V. All rights reserved.</t>
  </si>
  <si>
    <t>[Hasenfratz, Adam P.; Martinez-Garcia, Alfredo; Haug, Gerald H.] ETH, Dept Earth Sci, Inst Geol, Zurich, Switzerland; [Martinez-Garcia, Alfredo; Haug, Gerald H.] Max Planck Inst Chem, Mainz, Germany; [Jaccard, Samuel L.] Univ Bern, Inst Geol Sci, Bern, Switzerland; [Jaccard, Samuel L.] Univ Bern, Oeschger Ctr Climate Change Res, Bern, Switzerland; [Vance, Derek; Walle, Markus] ETH, Inst Geochem &amp; Petrol, Zurich, Switzerland; [Greaves, Mervyn] Univ Cambridge, Dept Earth Sci, Cambridge, Cambs, England</t>
  </si>
  <si>
    <t>Swiss Federal Institutes of Technology Domain; ETH Zurich; Max Planck Society; University of Bern; University of Bern; Swiss Federal Institutes of Technology Domain; ETH Zurich; University of Cambridge</t>
  </si>
  <si>
    <t>Hasenfratz, AP (corresponding author), ETH, Dept Earth Sci, Inst Geol, Zurich, Switzerland.</t>
  </si>
  <si>
    <t>adam.hasenfratz@erdw.ethz.ch</t>
  </si>
  <si>
    <t>Wälle, Markus/JSK-8479-2023; Jaccard, Samuel/G-3447-2014; Jaccard, Samuel/IZP-9669-2023; Martinez-Garcia, Alfredo/A-6244-2010</t>
  </si>
  <si>
    <t>Wälle, Markus/0000-0002-3526-8424; Jaccard, Samuel/0000-0002-5793-0896; Martinez-Garcia, Alfredo/0000-0002-7206-5079; Greaves, Mervyn/0000-0001-8014-8627</t>
  </si>
  <si>
    <t>ETH Research Grant [ETH-04 11-1]; Swiss National Science Foundation [PZ00P2_141424, PP00P2_144811]; European Research Council (ERC grant) [2010-NEWLOG ADG-267931 HE]; NSF; Joint Oceanographic Institutions (JOI), Inc.</t>
  </si>
  <si>
    <t>ETH Research Grant; Swiss National Science Foundation(Swiss National Science Foundation (SNSF)); European Research Council (ERC grant)(European Research Council (ERC)); NSF(National Science Foundation (NSF)); Joint Oceanographic Institutions (JOI), Inc.</t>
  </si>
  <si>
    <t>We acknowledge the financial support provided by ETH Research Grant ETH-04 11-1 (A.P.H.), and the Swiss National Science Foundation grants PZ00P2_141424 (A.M.-G.) and PP00P2_144811 (S.L.J.). This work was also funded (in part) by The European Research Council (ERC grant 2010-NEWLOG ADG-267931 HE). We are very grateful to David A. Hodell and Kikki F. Kleiven for providing washed and sieved samples from ODP Site 1094, Leopoldo D. Pena for making data available that was published in Pena et al. (2005), Stephane Westermann and Corey Archer for support with the solution-based ICP-MS analyses, Tomaso R.R. Bontognali for assistance with the SEM analyses, David A. Hodell for providing insightful comment on the draft version of the manuscript, and Stefano Bernasconi for fruitful discussions. This research used samples provided by the ODP, which is supported by the NSF and participating countries under management of Joint Oceanographic Institutions (JOI), Inc.</t>
  </si>
  <si>
    <t>10.1016/j.epsl.2016.10.004</t>
  </si>
  <si>
    <t>EE2FB</t>
  </si>
  <si>
    <t>WOS:000389398000031</t>
  </si>
  <si>
    <t>McDonald, EM; Moran, JL; DeAngelis, AI; Rice, AN</t>
  </si>
  <si>
    <t>McDonald, Elizabeth M.; Moran, Janelle L.; DeAngelis, Annamaria I.; Rice, Aaron N.</t>
  </si>
  <si>
    <t>Building time-budgets from bioacoustic signals to measure population-level changes in behavior: a case study with sperm whales in the Gulf of Mexico</t>
  </si>
  <si>
    <t>ECOLOGICAL INDICATORS</t>
  </si>
  <si>
    <t>(3-8) Passive acoustic monitoring; Foraging; Time budget; Activity budget; Cetacean; Behavioral ecology; Physeter macrocephalus; Environmental change</t>
  </si>
  <si>
    <t>ANTARCTIC FUR SEALS; PHYSETER-MACROCEPHALUS; FORAGING BEHAVIOR; ACTIVITY PATTERNS; VOCALIZATIONS; FOOD; COMMUNICATION; ECHOLOCATION; CALIFORNIA; HABITAT</t>
  </si>
  <si>
    <t>Evaluating changes in the collective behavior of a population can be an indirect method for inferring organismal responses to changing environmental conditions. Apex predators, such as the sperm whale (Physeter macrocephalus), can provide valuable insights into the ecosystem processes of the deep sea, where little direct observation can be made. Sperm whales are often difficult to observe at sea, as they inhabit deep, offshore waters and spend most of their lives beneath the surface. However, sperm whales are extremely amenable to passive acoustic monitoring, as their vocalizations are well-studied, highly distinguishable, produced regularly, and can be detected at relatively long ranges (&gt;10 km). Sperm whales produce distinct clicks in two behavioral contexts (social interaction or foraging/prey capture); thus, we can use acoustic detection of these vocalizations to infer patterns of large-scale, collective behavior, which is similar to studying calling frogs or insects indicating their reproductive phonology. We recorded behaviorally-specific sperm whale vocalizations at three sites in the Northern Gulf of Mexico in July 2010 and 2011. We used these recordings to construct population-level time budgets, an empirical collective metric of behavior, based on the ratio of hours in a day with social clicks to the hours in a day with foraging clicks, and represented this as an acoustic activity index. Our index showed significant differences in the proportions of social and foraging behavior across the range of sperm whales in the Northern Gulf of Mexico, and the proportion of social activity increased by more than a factor of two from 2010 to 2011. These differences support previous evidence of differential habitat use by sperm whales in the Gulf of Mexico, and suggest possible changes in environmental conditions between years. Thus, the acoustic activity index may provide a powerful way to evaluate changes in behavior and link them to changing ecological conditions. This novel application of bioacoustics to constructing time budgets and creating a behaviorally-based index at the population scale can serve as an indicator of ecological change, and greatly enhance our ability to understand the behavior and ecology of many acoustically active species. (C) 2016 Published by Elsevier Ltd.</t>
  </si>
  <si>
    <t>[McDonald, Elizabeth M.; Moran, Janelle L.; DeAngelis, Annamaria I.; Rice, Aaron N.] Cornell Univ, Cornell Lab Ornithol, Bioacoust Res Program, Ithaca, NY 14850 USA; [McDonald, Elizabeth M.] Syracuse Univ, Dept Biol, Syracuse, NY 13210 USA; [Moran, Janelle L.] Cornell Univ, Cornell Lab Ornithol, Macaulay Lib, Ithaca, NY 14850 USA; [DeAngelis, Annamaria I.] NOAA, Northeast Fisheries Sci Ctr, Natl Marine Fisheries Serv, Woods Hole, MA 02543 USA</t>
  </si>
  <si>
    <t>Cornell University; Syracuse University; Cornell University; National Oceanic Atmospheric Admin (NOAA) - USA</t>
  </si>
  <si>
    <t>McDonald, EM (corresponding author), Cornell Univ, Cornell Lab Ornithol, Bioacoust Res Program, Ithaca, NY 14850 USA.;McDonald, EM (corresponding author), Syracuse Univ, Dept Biol, Syracuse, NY 13210 USA.</t>
  </si>
  <si>
    <t>emmcdona@syr.edu</t>
  </si>
  <si>
    <t>Rice, Aaron N/A-1292-2007</t>
  </si>
  <si>
    <t>Morano, Janelle/0000-0001-5950-3313; Rice, Aaron/0000-0002-8598-9705; DeAngelis, Annamaria/0000-0001-7744-7837</t>
  </si>
  <si>
    <t>BP Production and Exploration, Inc.; Jonathan Hurowitz Fund for Whale Gulf Research</t>
  </si>
  <si>
    <t>We thank D. Doxey and C. Tessaglia-Hymes for deploying and recovering the recording equipment and we thank J. Barry at the Cornell Statistical Consulting Unit for advice on statistical approaches. We thank R. Charif, K. Hodge, A. Rahaman, J. Tielens for their comments on the manuscript. Funding for this project was provided in part by BP Production and Exploration, Inc. and The Jonathan Hurowitz Fund for Whale Gulf Research, but the funders had no influence over the scientific analysis or interpretation. These data are from a larger project conducted jointly by BP, Scripps Institution of Oceanography, and State and Federal Natural Resource Trustees. The statements, findings, conclusions, and recommendations are those of the authors and do not necessarily reflect the views of BP or any State or Federal Natural Resource Trustee. This work is in partial fulfillment of the requirements for a Senior Undergraduate Honors Thesis at Cornell University for E. McDonald.</t>
  </si>
  <si>
    <t>1470-160X</t>
  </si>
  <si>
    <t>1872-7034</t>
  </si>
  <si>
    <t>ECOL INDIC</t>
  </si>
  <si>
    <t>Ecol. Indic.</t>
  </si>
  <si>
    <t>10.1016/j.ecolind.2016.08.028</t>
  </si>
  <si>
    <t>Biodiversity Conservation; Environmental Sciences</t>
  </si>
  <si>
    <t>Biodiversity &amp; Conservation; Environmental Sciences &amp; Ecology</t>
  </si>
  <si>
    <t>EQ9ST</t>
  </si>
  <si>
    <t>WOS:000398426200037</t>
  </si>
  <si>
    <t>Oppel, S; Lavers, JL; Donaldson, AH; Forrest, AK; McClelland, GTW; Bond, AL; Brooke, MD</t>
  </si>
  <si>
    <t>Oppel, Steffen; Lavers, Jennifer L.; Donaldson, Angus H.; Forrest, Alice K.; McClelland, Gregory T. W.; Bond, Alexander L.; Brooke, M. de L.</t>
  </si>
  <si>
    <t>Population status, breeding success and ecology of the Henderson Petrel after a failed rat eradication on Henderson Island</t>
  </si>
  <si>
    <t>EMU</t>
  </si>
  <si>
    <t>Pterodroma; Rattus exulans; growth rate; breeding success; island restoration</t>
  </si>
  <si>
    <t>INVESTIGATOR DISTURBANCE; PITCAIRN ISLANDS; NEST SURVIVAL; CHICK GROWTH; PTERODROMA; SEABIRDS; PACIFIC; BIOLOGY; PRODUCTIVITY; COMMUNITIES</t>
  </si>
  <si>
    <t>One of the most important breeding colonies for gadfly petrels in the sub-tropics, Henderson Island in the South Pacific Ocean, was subjected to a rat eradication attempt in 2011, but the eradication failed. Here we examine whether the current population status of the endemic Henderson Petrel Pterodroma atrata is consistent with an ongoing population decline. We collected basic biological information on Henderson Petrels in 2015 to compare estimates of breeding population size and nest survival to data from 1991. We found that the extrapolated population size of 19 987 pairs was marginally higher than the comparable estimate of 18 668 in 1991. We also estimated the nest survival of 25 nests to be 28.5%, and most nest failures occurred within 7 days of hatching when chicks were killed by rats (n = 3) or a crab (n = 1). Breeding success was higher than in 1991, and possibly sufficient for a stable population. Although differences in survey effort render it difficult to directly compare estimates from 1991 and 2015, there is currently no evidence that the conservation status of the Henderson Petrel has deteriorated since it was listed as 'Endangered' by the IUCN.</t>
  </si>
  <si>
    <t>[Oppel, Steffen; Lavers, Jennifer L.; Donaldson, Angus H.; Forrest, Alice K.; McClelland, Gregory T. W.] Royal Soc Protect Birds, RSPB Ctr Conservat Sci, Cambridge, England; [Lavers, Jennifer L.] Univ Tasmania, Inst Marine &amp; Antarctic Studies, Hobart, Tas, Australia; [Bond, Alexander L.] Royal Soc Protect Birds, RSPB Ctr Conservat Sci, Sandy, Beds, England; [Brooke, M. de L.] Univ Cambridge, Dept Zool, Cambridge, England</t>
  </si>
  <si>
    <t>Royal Society for Protection of Birds; University of Tasmania; Royal Society for Protection of Birds; University of Cambridge</t>
  </si>
  <si>
    <t>Oppel, S (corresponding author), Royal Soc Protect Birds, RSPB Ctr Conservat Sci, Cambridge, England.</t>
  </si>
  <si>
    <t>steffen.oppel@rspb.org.uk</t>
  </si>
  <si>
    <t>Lavers, Jennifer/O-4831-2017; Oppel, Steffen/H-2771-2019; Lavers, Jennifer/IWM-5417-2023; Bond, Alexander L/A-3786-2010</t>
  </si>
  <si>
    <t>Lavers, Jennifer/0000-0001-7596-6588; Oppel, Steffen/0000-0002-8220-3789;</t>
  </si>
  <si>
    <t>David and Lucile Packard Foundation [40674]; Farallon Islands Foundation [1166]; British Birds; Darwin Initiative [19-028]</t>
  </si>
  <si>
    <t>David and Lucile Packard Foundation(The David &amp; Lucile Packard Foundation); Farallon Islands Foundation; British Birds; Darwin Initiative</t>
  </si>
  <si>
    <t>This work was supported by the David and Lucile Packard Foundation [40674]; Farallon Islands Foundation [1166]; British Birds [NA]; Darwin Initiative [19-028].</t>
  </si>
  <si>
    <t>CSIRO PUBLISHING</t>
  </si>
  <si>
    <t>CLAYTON</t>
  </si>
  <si>
    <t>UNIPARK, BLDG 1, LEVEL 1, 195 WELLINGTON RD, LOCKED BAG 10, CLAYTON, VIC 3168, AUSTRALIA</t>
  </si>
  <si>
    <t>0158-4197</t>
  </si>
  <si>
    <t>1448-5540</t>
  </si>
  <si>
    <t>Emu</t>
  </si>
  <si>
    <t>10.1080/01584197.2017.1292610</t>
  </si>
  <si>
    <t>Ornithology</t>
  </si>
  <si>
    <t>FG8FL</t>
  </si>
  <si>
    <t>WOS:000410664600005</t>
  </si>
  <si>
    <t>Cullen-Knox, C; Eccleston, R; Haward, M; Lester, E; Vince, J</t>
  </si>
  <si>
    <t>Cullen-Knox, Coco; Eccleston, Richard; Haward, Marcus; Lester, Elizabeth; Vince, Joanna</t>
  </si>
  <si>
    <t>Contemporary Challenges in Environmental Governance: Technology, governance and the social licence</t>
  </si>
  <si>
    <t>ENVIRONMENTAL POLICY AND GOVERNANCE</t>
  </si>
  <si>
    <t>social licence; environmental governance; legitimacy; technology</t>
  </si>
  <si>
    <t>NETWORK GOVERNANCE; SCIENCE; POLICY; NGO; SUSTAINABILITY; MEDIA; PERCEPTIONS; LEGITIMACY; EMERGENCE; PROTEST</t>
  </si>
  <si>
    <t>The process through which societal actors can exert direct influence on the behaviour of organizations has gained increasing attention over the past two decades and is increasingly referred to as social licence' or social licence to operate'. This paper documents the rise of social licence and analyses the relationship between information and communication technology (ICT), governance and the social licence. We argue that contemporary social licence and the increasingly prominent role societal actors have in private governance has been facilitated by technological innovation in the fields of media and communications, allowing interest groups to have a far greater reach, and direct interaction and engagement with the public, other interest groups and the industries concerned. Now, a larger population can rapidly contest traditional practices regardless of national borders, the issue concerned or the actors involved. The unpredictable, dynamic and subjective nature of social licence has prompted concerns regarding legitimacy of stakeholders, the information they disseminate and outcomes they promote. Subsequently, in an attempt to maintain political and corporate legitimacy, business interests are demanding more adaptable regulatory regimes. These political dynamics are resulting in the proliferation of network style governance that can adapt and cope with changing information, attitudes, values and beliefs. As a result a new era of experimentation and trialling alternative governance regimes has been born. Copyright (c) 2016 John Wiley &amp; Sons, Ltd and ERP Environment</t>
  </si>
  <si>
    <t>[Cullen-Knox, Coco] Univ Tasmania, Sch Social Sci, Ctr Marine Socioecol, Hobart, Tas, Australia; [Eccleston, Richard] Univ Tasmania, Inst Study Social Change, Hobart, Tas, Australia; [Haward, Marcus] Univ Tasmania, Inst Marine &amp; Antarctic Studies, Hobart, Tas, Australia; [Lester, Elizabeth] Univ Tasmania, Sch Social Sci, Hobart, Tas, Australia; [Vince, Joanna] Univ Tasmania, Sch Social Sci, Launceston, Tas, Australia</t>
  </si>
  <si>
    <t>University of Tasmania; University of Tasmania; University of Tasmania; University of Tasmania; University of Tasmania</t>
  </si>
  <si>
    <t>Cullen-Knox, C (corresponding author), Univ Tasmania, Sch Social Sci, Hobart, Tas, Australia.</t>
  </si>
  <si>
    <t>cullenc@utas.edu.au</t>
  </si>
  <si>
    <t>Vince, Joanna/O-6901-2019; Vince, Joanna Zofia/J-7465-2014; Lester, Libby/J-7148-2014; Haward, Marcus/G-3369-2014</t>
  </si>
  <si>
    <t>Vince, Joanna/0000-0002-4469-7634; Vince, Joanna Zofia/0000-0002-4469-7634; Lester, Libby/0000-0003-1046-2412; Haward, Marcus/0000-0003-4775-0864; Eccleston, Richard/0000-0003-4094-1780</t>
  </si>
  <si>
    <t>WILEY PERIODICALS, INC</t>
  </si>
  <si>
    <t>ONE MONTGOMERY ST, SUITE 1200, SAN FRANCISCO, CA 94104 USA</t>
  </si>
  <si>
    <t>1756-932X</t>
  </si>
  <si>
    <t>1756-9338</t>
  </si>
  <si>
    <t>ENVIRON POLICY GOV</t>
  </si>
  <si>
    <t>Environ. Policy Gov.</t>
  </si>
  <si>
    <t>10.1002/eet.1743</t>
  </si>
  <si>
    <t>Environmental Studies</t>
  </si>
  <si>
    <t>EL7DS</t>
  </si>
  <si>
    <t>WOS:000394781900001</t>
  </si>
  <si>
    <t>Das, K; Malarvannan, G; Dirtu, A; Dulau, V; Dumont, M; Lepoint, G; Mongin, P; Covaci, A</t>
  </si>
  <si>
    <t>Das, Krishna; Malarvannan, Govindan; Dirtu, Alin; Dulau, Violaine; Dumont, Magali; Lepoint, Gilles; Mongin, Philippe; Covaci, Adrian</t>
  </si>
  <si>
    <t>Linking pollutant exposure of humpback whales breeding in the Indian Ocean to their feeding habits and feeding areas off Antarctica</t>
  </si>
  <si>
    <t>ENVIRONMENTAL POLLUTION</t>
  </si>
  <si>
    <t>Baleen whale; Persistent organic pollutants; Stable isotopes; Reunion Island; Indian Ocean</t>
  </si>
  <si>
    <t>PERSISTENT ORGANIC POLLUTANTS; POLYBROMINATED DIPHENYL ETHERS; STABLE-ISOTOPE RATIOS; FINNED PILOT WHALES; ORGANOCHLORINE PESTICIDES; POLYCHLORINATED-BIPHENYLS; TROPHIC RELATIONSHIPS; LIPID EXTRACTION; ADELIE PENGUINS; TRACE-ELEMENTS</t>
  </si>
  <si>
    <t>Humpback whales, Megaptera novaeangliae, breeding off la Reunion Island (Indian Ocean) undergo large-scale seasonal migrations between summer feeding grounds near Antarctica and their reproductive winter grounds in the Indian Ocean. The main scope of the current study was to investigate chemical exposure of humpback whales breeding in the Indian Ocean by providing the first published data on this breeding stock concerning persistent organic pollutants (POPs), namely polychlorinated biphenyls (PCBs), hexachlorobenzene (HCB), hexachlorocyclohexanes (HCHs), DDT and its metabolites (DDTs), chlordane compounds (CHL5), polybrominated diphenyl ethers (PBDEs), and methoxylated PBDEs (MeO-PBDEs). Analyses of stable isotopes delta C-13 and delta N-15 in skin resulted in further insight in their feeding ecology, which was in agreement with a diet focused mainly on low trophic level prey species, such as krill from Antarctica. POPs were measured in all humpback whales in the order of HCB &gt; DDTs &gt; CHLs &gt; HCHs &gt; PCBs &gt; PBDEs &gt; MeO-BDEs. HCB (median: 24 ng g(-1) lw) and DDTs (median: 7.7 ng g(-1) lw) were the predominant compounds in all whale biopsies. Among DDT compounds, p,p'-DDE was the major organohalogenated pollutant, reflecting its long-term accumulation in humpback whales. Significantly lower concentrations of HCB and DDTs were found in females than in males (p &lt; 0.001). Other compounds were similar between the two genders (p &gt; 0.05). Differences in the HCB and DDTs suggested gender-specific transfer of some compounds to the offspring. POP concentrations were lower than previously reported results for humpback whales sampled near the Antarctic Peninsula, suggesting potential influence of their nutritional status and may indicate different exposures of the whales according to their feeding zones. Further investigations are required to assess exposure of southern humpback whales throughout their feeding zones. (C) 2016 Elsevier Ltd. All rights reserved.</t>
  </si>
  <si>
    <t>[Das, Krishna; Dumont, Magali; Lepoint, Gilles] Univ Liege, Lab Oceanol MARE, B-4000 Liege, Belgium; [Malarvannan, Govindan; Dirtu, Alin; Covaci, Adrian] Univ Antwerp, Toxicol Ctr, Univ Pl 1, B-2610 Antwerp, Belgium; [Dirtu, Alin] Alexandru Ioan Cuza Univ, Dept Chem, Iasi 700506, Romania; [Dulau, Violaine] Grp Local Observat &amp; Identificat Cetaces GLOBICE, 30 Chemin Parc Cabris, St Pierre 97410, Reunion, France; [Mongin, Philippe] BNOI ONCFS, Parc Providence, St Denis 97400, Reunion, France</t>
  </si>
  <si>
    <t>University of Liege; University of Antwerp; Alexandru Ioan Cuza University</t>
  </si>
  <si>
    <t>Das, K (corresponding author), Univ Liege, Lab Oceanol MARE, B-4000 Liege, Belgium.</t>
  </si>
  <si>
    <t>krishna.das@ulg.ac.be</t>
  </si>
  <si>
    <t>Covaci, Adrian/A-9058-2008; Das, Krishna/AAB-7273-2020; Das, Krishna/KCJ-7467-2024; Malarvannan, Govindan/A-6264-2014; Lepoint, Gilles/N-4923-2019; DIRTU, Alin Constantin/P-1525-2014</t>
  </si>
  <si>
    <t>Covaci, Adrian/0000-0003-0527-1136; Das, Krishna/0000-0003-2689-3348; Malarvannan, Govindan/0000-0002-2212-8617; Lepoint, Gilles/0000-0003-4375-0357; DIRTU, Alin Constantin/0000-0002-8144-5807</t>
  </si>
  <si>
    <t>DEAL Reunion; BNOI/ONCFS; GLOBICE-Reunion [MC/2009/336]; University of Antwerp; Research Scientific Foundation-Flanders (FWO)</t>
  </si>
  <si>
    <t>DEAL Reunion; BNOI/ONCFS; GLOBICE-Reunion; University of Antwerp; Research Scientific Foundation-Flanders (FWO)(FWO)</t>
  </si>
  <si>
    <t>Biopsy sampling and genetic analysis was funded by DEAL Reunion, BNOI/ONCFS and GLOBICE-Reunion under the permit MC/2009/336 delivered by the French Ministry of the Environment. GM acknowledges the University of Antwerp for a post-doctoral fellowship. KD and GL are F.R.S.-FNRS Research Associates. ACD was a postdoctoral fellowship of the Research Scientific Foundation-Flanders (FWO). The authors thank the four anonymous referees for their valuable comments. This is a MARE publication 344.</t>
  </si>
  <si>
    <t>ELSEVIER SCI LTD</t>
  </si>
  <si>
    <t>THE BOULEVARD, LANGFORD LANE, KIDLINGTON, OXFORD OX5 1GB, OXON, ENGLAND</t>
  </si>
  <si>
    <t>0269-7491</t>
  </si>
  <si>
    <t>1873-6424</t>
  </si>
  <si>
    <t>ENVIRON POLLUT</t>
  </si>
  <si>
    <t>Environ. Pollut.</t>
  </si>
  <si>
    <t>B</t>
  </si>
  <si>
    <t>10.1016/j.envpol.2016.11.032</t>
  </si>
  <si>
    <t>EG0OO</t>
  </si>
  <si>
    <t>WOS:000390732300037</t>
  </si>
  <si>
    <t>Barbaro, E; Padoan, S; Kirchgeorg, T; Zangrando, R; Toscano, G; Barbante, C; Gambaro, A</t>
  </si>
  <si>
    <t>Barbaro, Elena; Padoan, Sara; Kirchgeorg, Torben; Zangrando, Roberta; Toscano, Giuseppa; Barbante, Carlo; Gambaro, Andrea</t>
  </si>
  <si>
    <t>Particle size distribution of inorganic and organic ions in coastal and inland Antarctic aerosol</t>
  </si>
  <si>
    <t>ENVIRONMENTAL SCIENCE AND POLLUTION RESEARCH</t>
  </si>
  <si>
    <t>Aerosol; Antarctica; Ions; Carboxylic acids; Particle size distribution; Sea spray</t>
  </si>
  <si>
    <t>SEA-SALT SULFATE; SOLUBLE DICARBOXYLIC-ACIDS; ATMOSPHERIC AEROSOLS; DUMONT DURVILLE; BOUNDARY-LAYER; MARINE AEROSOL; PACIFIC-OCEAN; DOME-C; CHEMICAL-COMPOSITION; NEUMAYER STATION</t>
  </si>
  <si>
    <t>The concentration and particle-size distribution of ionic species in Antarctic aerosol samples were determined to investigate their potential sources, chemical evolution, and transport. We analyzed aerosol samples collected at two different Antarctic sites: a coastal site near Victoria Land close to the Italian Research Base Mario Zucchelli, and another site located on the Antarctic plateau, close to Italian-French Concordia Research Station. We investigated anionic compounds using ion-chromatography coupled to mass spectrometry, and cationic species through capillary ion chromatography with conductometry. Aerosol collected close to the coast was mainly characterized by sea salt species such as Na+, Mg2+, and SO42-. These species represented a percentage of 88% of the total sum of all detected ionic species in the aerosol samples from the coastal site. These species were mainly distributed in the coarse fraction, confirming the presence of primary aerosol near the ocean source. Aerosol collected over the Antarctic plateau was characterized by high acidity, with nss-SO42-, NO3-, and methanesulfonic acid as the most abundant species. These species were mainly distributed in the &lt; 0.49 mu m fraction, and they had a behavior of a typical secondary aerosol, where several chemical and physical processes occurred.</t>
  </si>
  <si>
    <t>[Barbaro, Elena; Padoan, Sara; Kirchgeorg, Torben; Toscano, Giuseppa; Barbante, Carlo; Gambaro, Andrea] Ca Foscari Univ Venice, Dept Environm Sci Informat &amp; Stat, Via Torino 155, I-30172 Venice, Italy; [Barbaro, Elena; Zangrando, Roberta; Toscano, Giuseppa; Barbante, Carlo; Gambaro, Andrea] CNR, Inst Dynam Environm Proc, Via Torino 155, I-30172 Venice, Italy</t>
  </si>
  <si>
    <t>Universita Ca Foscari Venezia; Consiglio Nazionale delle Ricerche (CNR); Istituto per la Dinamica dei Processi Ambientali (IDPA-CNR)</t>
  </si>
  <si>
    <t>Barbaro, E (corresponding author), Ca Foscari Univ Venice, Dept Environm Sci Informat &amp; Stat, Via Torino 155, I-30172 Venice, Italy.;Barbaro, E (corresponding author), CNR, Inst Dynam Environm Proc, Via Torino 155, I-30172 Venice, Italy.</t>
  </si>
  <si>
    <t>barbaro@unive.it</t>
  </si>
  <si>
    <t>Barbante, Carlo/B-3195-2011; BARBARO, ELENA/AAK-3106-2021; Barbaro, Elena/AAX-8809-2020</t>
  </si>
  <si>
    <t>Barbaro, Elena/0000-0003-2639-7475; PADOAN, SARA/0000-0003-4333-1726; Barbante, Carlo/0000-0003-4177-2288; Kirchgeorg, Torben/0000-0002-5253-8318</t>
  </si>
  <si>
    <t>Italian National Program of Antarctic Research (PNRA) through the project 'Studio delle sorgenti e dei processi di trasferimento dell' aerosol atmosferico antartico' [2009/A2.11]; National Research Council of Italy (Consiglio Nazionale delle Ricerche, CNR)</t>
  </si>
  <si>
    <t>Italian National Program of Antarctic Research (PNRA) through the project 'Studio delle sorgenti e dei processi di trasferimento dell' aerosol atmosferico antartico'; National Research Council of Italy (Consiglio Nazionale delle Ricerche, CNR)</t>
  </si>
  <si>
    <t>This work was financially supported by the Italian National Program of Antarctic Research (PNRA) through the project 'Studio delle sorgenti e dei processi di trasferimento dell' aerosol atmosferico antartico' (no. 2009/A2.11). The research was also supported by the National Research Council of Italy (Consiglio Nazionale delle Ricerche, CNR). The authors thank ELGA LabWater for providing the Pure-Laboratory Option-R and Ultra Analytic, which produced the ultrapure water used in these experiments.</t>
  </si>
  <si>
    <t>SPRINGER HEIDELBERG</t>
  </si>
  <si>
    <t>HEIDELBERG</t>
  </si>
  <si>
    <t>TIERGARTENSTRASSE 17, D-69121 HEIDELBERG, GERMANY</t>
  </si>
  <si>
    <t>0944-1344</t>
  </si>
  <si>
    <t>1614-7499</t>
  </si>
  <si>
    <t>ENVIRON SCI POLLUT R</t>
  </si>
  <si>
    <t>Environ. Sci. Pollut. Res.</t>
  </si>
  <si>
    <t>10.1007/s11356-016-8042-x</t>
  </si>
  <si>
    <t>EN6UL</t>
  </si>
  <si>
    <t>WOS:000396138800051</t>
  </si>
  <si>
    <t>Mangiagalli, M; Bar-Dolev, M; Tedesco, P; Natalello, A; Kaleda, A; Brocca, S; de Pascale, D; Pucciarelli, S; Miceli, C; Braslavsky, I; Lotti, M</t>
  </si>
  <si>
    <t>Mangiagalli, Marco; Bar-Dolev, Maya; Tedesco, Pietro; Natalello, Antonino; Kaleda, Aleksei; Brocca, Stefania; de Pascale, Donatella; Pucciarelli, Sandra; Miceli, Cristina; Braslavsky, Ido; Lotti, Marina</t>
  </si>
  <si>
    <t>Cryo-protective effect of an ice-binding protein derived from Antarctic bacteria</t>
  </si>
  <si>
    <t>FEBS JOURNAL</t>
  </si>
  <si>
    <t>cold adaptation; Euplotes focardii consortium; ice binding protein; ice recrystallization inhibition; thermal hysteresis</t>
  </si>
  <si>
    <t>HYPERACTIVE ANTIFREEZE PROTEIN; RECRYSTALLIZATION INHIBITION; EUPLOTES-FOCARDII; IDENTIFICATION; GLYCOPROTEINS; ADSORPTION; EXPRESSION; GROWTH</t>
  </si>
  <si>
    <t>Cold environments are populated by organisms able to contravene deleterious effects of low temperature by diverse adaptive strategies, including the production of ice binding proteins (IBPs) that inhibit the growth of ice crystals inside and outside cells. We describe the properties of such a protein (EfcIBP) identified in the metagenome of an Antarctic biological consortium composed of the ciliate Euplotes focardii and psychrophilic non-cultured bacteria. Recombinant EfcIBP can resist freezing without any conformational damage and is moderately heat stable, with a midpoint temperature of 66.4 degrees C. Tested for its effects on ice, EfcIBP shows an unusual combination of properties not reported in other bacterial IBPs. First, it is one of the best-performing IBPs described to date in the inhibition of ice recrystallization, with effective concentrations in the nanomolar range. Moreover, EfcIBP has thermal hysteresis activity (0.53 degrees C at 50 mu M) and it can stop a crystal from growing when held at a constant temperature within the thermal hysteresis gap. EfcIBP protects purified proteins and bacterial cells from freezing damage when exposed to challenging temperatures. EfcIBP also possesses a potential N-terminal signal sequence for protein transport and a DUF3494 domain that is common to secreted IBPs. These features lead us to hypothesize that the protein is either anchored at the outer cell surface or concentrated around cells to provide survival advantage to the whole cell consortium.</t>
  </si>
  <si>
    <t>[Mangiagalli, Marco; Natalello, Antonino; Brocca, Stefania; Lotti, Marina] State Univ Milano Bicocca, Dept Biotechnol &amp; Biosci, Piazza Sci 2, I-20126 Milan, Italy; [Bar-Dolev, Maya; Kaleda, Aleksei; Braslavsky, Ido] Hebrew Univ Jerusalem, Inst Biochem Food Sci &amp; Nutr, Robert H Smith Fac Agr Food &amp; Environm, Rehovot, Israel; [Tedesco, Pietro; de Pascale, Donatella] CNR, Inst Prot Biochem, Naples, Italy; [Kaleda, Aleksei] Tallinn Univ Technol, Food Proc Dept, Fac Chem &amp; Mat Technol, Tallinn, Estonia; [Pucciarelli, Sandra; Miceli, Cristina] Univ Camerino, Sch Biosci &amp; Vet Med, Camerino, Italy</t>
  </si>
  <si>
    <t>University of Milano-Bicocca; Hebrew University of Jerusalem; Consiglio Nazionale delle Ricerche (CNR); Istituto di Biochimica delle Proteine (IBP-CNR); Tallinn University of Technology; University of Camerino</t>
  </si>
  <si>
    <t>Lotti, M (corresponding author), State Univ Milano Bicocca, Dept Biotechnol &amp; Biosci, Piazza Sci 2, I-20126 Milan, Italy.</t>
  </si>
  <si>
    <t>marina.lotti@unimib.it</t>
  </si>
  <si>
    <t>Brocca, Stefania/AAE-1299-2021; Dolev, Maya Bar/AAG-7771-2020; Lotti, Marina/AAU-1630-2020; Natalello, Antonino/B-9659-2012; Tedesco, Pietro/AAB-5740-2021; MANGIAGALLI, MARCO/Q-9988-2018; Braslavsky, Ido/O-1859-2013</t>
  </si>
  <si>
    <t>Lotti, Marina/0000-0001-5419-7572; Natalello, Antonino/0000-0002-1489-272X; MANGIAGALLI, MARCO/0000-0001-8211-165X; BROCCA, STEFANIA/0000-0001-7256-4436; Bar Dolev, Maya/0000-0001-8619-8481; Kaleda, Aleksei/0000-0001-9003-130X; Tedesco, Pietro/0000-0003-0165-5386; Braslavsky, Ido/0000-0001-8985-8211</t>
  </si>
  <si>
    <t>Progetto Nazionale di Ricerche in Antartide PEA; ERC; Estonian national scholarship program Kristjan Jaak</t>
  </si>
  <si>
    <t>Progetto Nazionale di Ricerche in Antartide PEA; ERC(European Research Council (ERC)); Estonian national scholarship program Kristjan Jaak</t>
  </si>
  <si>
    <t>This work was supported by a grant of the Progetto Nazionale di Ricerche in Antartide PEA 2014-2016 entitled 'Genome scanning and characterization of novel antifreeze proteins for industrial application' coordinated by DdP and by a grant of ERC to IB. AK acknowledges support by the Estonian national scholarship program Kristjan Jaak. We thank Dr Victor Yashunsky (The Hebrew University of Jerusalem, Israel), and Dr Lior Segev (Weizmann Institute of Science, Israel) for LabVIEW programming and Lotem Haleva for her contribution to TH thermal stability analysis.</t>
  </si>
  <si>
    <t>WILEY</t>
  </si>
  <si>
    <t>HOBOKEN</t>
  </si>
  <si>
    <t>111 RIVER ST, HOBOKEN 07030-5774, NJ USA</t>
  </si>
  <si>
    <t>1742-464X</t>
  </si>
  <si>
    <t>1742-4658</t>
  </si>
  <si>
    <t>FEBS J</t>
  </si>
  <si>
    <t>FEBS J.</t>
  </si>
  <si>
    <t>10.1111/febs.13965</t>
  </si>
  <si>
    <t>EK0FD</t>
  </si>
  <si>
    <t>WOS:000393601200012</t>
  </si>
  <si>
    <t>Kochman-Kedziora, N; Noga, T; Van de Vijver, B; Stanek-Tarkowska, J</t>
  </si>
  <si>
    <t>Kochman-Kedziora, Natalia; Noga, Teresa; Van de Vijver, Bart; Stanek-Tarkowska, Jadwiga</t>
  </si>
  <si>
    <t>A new Muelleria species (Bacillariophyta) from the Maritime Antarctic Region</t>
  </si>
  <si>
    <t>FOTTEA</t>
  </si>
  <si>
    <t>Antarctic Region; diatoms; Ecology Glacier forefield; King George Island; Muelleria; taxonomy</t>
  </si>
  <si>
    <t>SHETLAND ISLANDS</t>
  </si>
  <si>
    <t>During a survey conducted on the soil diatom flora of newly exposed areas due to the retreat of the Ecology Glacier (King George Island, South Shetlands) an unknown Muelleria taxon was observed that could not be identified using the currently available literature. Based on detailed morphological observations using LM and SEM microscopy the unknown taxon has been described as new for science - Muelleria olechiae sp. nov. The new species is characterized in having typically bifurcated terminal raphe fissures, elongated, deflected proximal raphe endings and a lack of canal puncta. It was observed in several soil samples, but always in relatively low abundances.</t>
  </si>
  <si>
    <t>[Kochman-Kedziora, Natalia; Noga, Teresa; Stanek-Tarkowska, Jadwiga] Univ Rzeszow, Fac Biol &amp; Agr, Podkarpackie Innovat Res Ctr Environm, Zelwerowicza 8B, PL-35601 Rzeszow, Poland; [Van de Vijver, Bart] Bot Garden Meise, Dept Bryophytes &amp; Thallophytes, Nieuwelaan 38, B-1860 Meise, Belgium; [Van de Vijver, Bart] Univ Antwerp, Dept Biol, ECOBE, Univ Pl 1, B-2610 Antwerp, Belgium</t>
  </si>
  <si>
    <t>University of Rzeszow; University of Antwerp</t>
  </si>
  <si>
    <t>Kochman-Kedziora, N (corresponding author), Univ Rzeszow, Fac Biol &amp; Agr, Podkarpackie Innovat Res Ctr Environm, Zelwerowicza 8B, PL-35601 Rzeszow, Poland.</t>
  </si>
  <si>
    <t>kochman_natalia@wp.pl</t>
  </si>
  <si>
    <t>Stanek-Tarkowska, Jadwiga/ABC-6198-2021</t>
  </si>
  <si>
    <t>Stanek-Tarkowska, Jadwiga/0000-0003-1664-2625; Noga, Teresa/0000-0002-4864-5620; Kochman-Kedziora, Natalia/0000-0003-1006-1715</t>
  </si>
  <si>
    <t>CZECH PHYCOLOGICAL SOC</t>
  </si>
  <si>
    <t>PRAHA 2</t>
  </si>
  <si>
    <t>BENATSKA 2,, PRAHA 2, CZ-128 01, CZECH REPUBLIC</t>
  </si>
  <si>
    <t>1802-5439</t>
  </si>
  <si>
    <t>Fottea</t>
  </si>
  <si>
    <t>10.5507/fot.2017.003</t>
  </si>
  <si>
    <t>FO0ZM</t>
  </si>
  <si>
    <t>WOS:000416485100009</t>
  </si>
  <si>
    <t>Cai, FL; Ding, L; Yao, W; Laskowski, AK; Xu, Q; Zhang, J; Sein, KI</t>
  </si>
  <si>
    <t>Cai, Fulong; Ding, Lin; Yao, Wei; Laskowski, Andrew K.; Xu, Qiang; Zhang, Ji'en; Sein, Kyaing</t>
  </si>
  <si>
    <t>Provenance and tectonic evolution of Lower Paleozoic-Upper Mesozoic strata from Sibumasu terrane, Myanmar</t>
  </si>
  <si>
    <t>GONDWANA RESEARCH</t>
  </si>
  <si>
    <t>Myanmar; Sibumasu terrane; Detrital zircon dating; Provenance analysis; Paleogeography; Collision</t>
  </si>
  <si>
    <t>TRIASSIC RADIOLARIAN FAUNAS; ARC/BACK-ARC ASSEMBLAGES; ZIRCON U-PB; DETRITAL ZIRCONS; SOUTHEAST-ASIA; HF-ISOTOPES; GEOCHRONOLOGICAL CONSTRAINTS; TIBET IMPLICATIONS; EAST ANTARCTICA; TETHYS OROGEN</t>
  </si>
  <si>
    <t>The provenance of Sibumasu terrane sedimentary rocks and their tectonic relationships with surrounding terranes exposed in Southeast Asia record separation and accretion of Gondwana-derived terranes during Late Paleozoic and Mesozoic time. This paper reports sandstone petrographic and U-Pb detrital zircon geochronologic data from Ordovician to Lower Jurassic strata within the Sibumasu terrane in Shan State, Myanmar. The Ordovician strata are composed of limestone and siltstone. The Lower Silurian Linwe and Upper Silurian Namhism Formations are comprised of limestone, silty sandstone, conglomerate and sandstone, respectively. Sandstones from both Ordovician and Silurian strata are dominated by 567-470 Ma and 982-917 Ma detrital zircons that are interpreted to be sourced from the eastern Gondwana supercontinent. The Carboniferous unit is composed of metasedimentary rocks (phyllite, slate, quartzite, and meta-marl). Sandstones from Carboniferous units show a strong 1165-1070 Ma detrital zircon age peak that is not present in the Ordovician and Silurian strata. These zircon grains were most likely derived from both the Albany-Fraser Province in Southwest Australia and Maud Province in Antarctic. The Upper Triassic to Lower Jurassic, shallow marine Loi-an Group consists of thin-to medium-bedded sandstone and mudstone that unconformably overly the Permian to Middle Triassic Plateau Limestone Group. Sandstones from the Loi-an Group contain abundant Permian to Triassic detrital zircons that are interpreted to have been derived from the Sukhothai Arc of the western Indochina terrane. Formation of this arc is attributed to eastward (present coordinates) subduction of Paleo-Tethyan oceanic lithosphere beneath Indochina. Therefore, we propose that the Sibumasu terrane was juxtaposed against northwestern Australia as part of the Gondwana supercontinent during Paleozoic to Early Permian time. During the Late Triassic and Early Jurassic, Sibumasu strata record an abrupt influx of Permian and Triassic zircon grains, signifying a change in provenance from Gondwana to the Sukhothai Arc. These data are consistent with a tectonic model involving rifting of the Sibumasu terrane from Gondwana and subsequent docking with the Indochina/Simao terranes during Mesozoic time. (C) 2015 International Association for Gondwana Research. Published by Elsevier B.V. All rights reserved.</t>
  </si>
  <si>
    <t>[Cai, Fulong; Ding, Lin; Yao, Wei; Xu, Qiang] Inst Tibetan Plateau Res, Key Lab Continental Collis &amp; Plateau Uplift, Beijing 100101, Peoples R China; [Laskowski, Andrew K.] Univ Arizona, Dept Geosci, Tucson, AZ 85721 USA; [Zhang, Ji'en] Chinese Acad Sci, Inst Geol &amp; Geophys, State Key Lab Lithospher Evolut, Beijing 100029, Peoples R China; [Sein, Kyaing] Myanmar Geosci Soc, Yangon, Myanmar; [Ding, Lin; Yao, Wei; Xu, Qiang] Chinese Acad Sci, Ctr Excellence Tibetan Plateau Earth Sci, Beijing 100101, Peoples R China</t>
  </si>
  <si>
    <t>Chinese Academy of Sciences; Institute of Tibetan Plateau Research, CAS; University of Arizona; Chinese Academy of Sciences; Institute of Geology &amp; Geophysics, CAS; Chinese Academy of Sciences</t>
  </si>
  <si>
    <t>Cai, FL (corresponding author), Inst Tibetan Plateau Res, Key Lab Continental Collis &amp; Plateau Uplift, Beijing 100101, Peoples R China.</t>
  </si>
  <si>
    <t>flcai@itpcas.ac.cn</t>
  </si>
  <si>
    <t>Xu, Qiang/I-9400-2017</t>
  </si>
  <si>
    <t>Laskowski, Andrew/0000-0003-0261-0737; Cai, Fulong/0000-0003-4843-680X</t>
  </si>
  <si>
    <t>Chinese Academy of Sciences [XDB03010402]; National Natural Science Foundation of China [41490610]; Division Of Earth Sciences; Directorate For Geosciences [1338583] Funding Source: National Science Foundation</t>
  </si>
  <si>
    <t>Chinese Academy of Sciences(Chinese Academy of Sciences); National Natural Science Foundation of China(National Natural Science Foundation of China (NSFC)); Division Of Earth Sciences; Directorate For Geosciences(National Science Foundation (NSF)NSF - Directorate for Geosciences (GEO))</t>
  </si>
  <si>
    <t>This study was financially supported by the Strategic Priority Research Program (B) of the Chinese Academy of Sciences (XDB03010402) and National Natural Science Foundation of China (41490610). We are most grateful to Yue Yahui, Song Peiping and Wang Chao for their assistance with laboratory analyses. We thank Win Swe, Soe Naing and Than Zaw for their help in Myanmar. We are grateful to Ian Metcalfe and an anonymous reviewer for their insightful reviews.</t>
  </si>
  <si>
    <t>1342-937X</t>
  </si>
  <si>
    <t>1878-0571</t>
  </si>
  <si>
    <t>GONDWANA RES</t>
  </si>
  <si>
    <t>Gondwana Res.</t>
  </si>
  <si>
    <t>10.1016/j.gr.2015.03.005</t>
  </si>
  <si>
    <t>EQ2BM</t>
  </si>
  <si>
    <t>WOS:000397873300021</t>
  </si>
  <si>
    <t>Cantrill, DJ; Ashworth, AC; Lewis, AR</t>
  </si>
  <si>
    <t>Cantrill, David John; Ashworth, Allan C.; Lewis, Adam R.</t>
  </si>
  <si>
    <t>Megaspores of an early Miocene aquatic lycopod (Isoetales) from Antarctica</t>
  </si>
  <si>
    <t>GRANA</t>
  </si>
  <si>
    <t>Lycopsida; megaspores; Isoetes; Tenellisporites; Antarctica; dry valleys</t>
  </si>
  <si>
    <t>PRINCE-CHARLES-MOUNTAINS; CAPE-ROBERTS PROJECT; VICTORIA-LAND; AMERY GROUP; SEA-LEVEL; CLIMATE; TERTIARY; MORPHOLOGY; VEGETATION; TRANSITION</t>
  </si>
  <si>
    <t>The paucity of late Paleogene and Neogene floras from Antarctica limits our ability to understand the interplay between Antarctic climate evolution and the impact that glaciation had on the vegetation, in particular, how the vegetation changed from temperate Eocene forests, to today's sparse vegetation. Fluvial and lacustrine strata deposited in a wet-based glacial sequence (Friis Hills, McMurdo Dry Valley sector, Transantarctic Mountains) have yielded abundant megaspores. These strata are early Miocene based on correlation with a volcanic ash dated at 19.76 +/- 0.11Ma. The megaspores are up to 736 mu m in diameter with well-developed wing-like laesurae and equatorial zona. The morphology is consistent with extant Isoetes, and demonstrates the presence of Lycopsida and the Isoetaceae within Antarctic Miocene floras. Today, Isoetes is widespread from the Tropics to the Arctic such as Greenland (I. echinospora, I. lacustris) and from marginal marine (I. ekmanii) to high altitudinal environments (I. lechleri), though commonly associated with lacustrine or aquatic environments. The fossil spores occur in fluvial and lacustrine beds, suggesting the parent plants were aquatics. The occurrence together with mosses and Nothofagus leaves points to persistent vegetation in the early Miocene of Antarctica.</t>
  </si>
  <si>
    <t>[Cantrill, David John] Royal Bot Gardens Victoria, Melbourne, Vic, Australia; [Ashworth, Allan C.; Lewis, Adam R.] North Dakota State Univ, Dept Geosci, Fargo, ND USA</t>
  </si>
  <si>
    <t>Melbourne Genomics Health Alliance; North Dakota State University Fargo</t>
  </si>
  <si>
    <t>Cantrill, DJ (corresponding author), Royal Bot Gardens Victoria, Private Bag 2000, South Yarra, Vic 3141, Australia.</t>
  </si>
  <si>
    <t>david.cantrill@rbg.vic.gov.au</t>
  </si>
  <si>
    <t>Cantrill, David/R-1415-2019</t>
  </si>
  <si>
    <t>Cantrill, David/0000-0002-1185-4015</t>
  </si>
  <si>
    <t>Australian National Science Foundation [ANT 0440761, ANT 0739693]</t>
  </si>
  <si>
    <t>Australian National Science Foundation</t>
  </si>
  <si>
    <t>Field and laboratory research was supported by Australian National Science Foundation grants ANT 0440761 (to ACA) and ANT 0739693 (to ACA and ARL).</t>
  </si>
  <si>
    <t>TAYLOR &amp; FRANCIS AS</t>
  </si>
  <si>
    <t>OSLO</t>
  </si>
  <si>
    <t>KARL JOHANS GATE 5, NO-0154 OSLO, NORWAY</t>
  </si>
  <si>
    <t>0017-3134</t>
  </si>
  <si>
    <t>1651-2049</t>
  </si>
  <si>
    <t>Grana</t>
  </si>
  <si>
    <t>10.1080/00173134.2016.1144784</t>
  </si>
  <si>
    <t>EL5HD</t>
  </si>
  <si>
    <t>WOS:000394651300002</t>
  </si>
  <si>
    <t>Natsuike, M; Matsuno, K; Hirawake, T; Yamaguchi, A; Nishino, S; Imai, I</t>
  </si>
  <si>
    <t>Natsuike, Masafumi; Matsuno, Kohei; Hirawake, Toru; Yamaguchi, Atsushi; Nishino, Shigeto; Imai, Ichiro</t>
  </si>
  <si>
    <t>Possible spreading of toxic Alexandrium tamarense blooms on the Chukchi Sea shelf with the inflow of Pacific summer water due to climatic warming</t>
  </si>
  <si>
    <t>HARMFUL ALGAE</t>
  </si>
  <si>
    <t>Alexandrium tamarense; Chukchi sea shelf; Climatic warming; Pacific summer water; Sea ice reduction; Spatial distribution; Temporal distribution</t>
  </si>
  <si>
    <t>COASTAL WATERS; DINOPHYCEAE; LEBOUR; CYSTS; PHYTOPLANKTON; BIOGEOGRAPHY; ABUNDANCE; SEDIMENTS</t>
  </si>
  <si>
    <t>A high abundance of resting cysts of the toxic dinoflagellate Alexandrium tamarense was recently reported in the vast continental shelf of the Chukchi Sea in the Arctic Ocean, suggesting that the species is widespread in the shelf. Nevertheless, little is known about the occurrence of A. tamarense vegetative cells in the water column of the arctic. Sea ice reduction and the inflow of Pacific summer water (PSW) through the Bering Strait have recently increased owing to warming in the shelf. To determine the spatial and temporal distributions of A. tamarense in the Chukchi Sea shelf and their relationship to the inflow of PSW, field samplings were conducted in the Chukchi Sea and north Bering Sea shelves three times during the summer of 2013 from July to October. Vegetative cells of A. tamarense was detected in both shelves at all sampling periods with a maximum density of 3.55 x 10(3) cells L-1. This species was also observed at the station at 73 degrees N, indicating the northernmost record of this species to date. The center of the A. tamarense distribution was between the north Bering and south Chukchi Sea shelf during the first collection period, and spread to the north Chukchi Sea shelf during the second and third collection periods. The species occurrences were mainly observed at stations affected by the PSW, especially Bering shelf water. Water structure of PSW was characterized by warmer surface and bottom water temperatures, and increased temperatures may have promoted the cell growth and cyst germination of A. tamarense. Therefore, it is suggested that an increase in the PSW inflow owing to warming promotes toxic A. tamarense occurrences on the Chukchi Sea shelf. (C) 2016 Elsevier B.V. All rights reserved.</t>
  </si>
  <si>
    <t>[Natsuike, Masafumi; Hirawake, Toru; Yamaguchi, Atsushi; Imai, Ichiro] Hokkaido Univ, Grad Sch Fisheries Sci, 3-1-1 Minato Cho, Hakodate, Hokkaido 0418611, Japan; [Matsuno, Kohei] Australian Antarctic Div, 203 Channel Highway, Kingston, Tas 7050, Australia; [Nishino, Shigeto] Japan Agcy Marine Earth Sci &amp; Technol, 2-15 Natsushima Cho, Yokosuka, Kanagawa 2370061, Japan; [Natsuike, Masafumi] Tokyo Inst Technol, Sch Environm Engn, Meguro Ku, 2-12-1-M1-4 Ookayama, Tokyo 1528552, Japan</t>
  </si>
  <si>
    <t>Hokkaido University; Australian Antarctic Division; Japan Agency for Marine-Earth Science &amp; Technology (JAMSTEC); Tokyo Institute of Technology</t>
  </si>
  <si>
    <t>Natsuike, M (corresponding author), Hokkaido Univ, Grad Sch Fisheries Sci, 3-1-1 Minato Cho, Hakodate, Hokkaido 0418611, Japan.;Natsuike, M (corresponding author), Tokyo Inst Technol, Sch Environm Engn, Meguro Ku, 2-12-1-M1-4 Ookayama, Tokyo 1528552, Japan.</t>
  </si>
  <si>
    <t>natsuike.m.aa@m.titech.ac.jp</t>
  </si>
  <si>
    <t>Yamaguchi, Atsushi/0000-0002-5646-3608; Matsuno, Kohei/0000-0001-9793-7622; Hirawake, Toru/0000-0003-0274-6642; NISHINO, Shigeto/0000-0002-0560-241X</t>
  </si>
  <si>
    <t>GRENE Arctic Climate Change Research Project</t>
  </si>
  <si>
    <t>The authors thank M. Yamaguchi for advice on the manuscript as well as the crews and captains of the VS Oshoro-Maru and the R/V Mirai for assistance with field sampling. This study was supported by the GRENE Arctic Climate Change Research Project.[SS]</t>
  </si>
  <si>
    <t>1568-9883</t>
  </si>
  <si>
    <t>1878-1470</t>
  </si>
  <si>
    <t>Harmful Algae</t>
  </si>
  <si>
    <t>10.1016/j.hal.2016.11.019</t>
  </si>
  <si>
    <t>Marine &amp; Freshwater Biology</t>
  </si>
  <si>
    <t>EJ0HU</t>
  </si>
  <si>
    <t>WOS:000392890000009</t>
  </si>
  <si>
    <t>Engelbrecht, A; Mörs, T; Reguero, MA; Kriwet, J</t>
  </si>
  <si>
    <t>Engelbrecht, Andrea; Mors, Thomas; Reguero, Marcelo A.; Kriwet, Jurgen</t>
  </si>
  <si>
    <t>A new sawshark, Pristiophorus laevis, from the Eocene of Antarctica with comments on Pristiophorus lanceolatus</t>
  </si>
  <si>
    <t>HISTORICAL BIOLOGY</t>
  </si>
  <si>
    <t>Seymour Island; Palaeogene; Southern Ocean; Pristiophoridae; new taxon</t>
  </si>
  <si>
    <t>LA MESETA FORMATION; SEYMOUR-ISLAND; ORDER SELACHII; DIVERSITY; FOSSIL; CHONDRICHTHYES; MAMMALS; RECORD</t>
  </si>
  <si>
    <t>The highly fossiliferous Eocene deposits of the Antarctic Peninsula are among the most productive sites for fossil remains in the Southern Hemisphere and offer rare insights into high-latitude faunas during the Palaeogene. Chondrichthyans, which are represented by abundant isolated remains, seemingly dominate the marine assemblages. Eocene Antarctic sawsharks have only been known from few isolated rostral spines up to now, that were assigned to Pristiophorus lanceolatus. Here, we present the first oral teeth of a sawshark from the Eocene of Seymour Island and a re-evaluation of previously described Pristiophorus remains from Gondwana consisting exclusively of rostral spines. The holotype of Pristiophorus lanceolatus represents a single, abraded and insufficiently illustrated spine from the Oligocene of New Zealand. All other Cenozoic rostral spines assigned to this species are morphologically very indistinct and closely resemble those of living taxa. Consequently, we regard this species as dubious and introduce a new species, Pristiophorus laevis, based on oral teeth. The combination of dental characteristics of the new species makes it unique compared to all other described species based on oral teeth. Rostral spines from the Eocene of Seymour Island are assigned to this new species whereas those from other Cenozoic Gondwana localities remain ambiguous. LSID urn:lsid:zoobank.org:pub:7177A373-527B-4315-85F6-25180DB5E087</t>
  </si>
  <si>
    <t>[Engelbrecht, Andrea; Kriwet, Jurgen] Univ Vienna, Dept Palaeontol, Fac Earth Sci Geog &amp; Astron, Vienna, Austria; [Mors, Thomas] Swedish Museum Nat Hist, Dept Palaeobiol, Stockholm, Sweden; [Reguero, Marcelo A.] Consejo Nacl Invest Cient &amp; Tecn, Museo La Plata, Div Paleontol Vertebrados, La Plata, Buenos Aires, Argentina</t>
  </si>
  <si>
    <t>University of Vienna; Swedish Museum of Natural History; National University of La Plata; Museo La Plata; Consejo Nacional de Investigaciones Cientificas y Tecnicas (CONICET)</t>
  </si>
  <si>
    <t>Engelbrecht, A (corresponding author), Univ Vienna, Dept Palaeontol, Fac Earth Sci Geog &amp; Astron, Vienna, Austria.</t>
  </si>
  <si>
    <t>andrea.engelbrecht@univie.ac.at</t>
  </si>
  <si>
    <t>Reguero, Marcelo A./JHS-4893-2023</t>
  </si>
  <si>
    <t>Kriwet, Jurgen/0000-0002-6439-8455; Engelbrecht, Andrea/0000-0002-4430-452X</t>
  </si>
  <si>
    <t>Austrian Science Fund [FWF] [P26465-B25]; Swedish Research Council [VR] [2009-4447]; Consejo Nacional de Investigaciones Cientificas y Tecnicas [CONICET] [PIP 0462]; Argentinian National Agency for Promotion of Science and Technology [ANPCyT] [PICTO 0093/2010]; Austrian Science Fund (FWF) [P26465] Funding Source: Austrian Science Fund (FWF); Austrian Science Fund (FWF) [P 26465] Funding Source: researchfish</t>
  </si>
  <si>
    <t>Austrian Science Fund [FWF](Austrian Science Fund (FWF)); Swedish Research Council [VR](Swedish Research Council); Consejo Nacional de Investigaciones Cientificas y Tecnicas [CONICET](Consejo Nacional de Investigaciones Cientificas y Tecnicas (CONICET)); Argentinian National Agency for Promotion of Science and Technology [ANPCyT]; Austrian Science Fund (FWF)(Austrian Science Fund (FWF)); Austrian Science Fund (FWF)(Austrian Science Fund (FWF))</t>
  </si>
  <si>
    <t>This work was supported by The Austrian Science Fund [FWF grant number P26465-B25] to J.K.; the Swedish Research Council [VR grant number 2009-4447] to T.M.; the Consejo Nacional de Investigaciones Cientificas y Tecnicas [CONICET grant number PIP 0462] to M.R.; and the Argentinian National Agency for Promotion of Science and Technology [ANPCyT grant number PICTO 0093/2010] to M.R.</t>
  </si>
  <si>
    <t>0891-2963</t>
  </si>
  <si>
    <t>1029-2381</t>
  </si>
  <si>
    <t>HIST BIOL</t>
  </si>
  <si>
    <t>Hist. Biol.</t>
  </si>
  <si>
    <t>10.1080/08912963.2016.1252761</t>
  </si>
  <si>
    <t>Biology; Paleontology</t>
  </si>
  <si>
    <t>Life Sciences &amp; Biomedicine - Other Topics; Paleontology</t>
  </si>
  <si>
    <t>EX2YG</t>
  </si>
  <si>
    <t>WOS:000403096800011</t>
  </si>
  <si>
    <t>Freidman, BL; Gras, SL; Snape, I; Stevens, GW; Mumford, KA</t>
  </si>
  <si>
    <t>Freidman, Benjamin L.; Gras, Sally L.; Snape, Ian; Stevens, Geoff W.; Mumford, Kathryn A.</t>
  </si>
  <si>
    <t>A bio-reactive barrier sequence for petroleum hydrocarbon capture and degradation in low nutrient environments</t>
  </si>
  <si>
    <t>INTERNATIONAL BIODETERIORATION &amp; BIODEGRADATION</t>
  </si>
  <si>
    <t>Granular activated carbon; Ammonium; Biofilm; Desorption; Bio-reactive</t>
  </si>
  <si>
    <t>CASEY STATION; ACTIVATED CARBON; REMEDIATION; ADSORPTION; WATER; REMOVAL</t>
  </si>
  <si>
    <t>Sequenced permeable reactive barriers, containing materials for nutrient release and petroleum hydrocarbon adsorption, can promote biofilm formation and enhance biodegradation in low nutrient, cold environments. This study characterised the degree of biofilm formation and biodegradation of Antarctic diesel within laboratory scale permeable reactive barriers, containing ammonium exchanged zeolite for ammonium release onto a granular activated carbon bed. The adsorption of Antarctic diesel on the granular activated carbon bed resulted in low cell growth on the surface of the carbon, with biodegradation indices revealing limited access to and degradation of compounds adsorbed on the granular activated carbon bed. Under Antarctic soil water conditions, where nutrient supply is low, increased granular activated carbon porosity was not shown to enhance biofilm formation. Where exhaustion of the adsorptive material wad observed, desorption of naphthalene and dodecane followed, leading to biofilm formation and petroleum hydrocarbon degradation on the surface of the material. This study has important implications for bio-reactive material selection, and the sequencing of materials within these barriers and other water treatment applications. (C) 2016 Elsevier Ltd. All rights reserved.</t>
  </si>
  <si>
    <t>[Freidman, Benjamin L.; Gras, Sally L.; Stevens, Geoff W.; Mumford, Kathryn A.] Univ Melbourne, Dept Chem &amp; Biomol Engn, Particulate Fluids Proc Ctr, Melbourne, Vic 3010, Australia; [Freidman, Benjamin L.; Gras, Sally L.] Univ Melbourne, Mol Sci &amp; Biotechnol Inst Bio21, Melbourne, Vic 3010, Australia; [Snape, Ian] Australian Antarctic Div, Kingston, Tas 7050, Australia; [Gras, Sally L.] Univ Melbourne, ARC Dairy Innovat Hub, Melbourne, Vic 3010, Australia</t>
  </si>
  <si>
    <t>University of Melbourne; Melbourne Bioinformatics; University of Melbourne; Melbourne Bioinformatics; Australian Antarctic Division; University of Melbourne; Melbourne Genomics Health Alliance</t>
  </si>
  <si>
    <t>Mumford, KA (corresponding author), Univ Melbourne, Bldg 165, Parkville, Vic 3010, Australia.</t>
  </si>
  <si>
    <t>mumfordk@unimelb.edu.au</t>
  </si>
  <si>
    <t>Gras, Sally L/G-2025-2014; Mumford, Kathryn/M-6566-2015</t>
  </si>
  <si>
    <t>Gras, Sally L/0000-0002-4660-1245; Stevens, Geoffrey/0000-0002-5788-4682; Mumford, Kathryn/0000-0002-7056-5600</t>
  </si>
  <si>
    <t>Australian Antarctic Science [4029, 4036]; Particulate Fluids Processing Centre (PFPC) at The University of Melbourne; ARC Dairy Innovation Hub [IH120100005]</t>
  </si>
  <si>
    <t>Australian Antarctic Science; Particulate Fluids Processing Centre (PFPC) at The University of Melbourne; ARC Dairy Innovation Hub(Australian Research Council)</t>
  </si>
  <si>
    <t>The authors acknowledge the financial support of Australian Antarctic Science Projects 4029 and 4036, as well as the Particulate Fluids Processing Centre (PFPC) at The University of Melbourne. We extend our thanks to Greg Hince and Lauren Wise at the Australian Antarctic Division for processing the TPH data and Simon Crawford at The University of Melbourne for FESEM sample preparation. Sally Gras is supported by The ARC Dairy Innovation Hub (IH120100005).</t>
  </si>
  <si>
    <t>0964-8305</t>
  </si>
  <si>
    <t>1879-0208</t>
  </si>
  <si>
    <t>INT BIODETER BIODEGR</t>
  </si>
  <si>
    <t>Int. Biodeterior. Biodegrad.</t>
  </si>
  <si>
    <t>10.1016/j.ibiod.2016.09.025</t>
  </si>
  <si>
    <t>Biotechnology &amp; Applied Microbiology; Environmental Sciences</t>
  </si>
  <si>
    <t>Biotechnology &amp; Applied Microbiology; Environmental Sciences &amp; Ecology</t>
  </si>
  <si>
    <t>EF7GS</t>
  </si>
  <si>
    <t>WOS:000390498700004</t>
  </si>
  <si>
    <t>Kondrik, D; Pozdnyakov, D; Pettersson, L</t>
  </si>
  <si>
    <t>Kondrik, Dmitry; Pozdnyakov, Dmitry; Pettersson, Lasse</t>
  </si>
  <si>
    <t>Particulate inorganic carbon production within E-huxleyi blooms in subpolar and polar seas: a satellite time series study (1998-2013)</t>
  </si>
  <si>
    <t>INTERNATIONAL JOURNAL OF REMOTE SENSING</t>
  </si>
  <si>
    <t>COCCOLITHOPHORE EMILIANIA-HUXLEYI; CENTRAL NORTH-ATLANTIC; OPTICAL-PROPERTIES; BERING-SEA; OCEAN; VARIABILITY; WATERS; GULF; CHLOROPHYLL; HYDROGRAPHY</t>
  </si>
  <si>
    <t>Making use of the OC CCI (Ocean Colour Climate Change Initiative) satellite data, and based on the developed both Emiliania huxleyi bloom contouring methodologies and binary masks, areas of coccolithophore growth were distinguished without supervision from locations of mass developments of other algae. On these grounds, and employing special processing algorithms, multi-year time series of variations in occurrence, surficial extent, and content of particulate inorganic carbon (PIC) within E. huxleyi blooming areas in the North, Norwegian, Greenland, Barents, and Bering Seas were obtained for the time period 1998-2013. Analysis of algorithmic processing of the OC CCI data permitted to reveal the spatio-temporal sequence of E. huxleyi blooming events in the above seas of the North Atlantic and Arctic Oceans. During the intra-annual cycle, E. huxleyi blooms advance from temperate to higher latitudes along the pathways of the Gulf Stream propagation to the north. Annually, the blooms arise in the vicinity of the Great Britain southern extremity, and further on move northward along the western coast of this Island Country, round it to eventually appear first in the North and Norwegian Seas (in early June), then in the Greenland Sea (in late June), and finally in the Barents Sea (in late July-early September). The regularities in dates of bloom outbreak and their duration are revealed. The bloom areas in the North Atlantic-Arctic water are the lowest in the Greenland Sea (10,000-30,000km(2)) and by an order of magnitude higher in the Barents Sea. The same pattern holds for the total PIC content within E. huxleyi blooms: 400t-14kt in the Greenland Sea and about 0.35Mt in the Barents Sea. In the Bering Sea, the temporal and spatial dynamics of E. huxleyi development proved to be highly irregular: before and after the 1997-2001 period of high intensity of this phenomenon, the blooms are sporadic, their extent and PIC production are either very low or insignificant. Regarding the range of E. huxleyi bloom areas in the Bering Sea during 1997-2001, it is rather similar to that of the Barents Sea. However, the PIC content in the Bering Sea, as compared to that in the Barents Sea, is higher by a factor of about two with maximum values reaching 0.4Mt and, on one occasion (in 2001), even about 0.7Mt.</t>
  </si>
  <si>
    <t>[Kondrik, Dmitry] Nansen Int Environm &amp; Remote Sensing Ctr NIERSC, Aquat Ecosyst, St Petersburg, Russia; [Kondrik, Dmitry; Pozdnyakov, Dmitry] Arctic &amp; Antarctic Res Inst AARI, Dept Oceanog, St Petersburg, Russia; [Pozdnyakov, Dmitry; Pettersson, Lasse] Nansen Environm &amp; Remote Sensing Ctr NERSC, Ocean &amp; Coastal Remote Sensing, Bergen, Norway</t>
  </si>
  <si>
    <t>Arctic &amp; Antarctic Research Institute; Nansen Environmental &amp; Remote Sensing Center (NERSC)</t>
  </si>
  <si>
    <t>Kondrik, D (corresponding author), Nansen Int Environm &amp; Remote Sensing Ctr NIERSC, St Petersburg, Russia.</t>
  </si>
  <si>
    <t>dmitry.kondrik@niersc.spb.ru</t>
  </si>
  <si>
    <t>Kondrik, Dmitry/W-2455-2019; Pettersson, Lasse Herbert/AAM-9908-2020</t>
  </si>
  <si>
    <t>Kondrik, Dmitry/0000-0002-4032-4662; Pettersson, Lasse/0000-0002-6005-7514</t>
  </si>
  <si>
    <t>Russian Science Foundation (RSF) [17-17-01117]; Russian Science Foundation [17-17-01117] Funding Source: Russian Science Foundation</t>
  </si>
  <si>
    <t>Russian Science Foundation (RSF)(Russian Science Foundation (RSF)); Russian Science Foundation(Russian Science Foundation (RSF))</t>
  </si>
  <si>
    <t>This work was supported by the Russian Science Foundation (RSF) under two projects number: [Grant Number 17-17-01117].</t>
  </si>
  <si>
    <t>0143-1161</t>
  </si>
  <si>
    <t>1366-5901</t>
  </si>
  <si>
    <t>INT J REMOTE SENS</t>
  </si>
  <si>
    <t>Int. J. Remote Sens.</t>
  </si>
  <si>
    <t>10.1080/01431161.2017.1350304</t>
  </si>
  <si>
    <t>Remote Sensing; Imaging Science &amp; Photographic Technology</t>
  </si>
  <si>
    <t>FC0RJ</t>
  </si>
  <si>
    <t>WOS:000406546100003</t>
  </si>
  <si>
    <t>Montecino, HDC; Ferreira, VG; Cuevas, A; Cabrera, LC; Baez, JCS; de Freitas, SRC</t>
  </si>
  <si>
    <t>Montecino, Henry D. C.; Ferreira, Vagner G.; Cuevas, Aharon; Castro Cabrera, Leoncio; Soto Baez, Juan Carlos; de Freitas, Silvio R. C.</t>
  </si>
  <si>
    <t>Vertical deformation and sea level changes in the coast of Chile by satellite altimetry and tide gauges</t>
  </si>
  <si>
    <t>GLACIAL ISOSTATIC-ADJUSTMENT; CRUSTAL MOTIONS; GPS; EARTHQUAKES; GEODESY; MODEL; TOPEX; FIELD</t>
  </si>
  <si>
    <t>Located at the intersection of the triple junction between the Nazca, South American, and Antarctic plates, the Chilean territory is subject to active lithospheric deformations and seismicity. Taking the difference between the satellite altimetry (ALT) data that give the absolute sea level variation and the tide gauge (TG) observations that record the relative sea level variation, we computed the absolute vertical crustal motion of the TG sites. We used 11 TG stations along the Chilean coast and altimeter measurements from multi-satellite missions (Topex, Jason-1 (A), and Jason-2) in nearby waters. The ALT-TG vertical deformations were compared with trends obtained from GPS measurements, which showed good consistency in terms of a correlation coefficient of about 0.9 (in 8 of 11 stations). Our results reveal that the behaviour of the long-term vertical deformations along the Chilean coast presented an important spatial variability. We also estimated the sea level change (SLC) through a multivariate model involving linear trend and decadal and inter-decadal climatic influence; in addition, the glacial isostatic adjustment effect was also removed. Our estimation of the SLC in the Chilean coast revealed an overall increase in sea level. The sea level in Chile does not strictly follow the global trend of the past two decades (similar to 3 mm year(-1)), but rather a slight agreement (from 1.2 to 0.6 mm year-(1)) from Arica up to Puerto Montt approximately, with the exception of PTAR and PWIL TGs, where we found a decrease of-0.9 and-0.8 mm year(-1), respectively.</t>
  </si>
  <si>
    <t>[Montecino, Henry D. C.; Cuevas, Aharon; Castro Cabrera, Leoncio] Univ Concepcion, Dept Geodet Sci &amp; Geomat, Los Angeles, Chile; [Montecino, Henry D. C.; de Freitas, Silvio R. C.] Univ Fed Parana, Geodet Sci Grad Course, Curitiba, Parana, Brazil; [Ferreira, Vagner G.] Hohai Univ, Sch Earth Sci &amp; Engn, Jiangning Campus,8th Focheng Xilu Rd, Nanjing 211100, Jiangsu, Peoples R China; [Soto Baez, Juan Carlos] Univ Chile, Natl Seismol Ctr, Santiago, Chile</t>
  </si>
  <si>
    <t>Universidad de Concepcion; Universidade Federal do Parana; Hohai University; Universidad de Chile</t>
  </si>
  <si>
    <t>Ferreira, VG (corresponding author), Hohai Univ, Sch Earth Sci &amp; Engn, Jiangning Campus,8th Focheng Xilu Rd, Nanjing 211100, Jiangsu, Peoples R China.</t>
  </si>
  <si>
    <t>vagnergf@hhu.edu.cn</t>
  </si>
  <si>
    <t>Ferreira, Vagner/G-7486-2012; Baez, Juan Carlos/HZL-8644-2023; Montecino, Henry/AAG-1872-2019; Baez, Juan/KEH-4235-2024; Cabrera, Leoncio/IWM-6725-2023; DE FREITAS, SILVIO R C/K-1068-2013</t>
  </si>
  <si>
    <t>Ferreira, Vagner/0000-0003-2209-9921; Baez, Juan Carlos/0000-0002-7265-7402; Montecino, Henry/0000-0002-1795-8720; Cabrera, Leoncio/0000-0001-9401-2608; Cuevas, Aharon/0000-0002-1429-4068</t>
  </si>
  <si>
    <t>CNPq [306936/2015-1]; National Natural Science Foundation of China [41574001]</t>
  </si>
  <si>
    <t>CNPq(Conselho Nacional de Desenvolvimento Cientifico e Tecnologico (CNPQ)); National Natural Science Foundation of China(National Natural Science Foundation of China (NSFC))</t>
  </si>
  <si>
    <t>The author Silvio De Freitas would like to thank the CNPq Process 306936/2015-1. Vagner G. Ferreira was partially supported by the National Natural Science Foundation of China [Grant No. 41574001].</t>
  </si>
  <si>
    <t>10.1080/01431161.2017.1288306</t>
  </si>
  <si>
    <t>FJ2HZ</t>
  </si>
  <si>
    <t>WOS:000412547100006</t>
  </si>
  <si>
    <t>Coster, AJ; Erickson, PJ; Foster, JC; Thomas, EG; Ruohoniemi, JM; Baker, J</t>
  </si>
  <si>
    <t>FullerRowell, T; Yizengaw, E; Doherty, PH; Basu, S</t>
  </si>
  <si>
    <t>Coster, Anthea J.; Erickson, Philip J.; Foster, John C.; Thomas, Evan G.; Ruohoniemi, J. Michael; Baker, Joseph</t>
  </si>
  <si>
    <t>Solar Cycle 24 Observations of Storm-Enhanced Density and the Tongue of Ionization</t>
  </si>
  <si>
    <t>IONOSPHERIC SPACE WEATHER: LONGITUDE AND HEMISPHERIC DEPENDENCES AND LOWER ATMOSPHERE FORCING</t>
  </si>
  <si>
    <t>Geophysical Monograph Book Series</t>
  </si>
  <si>
    <t>geomagnetic storms; total electron content; storm enhanced density; tongue of ionization</t>
  </si>
  <si>
    <t>SUBAURORAL POLARIZATION STREAM; TOTAL ELECTRON-CONTENT; MAGNETIC STORM; ART.; DEPENDENCE; CONVECTION; DYNAMICS</t>
  </si>
  <si>
    <t>Storm-enhanced density (SED) plumes form in the ionosphere and plasmasphere at midlatitudes during geomagnetically disturbed conditions. In some cases, ionospheric plasma in the storm-enhanced density (SED) plume becomes entrained in expanded polar cap convection patterns and enters the polar cap through the cusp region to form the tongue of ionization (TOI). The recent addition of several GPS receivers in the Antarctic has led to improvements in TEC spatial coverage in the Southern Hemisphere. In addition, new tools have been developed for merging Super Dual Auroral Network (SuperDARN) observations of decameter scale irregularities with GPS-derived total electron content (TEC) data. This paper will review these new merged data sets and will present a selection of SED and TOI observations from the years 2009, 2012, and 2013 during the current solar cycle 24. The particular SED/ TOI observational cases presented represent characteristic longitudinal, hemispherical, and seasonal differences observed during both quiet (2009) and moderate (2012, 2013) solar-flux conditions. The denser observational coverage of GPS receivers during this current solar cycle, especially in Antarctica, allows for better comparisons of SED features in the two hemispheres, and allows conclusions to be drawn about key TEC longitude, hemisphere, and seasonal patterns. Key Points: Summary of storm enhanced density features as a function of season, hemisphere, time of day, solar cycle.</t>
  </si>
  <si>
    <t>[Coster, Anthea J.; Erickson, Philip J.; Foster, John C.] MIT, Haystack Observ, Westford, MA 01886 USA; [Thomas, Evan G.; Ruohoniemi, J. Michael; Baker, Joseph] Virginia Tech, Bradley Dept Elect &amp; Comp Engn, Blacksburg, VA USA</t>
  </si>
  <si>
    <t>Massachusetts Institute of Technology (MIT); Virginia Polytechnic Institute &amp; State University</t>
  </si>
  <si>
    <t>Coster, AJ (corresponding author), MIT, Haystack Observ, Westford, MA 01886 USA.</t>
  </si>
  <si>
    <t>Thomas, Evan G/B-3921-2017; Erickson, Philip J/N-6853-2018</t>
  </si>
  <si>
    <t>Foster, John/0000-0002-1993-241X</t>
  </si>
  <si>
    <t>0065-8448</t>
  </si>
  <si>
    <t>978-1-1189-2922-3; 978-1-118-92920-9</t>
  </si>
  <si>
    <t>GEOPHYS MONOGR SER</t>
  </si>
  <si>
    <t>10.1002/9781118929216</t>
  </si>
  <si>
    <t>Geochemistry &amp; Geophysics; Meteorology &amp; Atmospheric Sciences</t>
  </si>
  <si>
    <t>BL2WR</t>
  </si>
  <si>
    <t>WOS:000449383900007</t>
  </si>
  <si>
    <t>Kusahara, K; Hasumi, H; Fraser, AD; Aoki, S; Shimada, K; Williams, GD; Massom, R; Tamura, T</t>
  </si>
  <si>
    <t>Kusahara, Kazuya; Hasumi, Hiroyasu; Fraser, Alexander D.; Aoki, Shigeru; Shimada, Keishi; Williams, Guy D.; Massom, Robert; Tamura, Takeshi</t>
  </si>
  <si>
    <t>Modeling Ocean-Cryosphere Interactions off Adelie and George V Land, East Antarctica</t>
  </si>
  <si>
    <t>JOURNAL OF CLIMATE</t>
  </si>
  <si>
    <t>MERTZ GLACIER POLYNYA; DENSE WATER FORMATION; SEA-ICE PRODUCTION; BASAL MELT RATES; MASS-BALANCE; CLIMATE CHANGES; BOTTOM WATER; SHELF; CIRCULATION; VARIABILITY</t>
  </si>
  <si>
    <t>Ocean-cryosphere interactions along the Adelie and George V Land (AGVL) coast are investigated using a coupled ocean-sea ice-ice shelf model. The dominant feature of the Mertz Glacier Tongue (MGT), located at approximately 145 degrees E, was a highly productive winter coastal polynya system, until its calving in February 2010 dramatically changed the regional icescape.'' This study examines the annual mean, seasonal, and interannual variabilities of sea ice production; basal melting of the MGT; ice shelves, large icebergs, and fast ice; Dense Shelf Water (DSW) export; and bottom water properties on the continental slope and rise, and assesses the impacts of the calving event. The interannual variability of the winter coastal polynya regime is dominated by the regional offshore winds and air temperature, which are linked to activity of the Amundsen Sea low pressure system. This is the main driver of the interannual variability of DSW exported from the AGVL region. The calving event led to a decrease in sea ice production that resulted in a decrease in the density of DSW export. Subsequently, there is extensive freshening downstream over the continental shelf and slope regions. In addition, it is found that the calving event causes a significant decrease in the mean melt rate of the MGT, resulting from a decrease in ocean heat flux into the cavity due to ocean circulation changes.</t>
  </si>
  <si>
    <t>[Kusahara, Kazuya; Fraser, Alexander D.; Williams, Guy D.; Massom, Robert; Tamura, Takeshi] Univ Tasmania, Antarctic Climate &amp; Ecosyst Cooperat Res Ctr, Private Bag 80, Hobart, Tas 7001, Australia; [Hasumi, Hiroyasu] Univ Tokyo, Atmosphere &amp; Ocean Res Inst, Kashiwa, Chiba, Japan; [Fraser, Alexander D.; Aoki, Shigeru] Hokkaido Univ, Inst Low Temp Sci, Sapporo, Hokkaido, Japan; [Shimada, Keishi] Tokyo Univ Marine Sci &amp; Technol, Tokyo, Japan; [Williams, Guy D.] Univ Tasmania, Inst Marine &amp; Antarct Studies, Hobart, Tas, Australia; [Massom, Robert] Australian Antarctic Div, Kingston, Tas, Australia; [Tamura, Takeshi] Natl Inst Polar Res, Tachikawa, Tokyo, Japan; [Tamura, Takeshi] Grad Univ Adv Studies SOKENDAI, Tachikawa, Tokyo, Japan</t>
  </si>
  <si>
    <t>University of Tasmania; Antarctic Climate &amp; Ecosystems Cooperative Research Centre (ACE CRC); University of Tokyo; Hokkaido University; Tokyo University of Marine Science &amp; Technology; University of Tasmania; Australian Antarctic Division; Research Organization of Information &amp; Systems (ROIS); National Institute of Polar Research (NIPR) - Japan; Graduate University for Advanced Studies - Japan</t>
  </si>
  <si>
    <t>Kusahara, K (corresponding author), Univ Tasmania, Antarctic Climate &amp; Ecosyst Cooperat Res Ctr, Private Bag 80, Hobart, Tas 7001, Australia.</t>
  </si>
  <si>
    <t>kazuya.kusahara@gmail.com</t>
  </si>
  <si>
    <t>Aoki, Shigeru/D-9105-2012; Fraser, Alexander/AFO-7186-2022</t>
  </si>
  <si>
    <t>Fraser, Alexander/0000-0003-1924-0015; Kusahara, Kazuya/0000-0003-4067-7959; Massom, Robert/0000-0003-1533-5084</t>
  </si>
  <si>
    <t>Australian Government's Antarctic Cooperative Research Centre Programme through the ACE CRC; Canon Foundation; Grant for Joint Research Program of the Institute of Low Temperature Science, Hokkaido University; AAS Project [4116]; Japan Society for the Promotion of Science (JSPS) [25887001]; JSPS KAKENHI [26247080, 13F03748, 25281001, 26740007]; Australian Research Council; Grants-in-Aid for Scientific Research [26740007, 25281001, 26247080, 17H04710, 13F03748, 15H02131, 25887001] Funding Source: KAKEN</t>
  </si>
  <si>
    <t>Australian Government's Antarctic Cooperative Research Centre Programme through the ACE CRC(Australian GovernmentDepartment of Industry, Innovation and ScienceCooperative Research Centres (CRC) Programme); Canon Foundation(Canon Foundation); Grant for Joint Research Program of the Institute of Low Temperature Science, Hokkaido University; AAS Project; Japan Society for the Promotion of Science (JSPS)(Ministry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Australian Research Council(Australian Research Council); Grants-in-Aid for Scientific Research(Ministry of Education, Culture, Sports, Science and Technology, Japan (MEXT)Japan Society for the Promotion of ScienceGrants-in-Aid for Scientific Research (KAKENHI))</t>
  </si>
  <si>
    <t>This research was supported by the Australian Government's Antarctic Cooperative Research Centre Programme through the ACE CRC, the Canon Foundation, and the Grant for Joint Research Program of the Institute of Low Temperature Science, Hokkaido University. It contributes to AAS Project 4116 and the World Climate Research Programme (WCRP) Climate and Cryosphere Project (CliC) project Targeted Activity Interactions between Cryospheric Elements. KK was supported by Research Activity Start-up 25887001 from the Japan Society for the Promotion of Science (JSPS). HH was supported by JSPS KAKENHI Grant 26247080. AF was supported by JSPS KAKENHI Research Project 13F03748. SA was supported by JSPS KAKENHI Grant 25281001. GW was supported by the Australian Research Council's Future Fellowship program. TT was supported by JSPS KAKENHI Grant 26740007. Numerical calculations were performed on FX10 at Information Technology Center, the University of Tokyo. We are grateful to Dr. Laurence Padman and an anonymous reviewer for constructive comments on the manuscript.</t>
  </si>
  <si>
    <t>AMER METEOROLOGICAL SOC</t>
  </si>
  <si>
    <t>BOSTON</t>
  </si>
  <si>
    <t>45 BEACON ST, BOSTON, MA 02108-3693 USA</t>
  </si>
  <si>
    <t>0894-8755</t>
  </si>
  <si>
    <t>1520-0442</t>
  </si>
  <si>
    <t>J CLIMATE</t>
  </si>
  <si>
    <t>J. Clim.</t>
  </si>
  <si>
    <t>10.1175/JCLI-D-15-0808.1</t>
  </si>
  <si>
    <t>EH6AW</t>
  </si>
  <si>
    <t>hybrid, Green Submitted, Green Accepted</t>
  </si>
  <si>
    <t>WOS:000391855700011</t>
  </si>
  <si>
    <t>Marsal, S; Torta, JM; Segarra, A; Araki, T</t>
  </si>
  <si>
    <t>Marsal, S.; Torta, J. M.; Segarra, A.; Araki, T.</t>
  </si>
  <si>
    <t>Use of spherical elementary currents to map the polar current systems associated with the geomagnetic sudden commencements on 2013 and 2015 St. Patrick's Day storms</t>
  </si>
  <si>
    <t>JOURNAL OF GEOPHYSICAL RESEARCH-SPACE PHYSICS</t>
  </si>
  <si>
    <t>spherical elementary current systems; geomagnetic sudden commencement; geomagnetic field-aligned currents; disturbance-polar currents; St; Patrick's Day storms; Araki's model</t>
  </si>
  <si>
    <t>IONOSPHERIC EQUIVALENT CURRENTS; FIELD-ALIGNED CURRENTS; MAGNETIC-FIELD; SOLAR-WIND; MULTISATELLITE; IDENTIFICATION; CONVECTION; IMPULSES; MODELS; EVENT</t>
  </si>
  <si>
    <t>Araki's model of geomagnetic sudden commencements (SCs) establishes that the ground magnetic signatures globally observed after the onset produced by an increased solar wind dynamic pressure impacting on the Earth's magnetosphere are caused by the setting up of a system of electric currents in the coupled magnetosphere-ionosphere. This current system consists of a particular evolving set of magnetopause currents closing in the ionosphere through geomagnetic field-aligned currents (FACs) and their induced counterpart. The present paper confirms the starting assumptions of the referred model by use of spherical elementary current systems (SECS), namely, the existence of FACs reversing polarity during the first couple of minutes of the SC. It is the first time that SECS have been applied to the study of SCs. The method has been fed with data from more than 100 stations of the global network of geomagnetic observatories and variometer sites in the northern hemisphere so as to provide a reliable pattern of the equivalent current system flowing at ionospheric heights on the occasion of the SCs associated with the 2013 and 2015 St. Patrick's Day storms. The combined analysis of solar wind data and the synoptic view of the SC current patterns provided by SECS allows it to explain some of the differences observed between both events.</t>
  </si>
  <si>
    <t>[Marsal, S.; Torta, J. M.; Segarra, A.] Univ Ramon Llull, CSIC, OE, Roquetes, Spain; [Araki, T.] Kyoto Univ, Grad Sch Sci, Dept Geophys, Kyoto, Japan</t>
  </si>
  <si>
    <t>Universitat Ramon Llull; Consejo Superior de Investigaciones Cientificas (CSIC); Kyoto University</t>
  </si>
  <si>
    <t>Marsal, S (corresponding author), Univ Ramon Llull, CSIC, OE, Roquetes, Spain.</t>
  </si>
  <si>
    <t>smarsal@obsebre.es</t>
  </si>
  <si>
    <t>Torta, Joan Miquel/C-7614-2014; Marsal, Santiago/K-4415-2014; Segarra, Antoni/K-5557-2017</t>
  </si>
  <si>
    <t>Torta, Joan Miquel/0000-0002-4340-7308; Marsal, Santiago/0000-0001-8675-7781; Segarra, Antoni/0000-0001-6333-6589</t>
  </si>
  <si>
    <t>Spanish Ministerio de Economia y Competitividad [CTM2014-52182-C3-1-P]</t>
  </si>
  <si>
    <t>Spanish Ministerio de Economia y Competitividad(Spanish Government)</t>
  </si>
  <si>
    <t>This study was partially funded by the project CTM2014-52182-C3-1-P of the Spanish Ministerio de Economia y Competitividad. The results presented in this paper rely on data collected at magnetic observatories; we thank the national institutes that support them and INTERMAGNET for promoting high standards of magnetic observatory practice (www.intermagnet.org). We also thank the 210 degrees MM Magnetic Observation Project (http://stdb2.stelab.nagoya-u.ac.jp/mm210/); Canadian Array for Realtime Investigations of Magnetic Activity (CARISMA; http://www.carisma.ca/); International Monitor for Auroral Geomagnetic Effects (IMAGE; http://space.fmi.fi/image/); Tromso Geophysical Observatory, UiTThe Arctic University of Norway (http://www.tgo.uit.no/); DTU Space of Denmark (http://www.space.dtu.dk/English/Research/Scientific_data_and_models/Magnetic_Ground_Stations.aspx); the Arctic and Antarctic Research Institute of Russia (http://www.geophys.aari.ru/); the World Data Center for Geomagnetism, Kyoto (http://wdc.kugi.kyoto-u.ac.jp/shplt/index.html); and the SUPERMAG Organization (http://supermag.jhuapl.edu/mag/?) for providing the data from the geomagnetic stations that these institutes and organizations maintain and/or provide. We thank Wind, ACE, Geotail, and Cluster spacecraft teams for providing the corresponding data, which are gathered by the Coordinated Data Analysis Web (http://cdaweb.gsfc.nasa.gov/istp_public/). The data used in this paper can be accessed via the URLs of the listed institutes or through request to the contact people indicated therein. We are also grateful to two anonymous reviewers.</t>
  </si>
  <si>
    <t>2169-9380</t>
  </si>
  <si>
    <t>2169-9402</t>
  </si>
  <si>
    <t>J GEOPHYS RES-SPACE</t>
  </si>
  <si>
    <t>J. Geophys. Res-Space Phys.</t>
  </si>
  <si>
    <t>10.1002/2016JA023166</t>
  </si>
  <si>
    <t>Astronomy &amp; Astrophysics</t>
  </si>
  <si>
    <t>EM9UE</t>
  </si>
  <si>
    <t>WOS:000395655800017</t>
  </si>
  <si>
    <t>Wichert, RN; Nussbaum, MC</t>
  </si>
  <si>
    <t>Wichert, Rachel Nussbaum; Nussbaum, Martha C.</t>
  </si>
  <si>
    <t>Scientific Whaling? The Scientific Research Exception and the Future of the International Whaling Commission</t>
  </si>
  <si>
    <t>JOURNAL OF HUMAN DEVELOPMENT AND CAPABILITIES</t>
  </si>
  <si>
    <t>Capabilities; Scientific research; Whales; International treaty law</t>
  </si>
  <si>
    <t>Whales are complex creatures with diverse capacities for intelligence, playfulness, esthetic expression, and social learning. And yet they have not been granted legal standing as beings with rights to this species-specific form of life. For this reason, whales continue to be hunted and killed for both commercial and scientific purposes. This paper examines the whaling industry and its impact on whales' species-specific form of life, and presents a theoretical framework for reconciling the conflicting claims of whales and human scientists. We pay particular attention to the International Whaling Commission's 1982 moratorium on commercial whaling and the controversial scientific exception built into this moratorium, which allows the killing of whales for vaguely defined scientific purposes. We also focus on the 2014 International Court of Justice ruling that Japan's program of scientific whaling in the Antarctic violated international law; Japan's decision to continue a revised form of the program despite the ruling; and the resistance that this program has met from marine activists. Finally we argue that any theoretical framework that does justice to whale life must go beyond a utilitarian or rights-based approach, and instead must focus on the distinct capabilities of whales as they live their lives unencumbered by human killing. This approach enables us to protect spheres of choice and characteristic life-activities for whales, while also articulating what a contemporary scientific inquiry into whale life should and should not include. With this framework developed, we present policy recommendations for the International Whaling Commission, anti-whaling activists, and individual nations interested in protecting the rights of whales.</t>
  </si>
  <si>
    <t>[Wichert, Rachel Nussbaum] Friends Anim, Govt Affairs Attorney, Denver, CO USA; [Nussbaum, Martha C.] Univ Chicago, Sch Law, Law &amp; Eth, Chicago, IL 60637 USA; [Nussbaum, Martha C.] Univ Chicago, Dept Philosophy, Law &amp; Eth, Chicago, IL 60637 USA</t>
  </si>
  <si>
    <t>University of Chicago; University of Chicago</t>
  </si>
  <si>
    <t>Nussbaum, MC (corresponding author), Univ Chicago, Sch Law, Law &amp; Eth, Chicago, IL 60637 USA.;Nussbaum, MC (corresponding author), Univ Chicago, Dept Philosophy, Law &amp; Eth, Chicago, IL 60637 USA.</t>
  </si>
  <si>
    <t>martha_nussbaum@law.uchicago.edu</t>
  </si>
  <si>
    <t>1945-2829</t>
  </si>
  <si>
    <t>1945-2837</t>
  </si>
  <si>
    <t>J HUM DEV CAPABIL</t>
  </si>
  <si>
    <t>J. Hum. Dev. Capab.</t>
  </si>
  <si>
    <t>10.1080/19452829.2017.1342386</t>
  </si>
  <si>
    <t>Development Studies</t>
  </si>
  <si>
    <t>FL0ZH</t>
  </si>
  <si>
    <t>WOS:000413941600004</t>
  </si>
  <si>
    <t>Xing, S; Hou, X; Aldahan, A; Possnert, G</t>
  </si>
  <si>
    <t>Xing, Shan; Hou, Xiaolin; Aldahan, Ala; Possnert, Goran</t>
  </si>
  <si>
    <t>Speciation analysis of 129I in seawater using coprecipitation and accelerator mass spectrometry and its applications</t>
  </si>
  <si>
    <t>JOURNAL OF RADIOANALYTICAL AND NUCLEAR CHEMISTRY</t>
  </si>
  <si>
    <t>I-129; Speciation analysis; Accelerator mass spectrometry; Seawater</t>
  </si>
  <si>
    <t>ANTHROPOGENIC I-129; I-129/I-127; TRACER; SAMPLES; IODINE; WATERS; LEVEL</t>
  </si>
  <si>
    <t>Speciation analysis of long-lived I-129 in seawater can provide useful information on the source of water masses. This paper presents an improved method for speciation analysis of I-129 based on coprecipitation of iodide as AgI with Ag2SO3 and AgCl. By adding a small amount of I-127 carrier, the separation efficiency of iodine species and the accuracy and precision of I-129 measurement are remarkably improved. I-129 species in depth profiles of seawater from the Antarctic were analyzed for investigation of water circulation in the Antarctic.</t>
  </si>
  <si>
    <t>[Xing, Shan; Hou, Xiaolin] Chinese Acad Sci, State Key Lab Loess &amp; Quaternary Geol, Shaanxi Key Lab Accelerator Mass Spectrometry Tec, Xian AMS Ctr,Inst Earth Environm, Xian 710061, Peoples R China; [Hou, Xiaolin] Tech Univ Denmark, Ctr Nucl Technol, Riso Campus, DK-4000 Roskilde, Denmark; [Aldahan, Ala] United Arab Emirates Univ, Dept Geol, Al Ain, U Arab Emirates; [Aldahan, Ala] Uppsala Univ, Dept Earth Sci, S-75120 Uppsala, Sweden; [Possnert, Goran] Uppsala Univ, Tandem Lab, S-75120 Uppsala, Sweden</t>
  </si>
  <si>
    <t>Chinese Academy of Sciences; Institute of Earth Environment, CAS; Technical University of Denmark; United Arab Emirates University; Uppsala University; Uppsala University</t>
  </si>
  <si>
    <t>Hou, X (corresponding author), Chinese Acad Sci, State Key Lab Loess &amp; Quaternary Geol, Shaanxi Key Lab Accelerator Mass Spectrometry Tec, Xian AMS Ctr,Inst Earth Environm, Xian 710061, Peoples R China.;Hou, X (corresponding author), Tech Univ Denmark, Ctr Nucl Technol, Riso Campus, DK-4000 Roskilde, Denmark.</t>
  </si>
  <si>
    <t>xiho@dtu.dk</t>
  </si>
  <si>
    <t>Hou, Xiaolin/A-1585-2008</t>
  </si>
  <si>
    <t>Hou, Xiaolin/0000-0002-4851-4858</t>
  </si>
  <si>
    <t>Ministry of Science and Technology of China [2015FY110800]; State Key Laboratory of Loess and Quaternary Geology; Swedish Polar Research Secretariat; US National Science Foundation (NSF)</t>
  </si>
  <si>
    <t>Ministry of Science and Technology of China(Ministry of Science and Technology, China); State Key Laboratory of Loess and Quaternary Geology(Chinese Academy of Sciences); Swedish Polar Research Secretariat; US National Science Foundation (NSF)(National Science Foundation (NSF))</t>
  </si>
  <si>
    <t>Financial supports from the Ministry of Science and Technology of China (2015FY110800), as well as State Key Laboratory of Loess and Quaternary Geology are gratefully acknowledged. S. Xing thanks Dr. Qi Liu in Xi'an AMS center for his help in AMS measurement of 129 I. The sampling program was done as part of 2010/2011 Antarctica two-ship expedition through the international scientific cruise jointly funded by the Swedish Polar Research Secretariat and the US National Science Foundation (NSF). We thank the N.P. Palmar scientific team for providing the onlone measurement data.</t>
  </si>
  <si>
    <t>0236-5731</t>
  </si>
  <si>
    <t>1588-2780</t>
  </si>
  <si>
    <t>J RADIOANAL NUCL CH</t>
  </si>
  <si>
    <t>J. Radioanal. Nucl. Chem.</t>
  </si>
  <si>
    <t>10.1007/s10967-016-5060-6</t>
  </si>
  <si>
    <t>Chemistry, Analytical; Chemistry, Inorganic &amp; Nuclear; Nuclear Science &amp; Technology</t>
  </si>
  <si>
    <t>Chemistry; Nuclear Science &amp; Technology</t>
  </si>
  <si>
    <t>EH9ET</t>
  </si>
  <si>
    <t>WOS:000392075200089</t>
  </si>
  <si>
    <t>Engelbrecht, Andrea; Mors, Thomas; Reguero, Marcelo A.; Kriwet, Juergen</t>
  </si>
  <si>
    <t>NEW CARCHARHINIFORM SHARKS (CHONDRICHTHYES, ELASMOBRANCHII) FROM THE EARLY TO MIDDLE EOCENE OF SEYMOUR ISLAND, ANTARCTIC PENINSULA</t>
  </si>
  <si>
    <t>JOURNAL OF VERTEBRATE PALEONTOLOGY</t>
  </si>
  <si>
    <t>LA-MESETA FORMATION; ORDER CARCHARHINIFORMES; CARTILAGINOUS FISHES; LISBON FORMATION; SELACHIAN FAUNA; PHYLOGENY; RAYS; FAMILY; COUNTY; BASIN</t>
  </si>
  <si>
    <t>Seymour Island, Antarctic Peninsula, is known for its wealth of fossil remains. This island provides one of the richest fossiliferous Paleogene sequences in the world. Chondrichthyans seemingly dominate this Eocene marine fauna and offer a rare insight into high-latitude faunas during the Palaeogene. So far, only a few isolated teeth of carcharhinid sharks have been reported from Seymour Island. Bulk sampling in the well-exposed La Meseta and Submeseta formations yielded new and abundant chondrichthyan material, including numerous teeth of carcharhinid and triakid sharks. Here, we present a reevaluation of the previously described carcharhinid remains and a description of new taxa: Meridiogaleus cristatus, gen. et sp. nov., Kallodentis rythistemma, gen. et sp. nov., Abdounia richteri, sp. nov., and Abdounia mesetae, sp. nov. The carcharhiniforms Mustelus sp. and Galeorhinus sp. are reported based on rare material, whereas teeth previously assigned to Scoliodon represent a nomen dubium.</t>
  </si>
  <si>
    <t>[Engelbrecht, Andrea; Kriwet, Juergen] Univ Vienna, Geozentrum, Dept Palaeontol, Fac Earth Sci Geog &amp; Astron, Althanstr 14, A-1090 Vienna, Austria; [Mors, Thomas] Swedish Museum Nat Hist, Dept Palaeobiol, POB 50007, SE-10405 Stockholm, Sweden; [Reguero, Marcelo A.] Museo La Plata, Div Paleontol Vertebrados, Paseo Bosque S-N,B1900FWA, La Plata, Argentina; [Reguero, Marcelo A.] Consejo Nacl Invest Cient &amp; Tecn, Buenos Aires, DF, Argentina</t>
  </si>
  <si>
    <t>Engelbrecht, A (corresponding author), Univ Vienna, Geozentrum, Dept Palaeontol, Fac Earth Sci Geog &amp; Astron, Althanstr 14, A-1090 Vienna, Austria.</t>
  </si>
  <si>
    <t>andrea.engelbrecht@univie.ac.a; thomas.moers@nrm.se; regui@fcnym.unlp.edu; juergen.kriwet@univie.ac.at</t>
  </si>
  <si>
    <t>Engelbrecht, Andrea/0000-0002-4430-452X; Mors, Thomas/0000-0003-2268-5824; Reguero, Marcelo A./0000-0003-0875-8484; Kriwet, Jurgen/0000-0002-6439-8455</t>
  </si>
  <si>
    <t>Austrian Science Fund (FWF) [P26465-B25]; University of Vienna; Swedish Research Council (VR) [2009-4447]; Consejo Nacional de Investigaciones Cientificas y Tecnicas (CONICET) [PIP 0462]; Argentinian National Agency for Promotion of Science and Technology (ANPCyT) [PICTO 0093/2010]; Austrian Science Fund (FWF) [P 26465] Funding Source: researchfish; Austrian Science Fund (FWF) [P26465] Funding Source: Austrian Science Fund (FWF)</t>
  </si>
  <si>
    <t>Austrian Science Fund (FWF)(Austrian Science Fund (FWF)); University of Vienna; Swedish Research Council (VR)(Swedish Research Council); Consejo Nacional de Investigaciones Cientificas y Tecnicas (CONICET)(Consejo Nacional de Investigaciones Cientificas y Tecnicas (CONICET)); Argentinian National Agency for Promotion of Science and Technology (ANPCyT)(ANPCyT); Austrian Science Fund (FWF)(Austrian Science Fund (FWF)); Austrian Science Fund (FWF)(Austrian Science Fund (FWF))</t>
  </si>
  <si>
    <t>The Argentinian Antarctic Institute (IAA-DNA), Argentinian Air Force, and Swedish Polar Research Secretariat (SPFS) are acknowledged for logistic support for field work on Seymour Island. The authors are grateful to Martin de los Reyes, Museo de La Plata, for picking the small fractions in the laboratory. We are indebted to the following people for the possibility to study material under their care: E. Bernard, Z. Johanson, and M. Richter (Natural History Museum, London, U.K.), L. Grande (Field Museum, Chicago, U.S.A.), and P. Holroyd (University of California Paleontological Museum, Berkeley, California, U.S.A.). This work was supported by the Austrian Science Fund (FWF, grant number P26465-B25 to J.K.); a graduation scholarship of the University of Vienna (to A. E.); the Swedish Research Council (VR grant number 2009-4447 to T.M.); the Consejo Nacional de Investigaciones Cientificas y Tecnicas (CONICET grant number PIP 0462 to M.R.); and the Argentinian National Agency for Promotion of Science and Technology (ANPCyT grant number PICTO 0093/2010 to M.R.).</t>
  </si>
  <si>
    <t>0272-4634</t>
  </si>
  <si>
    <t>1937-2809</t>
  </si>
  <si>
    <t>J VERTEBR PALEONTOL</t>
  </si>
  <si>
    <t>J. Vertebr. Paleontol.</t>
  </si>
  <si>
    <t>e1371724</t>
  </si>
  <si>
    <t>10.1080/02724634.2017.1371724</t>
  </si>
  <si>
    <t>Paleontology</t>
  </si>
  <si>
    <t>GA9SJ</t>
  </si>
  <si>
    <t>WOS:000428680800009</t>
  </si>
  <si>
    <t>Alekseev, GV; Kuzmina, SI; Glok, NI; Vyazilova, AE; Ivanov, NE; Smirnov, AV</t>
  </si>
  <si>
    <t>Alekseev, G. V.; Kuzmina, S. I.; Glok, N. I.; Vyazilova, A. E.; Ivanov, N. E.; Smirnov, A. V.</t>
  </si>
  <si>
    <t>Influence of Atlantic on the warming and reduction of sea ice in the Arctic</t>
  </si>
  <si>
    <t>LED I SNEG-ICE AND SNOW</t>
  </si>
  <si>
    <t>Russian</t>
  </si>
  <si>
    <t>Arctic; Atlantic; sea ice; SST anomalies</t>
  </si>
  <si>
    <t>SURFACE-TEMPERATURE; CIRCULATION; OCEAN</t>
  </si>
  <si>
    <t>Influence of anomalies of the sea surface temperature (SST) in low latitudes of the North Atlantic on the sea ice cover and the near-surface air temperature in the marine Arctic is discussed in the article. Data on the SST in the Atlantic Ocean from the HadISST dataset, climatic series of the water temperature at the section along the Kola meridian together with mean monthly data on the sea ice extent and the air surface temperature in the Maritime Arctic and the Northern hemisphere were analyzed. Multivariate cross-correlation analysis was applied to determine the maximum correlation coefficients between the SST anomalies, climate characteristics and their corresponding delays within time limits of 33 to 38 months. Existence of intimate link had been found between changes of the Atlantic SST in low latitudes and the sea ice extent in the Arctic with correlation coefficients up to 0.90 and delays up to 3 years. A mechanism of formation of the remote influence of low-latitude SST anomalies on the sea ice anomalies in the Arctic Ocean is proposed. The interpretation of this mechanism includes into consideration the interaction between atmospheric and oceanic circulation modes.</t>
  </si>
  <si>
    <t>[Alekseev, G. V.; Glok, N. I.; Vyazilova, A. E.; Ivanov, N. E.; Smirnov, A. V.] Arctic &amp; Antarctic Res Inst, St Petersburg, Russia; [Kuzmina, S. I.] Nansen Ctr, St Petersburg, St Petersburg, Russia</t>
  </si>
  <si>
    <t>Arctic &amp; Antarctic Research Institute</t>
  </si>
  <si>
    <t>Alekseev, GV (corresponding author), Arctic &amp; Antarctic Res Inst, St Petersburg, Russia.</t>
  </si>
  <si>
    <t>alexgv@aari.ru</t>
  </si>
  <si>
    <t>Smirnov, Alexander/J-5935-2014; Vyazilova, Anastasia/AAO-5568-2020; Smirnov, Alexey Sergeevich/AAB-2521-2020</t>
  </si>
  <si>
    <t>Smirnov, Alexander/0000-0003-3231-7283; Smirnov, Alexey Sergeevich/0000-0001-5361-8232; Vyazilova, Anastasia/0000-0001-5657-7309</t>
  </si>
  <si>
    <t>RFBR [15-0503512]</t>
  </si>
  <si>
    <t>RFBR(Russian Foundation for Basic Research (RFBR))</t>
  </si>
  <si>
    <t>Results of RFBR grant 15-0503512 is used in this paper.</t>
  </si>
  <si>
    <t>INST GEOGRAPHY, RUSSIAN ACAD SCIENCES</t>
  </si>
  <si>
    <t>PROFSOYUZNAYA UL 90, MOSCOW, 117864, RUSSIA</t>
  </si>
  <si>
    <t>2076-6734</t>
  </si>
  <si>
    <t>2412-3765</t>
  </si>
  <si>
    <t>LED SNEG</t>
  </si>
  <si>
    <t>Led Sneg</t>
  </si>
  <si>
    <t>10.15356/2076-6734-2017-3-381-390</t>
  </si>
  <si>
    <t>FQ7DE</t>
  </si>
  <si>
    <t>WOS:000418522200010</t>
  </si>
  <si>
    <t>Asher, EC; Dacey, JWH; Stukel, M; Long, MC; Tortell, PD</t>
  </si>
  <si>
    <t>Asher, E. C.; Dacey, J. W. H.; Stukel, M.; Long, M. C.; Tortell, P. D.</t>
  </si>
  <si>
    <t>Processes driving seasonal variability in DMS, DMSP, and DMSO concentrations and turnover in coastal Antarctic waters</t>
  </si>
  <si>
    <t>LIMNOLOGY AND OCEANOGRAPHY</t>
  </si>
  <si>
    <t>SEA-ICE ZONE; DIMETHYL SULFIDE; GRAZING IMPACT; ROSS SEA; DIMETHYLSULFONIOPROPIONATE DMSP; DILUTION TECHNIQUE; IRON ENRICHMENT; DISSOLVED DMS; PHYTOPLANKTON; MICROZOOPLANKTON</t>
  </si>
  <si>
    <t>This study presents new measurements of the concentrations and turnover rates of dimethyl sulfide (DMS), dimethylsulfoniopropionate (DMSP), and dimethyl sulfoxide (DMSO) in coastal waters near Palmer Station, Antarctica, during the spring and summer of 2012-2013. Using several novel analytical and experimental techniques, we document variability in DMS, DMSP, and DMSO (DMS/P/O) concentrations and quantify dominant production and removal terms in the mixed layer DMS budget. Our results demonstrate considerable seasonal variability in the concentration of DMS (range 0-20 nM), total DMSP (8-160 nM), and total DMSO (4-160 nM). Over the seasonal cycle, dissolved DMSP concentrations were well correlated with total DMSP concentrations and the abundance of Phaeocystis antarctica, while DMSO concentrations (total and dissolved) were well correlated with DMS concentrations. DMSP cleavage from the dissolved pool (mean rate=5.5 nM d(-1)) and release from microzooplankton grazing (mean 5.6 nM d(-1)) were the dominant sources of DMS, with smaller DMS production rates associated with DMSO reduction from the dissolved pool (mean 2.6 nM d(-1)) and krill grazing (mean 0.82 nM d(-1)). Specific rate constants for DMSP cleavage were inversely related to net primary production. Bacterial uptake was a primary contributor to DMS removal (mean -12 nM d(-1)), and we observed a significant correlation between bacterial production and gross DMS loss rate constants. Estimated sea-air flux and photo-oxidation constituted secondary DMS sinks. Our experimental and analytical methods provide insight into the DMS/P/O cycle at Palmer Station, and a starting point for future studies examining inter-annual DMS/P/O variability in coastal Antarctic waters.</t>
  </si>
  <si>
    <t>[Asher, E. C.; Tortell, P. D.] Univ British Columbia, Earth Ocean &amp; Atmospher Sci, Vancouver, BC, Canada; [Dacey, J. W. H.] Woods Hole Oceanog Inst, Dept Biol, Woods Hole, MA 02543 USA; [Stukel, M.] Florida State Univ, Dept Earth Ocean &amp; Atmospher Sci, Tallahassee, FL 32306 USA; [Long, M. C.] Natl Ctr Atmospher Res, Climate &amp; Global Dynam, POB 3000, Boulder, CO 80307 USA; [Tortell, P. D.] Univ British Columbia, Dept Bot, Vancouver, BC, Canada; [Asher, E. C.] Univ Calif Davis, Dept Land Air &amp; Water Resources, Davis, CA 95616 USA</t>
  </si>
  <si>
    <t>University of British Columbia; Woods Hole Oceanographic Institution; State University System of Florida; Florida State University; National Center Atmospheric Research (NCAR) - USA; University of British Columbia; University of California System; University of California Davis</t>
  </si>
  <si>
    <t>Asher, EC (corresponding author), Univ British Columbia, Earth Ocean &amp; Atmospher Sci, Vancouver, BC, Canada.;Asher, EC (corresponding author), Univ Calif Davis, Dept Land Air &amp; Water Resources, Davis, CA 95616 USA.</t>
  </si>
  <si>
    <t>elizabethcolleenasher@gmail.com</t>
  </si>
  <si>
    <t>Stukel, Michael R/F-9029-2013; Long, Matthew C/H-4632-2016</t>
  </si>
  <si>
    <t>Long, Matthew/0000-0003-1273-2957; Tortell, Philippe/0000-0003-0212-2151; Stukel, Michael/0000-0002-7696-6739</t>
  </si>
  <si>
    <t>US National Science Foundation (OPP) as from the National Science and Engineering Research Council of Canada [ANT-0823101, ANT-1043532]</t>
  </si>
  <si>
    <t>US National Science Foundation (OPP) as from the National Science and Engineering Research Council of Canada</t>
  </si>
  <si>
    <t>We would like to acknowledge the scientific and support staff at Palmer Station, Antarctica for invaluable assistance throughout our field season. In particular, we would like to thank Kim Bernard for contribution of krill biomass data, and her help in designing and conducting these experiments. In addition, we would like to acknowledge Shelly Bench, Johanna Goldman, Sven Kranz, Jodi Young, Nicole Couto and Stephanie Strebel for assistance with zodiac sampling and for providing ancillary data. This work was funded by the US National Science Foundation (OPP awards ANT-0823101, ANT-1043532) as from the National Science and Engineering Research Council of Canada.</t>
  </si>
  <si>
    <t>0024-3590</t>
  </si>
  <si>
    <t>1939-5590</t>
  </si>
  <si>
    <t>LIMNOL OCEANOGR</t>
  </si>
  <si>
    <t>Limnol. Oceanogr.</t>
  </si>
  <si>
    <t>10.1002/lno.10379</t>
  </si>
  <si>
    <t>Limnology; Oceanography</t>
  </si>
  <si>
    <t>EK3CW</t>
  </si>
  <si>
    <t>WOS:000393804600007</t>
  </si>
  <si>
    <t>Pérez, W; Lima, M; Büker, M; Clauss, M</t>
  </si>
  <si>
    <t>Perez, William; Lima, Martin; Bueker, Markus; Clauss, Marcus</t>
  </si>
  <si>
    <t>Gross anatomy of the stomach and intestine of an Antarctic minke whale (Balaenoptera bonaerensis)</t>
  </si>
  <si>
    <t>MAMMALIA</t>
  </si>
  <si>
    <t>anatomy; cetacean; gut; intestine; stomach</t>
  </si>
  <si>
    <t>AFRICAN WILD RUMINANTS; ACUTOROSTRATA; DIGESTIBILITY; SEALS</t>
  </si>
  <si>
    <t>The gastrointestinal tract of a female, immature (2400 kg body mass, 6.6 m body length) southern minke whale (Balaenoptera bonaerensis) was investigated. The forestomach had a non-glandular, keratinized squamous epithelium which was separated from the fundic chamber by a clear border between a keratinized epithelium and a glandular, folded mucosa. The beginning of the duodenum consisted of the ampulla duodeni. Both cecum and colon had a smooth external appearance without sacculations or bands. Compared to phylogenetically closely related Artiodactyla, the size of the stomach complex and the intestine was short, corresponding to the carnivorous diet of cetaceans.</t>
  </si>
  <si>
    <t>[Bueker, Markus] Tierarztpraxis Hiddeser Berg, Gutenbergstr 26, D-32756 Detmold, Germany; [Perez, William; Lima, Martin] Univ Republica, Fac Vet, Area Anatomia, Laspl 1620, Montevideo 11600, Uruguay; [Bueker, Markus; Clauss, Marcus] Univ Zurich, Vetsuisse Fac, Clin Zoo Anim Exot Pets &amp; Wildlife, Winterthurerstr 260, CH-8057 Zurich, Switzerland</t>
  </si>
  <si>
    <t>Universidad de la Republica, Uruguay; University of Zurich</t>
  </si>
  <si>
    <t>Pérez, W (corresponding author), Univ Republica, Fac Vet, Area Anatomia, Laspl 1620, Montevideo 11600, Uruguay.</t>
  </si>
  <si>
    <t>vetanat@gmail.com</t>
  </si>
  <si>
    <t>Clauss, Marcus/M-8702-2019; Clauss, Marcus/GRR-7996-2022; PÉREZ, WILLIAM/D-2609-2009; William Pérez, Anatomy./H-7222-2019; Clauss, Marcus/A-4710-2008</t>
  </si>
  <si>
    <t>Clauss, Marcus/0000-0003-3841-6207; Clauss, Marcus/0000-0003-3841-6207; William Pérez, Anatomy./0000-0002-9647-4731; Clauss, Marcus/0000-0003-3841-6207</t>
  </si>
  <si>
    <t>WALTER DE GRUYTER GMBH</t>
  </si>
  <si>
    <t>GENTHINER STRASSE 13, D-10785 BERLIN, GERMANY</t>
  </si>
  <si>
    <t>0025-1461</t>
  </si>
  <si>
    <t>1864-1547</t>
  </si>
  <si>
    <t>Mammalia</t>
  </si>
  <si>
    <t>10.1515/mammalia-2015-0168</t>
  </si>
  <si>
    <t>EH5XJ</t>
  </si>
  <si>
    <t>Green Submitted, Green Published</t>
  </si>
  <si>
    <t>WOS:000391846100014</t>
  </si>
  <si>
    <t>Sinoir, M; Bowie, AR; Mongin, M; Butler, ECV; Hassler, CS</t>
  </si>
  <si>
    <t>Sinoir, Marie; Bowie, Andrew R.; Mongin, Mathieu; Butler, Edward C. V.; Hassler, Christel S.</t>
  </si>
  <si>
    <t>Zinc requirement for two phytoplankton strains of the Tasman Sea</t>
  </si>
  <si>
    <t>MARINE AND FRESHWATER RESEARCH</t>
  </si>
  <si>
    <t>Emiliania huxleyi; inhibitors; Nitzschia closterium; uptake; zinc uptake; Zn limitation</t>
  </si>
  <si>
    <t>COCCOLITHOPHORE EMILIANIA-HUXLEYI; INORGANIC CARBON ACQUISITION; SUB-ANTARCTIC ZONE; MARINE-PHYTOPLANKTON; SOUTHERN-OCEAN; FEEDBACK INTERACTIONS; PHOSPHATASE-ACTIVITY; ATLANTIC SECTOR; DISSOLVED ZINC; AUSTRAL SUMMER</t>
  </si>
  <si>
    <t>Zinc has been proposed as a limiting, or co-limiting, micronutrient for phytoplankton. In the Tasman Sea, extremely low zinc concentrations have been reported, raising the possibility there of limitation of phytoplankton growth by zinc. The pennate diatom Nitzschia closterium (CS-1) and the coccolithophorid Emiliania huxleyi (CS-812) were cultured in two low zinc concentrations (Zn2+ = 1.5 pmolL(-1) and Zn2+ = 1.5 nmolL(-1)) mimicking conditions found in coastal and pelagic Tasman Sea. To monitor phytoplankton health and productivity, the maximum quantum yield (F-v/F-m), growth rate and cell size were analysed. These parameters showed that both strains were able to adapt and still grow. Short-term uptake experiments revealed an effect on Zn biological transport, with consequences for its bioavailability. When grown at low Zn2+ concentrations, E. huxleyi showed an induction of a two-transporter system, highly dependent on photosynthetic energy for Zn uptake. N. closterium was able to survive without inducing a higher-affinity Zn transporter. Its Zn uptake was also highly dependent on cellular energy and the ability to potentially access labile complexed forms of Zn. This strategy, thus, represented an advantage over E. huxleyi. Results are discussed in the context of the conditions found in the Tasman Sea.</t>
  </si>
  <si>
    <t>[Sinoir, Marie; Mongin, Mathieu; Butler, Edward C. V.] CSIRO Marine &amp; Atmospher Res Labs, Castray Esplanade, GPO Box 1538, Hobart, Tas 7000, Australia; [Sinoir, Marie; Bowie, Andrew R.] Univ Tasmania, Inst Marine &amp; Antarct Studies, Hobart, Tas 7001, Australia; [Bowie, Andrew R.] Univ Tasmania, ACE CRC, Hobart, Tas 7001, Australia; [Butler, Edward C. V.] Australian Inst Marine Sci, Arafura Timor Res Facil, POB 41775, Casuarina Mc, NT 0811, Australia; [Hassler, Christel S.] Univ Technol Sydney, Plant Funct Biol &amp; Climate Change Cluster, Broadway, NSW 2007, Australia; [Hassler, Christel S.] Univ Geneva, Inst FA Forel, 10 Route Suisse, CH-1290 Versoix, Switzerland</t>
  </si>
  <si>
    <t>Commonwealth Scientific &amp; Industrial Research Organisation (CSIRO); University of Tasmania; University of Tasmania; Antarctic Climate &amp; Ecosystems Cooperative Research Centre (ACE CRC); Australian Institute of Marine Science; University of Technology Sydney; University of Geneva</t>
  </si>
  <si>
    <t>Sinoir, M (corresponding author), CSIRO Marine &amp; Atmospher Res Labs, Castray Esplanade, GPO Box 1538, Hobart, Tas 7000, Australia.;Sinoir, M (corresponding author), Univ Tasmania, Inst Marine &amp; Antarct Studies, Hobart, Tas 7001, Australia.</t>
  </si>
  <si>
    <t>marie.sinoir@gmail.com</t>
  </si>
  <si>
    <t>Bowie, Andrew/C-8677-2013; mongin, mathieu/G-4169-2015</t>
  </si>
  <si>
    <t>Bowie, Andrew/0000-0002-5144-7799; Butler, Edward/0000-0002-6660-3985; Hassler, Christel/0000-0002-8976-5469; mongin, mathieu/0000-0001-9647-0530</t>
  </si>
  <si>
    <t>Australian Climate and Ecosystem CRC (ACE-CRC); University of Technology Sydney Chancellor Fellowship; Swiss National Science Foundation Fellowship [PP00P2_138955]; Swiss National Science Foundation (SNF) [PP00P2_138955] Funding Source: Swiss National Science Foundation (SNF)</t>
  </si>
  <si>
    <t>Australian Climate and Ecosystem CRC (ACE-CRC)(Australian GovernmentDepartment of Industry, Innovation and ScienceCooperative Research Centres (CRC) Programme); University of Technology Sydney Chancellor Fellowship; Swiss National Science Foundation Fellowship(Swiss National Science Foundation (SNSF)); Swiss National Science Foundation (SNF)(Swiss National Science Foundation (SNSF))</t>
  </si>
  <si>
    <t>Thanks go to the Microalgae team from the CSIRO Marine Laboratories, particularly Ian Jameson and Cathy Johnston for providing both strains, help in culture techniques and use of instruments; Sue Blackburn for the use of her E. huxleyi strain from the Tasman Sea; and Rick van den Enden for his help with the SEM technique and preparation of the sample. This work was funded by the Quantitative Marine Science (QMS) CSIRO-University of Tasmania joint program and the Institute for Marine and Antarctic Studies (University of Tasmania). This research was also partly supported by the Australian Climate and Ecosystem CRC (ACE-CRC). Hassler was funded by a University of Technology Sydney Chancellor Fellowship and a Swiss National Science Foundation Fellowship (PP00P2_138955). The authors also thank the referees and internal reviewers for their constructive comments which improved this manuscript.</t>
  </si>
  <si>
    <t>1323-1650</t>
  </si>
  <si>
    <t>1448-6059</t>
  </si>
  <si>
    <t>MAR FRESHWATER RES</t>
  </si>
  <si>
    <t>Mar. Freshw. Res.</t>
  </si>
  <si>
    <t>10.1071/MF15323</t>
  </si>
  <si>
    <t>Fisheries; Limnology; Marine &amp; Freshwater Biology; Oceanography</t>
  </si>
  <si>
    <t>Fisheries; Marine &amp; Freshwater Biology; Oceanography</t>
  </si>
  <si>
    <t>EM4RZ</t>
  </si>
  <si>
    <t>WOS:000395301800016</t>
  </si>
  <si>
    <t>Treloar, MA; Barrett, NS; Edgar, GJ</t>
  </si>
  <si>
    <t>Treloar, M. A.; Barrett, N. S.; Edgar, G. J.</t>
  </si>
  <si>
    <t>Biology and ecology of Zearaja maugeana, an Endangered skate restricted to two south-western Tasmanian estuaries</t>
  </si>
  <si>
    <t>conservation; diet; elasmobranch; fishing impact; fish tagging; movement; reproductive biology</t>
  </si>
  <si>
    <t>PORT DAVEY MARINE; REPRODUCTIVE-BIOLOGY; PROTECTED AREA; ELASMOBRANCHS; CONSERVATION; PATTERNS; MATURITY; BEHAVIOR; RAJIDAE; SEA</t>
  </si>
  <si>
    <t>The Endangered Maugean skate Zearaja maugeana is a relic species restricted to two isolated estuaries, Bathurst Harbour and Macquarie Harbour, in south-western Tasmania, Australia. Over a 1-year period, dive, tagging and net surveys provided information on the biology and ecology of this species. In all, 96 Maugean skates were caught during five trips to Macquarie Harbour, with four additional individuals observed underwater; however, no animals were located in the single trip to Bathurst Harbour. Morphometrics and the sex of the animals were recorded for 95 individuals. Crustaceans dominated the diet, with the majority of animals feeding on the crab Paragrapus gaimardii. Recapture rates were very low, with only one of 82 pit-tagged skates recaptured, and that occurred on the day of release. One acoustically tagged male skate was tracked for 5km along the harbour margin for 24h, whereas a female skate tracked for 46.5h showed high site fidelity, suggesting that multiple factors potentially influence habitat utilisation. Although Macquarie Harbour represents the stronghold for this species, this estuary is also experiencing major environmental disturbance and change. Conservation management of this Endangered skate requires specific consideration of aquaculture, recreational fishing and mine drainage effects, as well as ongoing monitoring.</t>
  </si>
  <si>
    <t>[Treloar, M. A.; Barrett, N. S.; Edgar, G. J.] Univ Tasmania, Inst Marine &amp; Antarctic Sci, Private Bag 49, Hobart, Tas 7001, Australia</t>
  </si>
  <si>
    <t>University of Tasmania</t>
  </si>
  <si>
    <t>Treloar, MA (corresponding author), Univ Tasmania, Inst Marine &amp; Antarctic Sci, Private Bag 49, Hobart, Tas 7001, Australia.</t>
  </si>
  <si>
    <t>michelle.treloar@yahoo.com</t>
  </si>
  <si>
    <t>Edgar, Graham/AAY-3797-2020; Barrett, Neville/J-7593-2014</t>
  </si>
  <si>
    <t>Edgar, Graham/0000-0003-0833-9001; Barrett, Neville/0000-0002-6167-1356</t>
  </si>
  <si>
    <t>Winifred Violet Scott Foundation; FRDC Project [2010/016]</t>
  </si>
  <si>
    <t>Winifred Violet Scott Foundation; FRDC Project(Fisheries R&amp;D Corp)</t>
  </si>
  <si>
    <t>This project would not have been possible without support from the Winifred Violet Scott Foundation. The authors also thank the Institute for Marine and Antarctic Science colleagues who assisted with fieldwork, map generation and discussion: Jeremy Lyle, Graeme Ewing, Edward Forbes, Justin Hulls, Jaime McAllister, Craig Sanderson and particularly Ben Chuwen, who passed away during the study and is sadly missed. Thanks also to the Department of Primary Industries, Parks, Water and Environment (DPIPWE) staff Michael Driessen and Clare Hawkins, who helped with permits and information generally, to Peter Last (CSIRO) and to salmon farm operators Tassal, including helpful staff members Zack Whigfield and Belinda Yaxley, and Petuna Seafoods. Fieldwork was undertaken with collaborative support from the FRDC Project Number 2010/016.</t>
  </si>
  <si>
    <t>10.1071/MF15478</t>
  </si>
  <si>
    <t>ET3NB</t>
  </si>
  <si>
    <t>WOS:000400184800003</t>
  </si>
  <si>
    <t>Holmes, TM; Chase, Z; van der Merwe, P; Townsend, AT; Bowie, AR</t>
  </si>
  <si>
    <t>Holmes, Thomas M.; Chase, Zanna; van der Merwe, Pier; Townsend, Ashley T.; Bowie, Andrew R.</t>
  </si>
  <si>
    <t>Detection, dispersal and biogeochemical contribution of hydrothermal iron in the ocean</t>
  </si>
  <si>
    <t>biogeochemistry; hydrothermal activity; review</t>
  </si>
  <si>
    <t>EAST PACIFIC RISE; MID-ATLANTIC RIDGE; MERIDIONAL OVERTURNING CIRCULATION; FE ISOTOPE FRACTIONATION; DISSOLVED IRON; ULTRAMAFIC ROCKS; CLEFT SEGMENT; VENT FIELDS; DEEP-OCEAN; SPATIAL VARIABILITY</t>
  </si>
  <si>
    <t>This review aims to bring into focus the current understanding of hydrothermal systems and plume dynamics, tracers of hydrothermalism and the contribution of iron from hydrothermal vents to the global oceanic iron budget. The review then explores hydrothermal effect on surface ocean productivity. It is now well documented that scarcity of iron limits the production of chlorophyll-producing organisms in many regions of the ocean that are high in macronutrients. However, it is only recently that hydrothermal inputs have gained recognition as a source of Fe to the deep oceans that may potentially affect surface ocean productivity in some regions. A compilation of iron measurements from hydrothermal vents reveals that although hydrothermal studies measuring iron have increased significantly in recent years, there is still a dearth of data below 40 degrees S. New analytical approaches for tracing iron sources, coupled with increasing sampling coverage of the oceans, is quickly improving knowledge of the effect of hydrothermal sources on biogeochemical cycles, a vital component in predicting future climate scenarios.</t>
  </si>
  <si>
    <t>[Holmes, Thomas M.; van der Merwe, Pier; Bowie, Andrew R.] Univ Tasmania, ACE CRC, Private Bag 80, Hobart, Tas 7001, Australia; [Holmes, Thomas M.; Chase, Zanna; Bowie, Andrew R.] Univ Tasmania, IMAS, Private Bag 129, Hobart, Tas 7001, Australia; [Townsend, Ashley T.] Univ Tasmania, CSL, Private Bag 74, Hobart, Tas 7001, Australia</t>
  </si>
  <si>
    <t>University of Tasmania; Antarctic Climate &amp; Ecosystems Cooperative Research Centre (ACE CRC); University of Tasmania; University of Tasmania</t>
  </si>
  <si>
    <t>Holmes, TM (corresponding author), Univ Tasmania, ACE CRC, Private Bag 80, Hobart, Tas 7001, Australia.;Holmes, TM (corresponding author), Univ Tasmania, IMAS, Private Bag 129, Hobart, Tas 7001, Australia.</t>
  </si>
  <si>
    <t>thomas.holmes@utas.edu.au</t>
  </si>
  <si>
    <t>Townsend, Ashley/J-7445-2014; Holmes, Thomas M/JAC-5887-2023; Holmes, Thomas M/J-4950-2015; Bowie, Andrew/C-8677-2013; Chase, Zanna/E-9232-2013; van der Merwe, Pier/C-9210-2015</t>
  </si>
  <si>
    <t>Townsend, Ashley/0000-0002-2972-2678; Holmes, Thomas M/0000-0001-8061-4325; Bowie, Andrew/0000-0002-5144-7799; Chase, Zanna/0000-0001-5060-779X; van der Merwe, Pier/0000-0002-7428-8030</t>
  </si>
  <si>
    <t>Australian Research Council [DP150100345, FT130100037]; Australian Government Cooperative Research Centres Program through the Antarctic Climate and Ecosystems Cooperative Research Centre (ACE CRC); Australian Research Council [FT130100037] Funding Source: Australian Research Council</t>
  </si>
  <si>
    <t>Australian Research Council(Australian Research Council); Australian Government Cooperative Research Centres Program through the Antarctic Climate and Ecosystems Cooperative Research Centre (ACE CRC)(Australian GovernmentDepartment of Industry, Innovation and ScienceCooperative Research Centres (CRC) Programme); Australian Research Council(Australian Research Council)</t>
  </si>
  <si>
    <t>The authors thank the Australian Research Council (DP150100345; FT130100037) and the Australian Government Cooperative Research Centres Program through the Antarctic Climate and Ecosystems Cooperative Research Centre (ACE CRC), both of which provided project funding and PhD scholarship support. The authors thank the three anonymous reviewers for their time and attention to detail, which greatly improved this manuscript. The authors also thank Stace Beaulieu for assistance in locating previously compiled data and Stephanie Downes for her comments and suggestions during development of the manuscript.</t>
  </si>
  <si>
    <t>10.1071/MF16335</t>
  </si>
  <si>
    <t>FN9FR</t>
  </si>
  <si>
    <t>WOS:000416334800003</t>
  </si>
  <si>
    <t>Freese, D; Soreide, JE; Graeve, M; Niehoff, B</t>
  </si>
  <si>
    <t>Freese, Daniela; Soreide, Janne E.; Graeve, Martin; Niehoff, Barbara</t>
  </si>
  <si>
    <t>A year-round study on metabolic enzymes and body composition of the Arctic copepod Calanus glacialis: implications for the timing and intensity of diapause</t>
  </si>
  <si>
    <t>MARINE BIOLOGY</t>
  </si>
  <si>
    <t>LIFE-HISTORY; ANTARCTIC KRILL; CITRATE SYNTHASE; MARINE COPEPOD; EGG-PRODUCTION; LIPID-CONTENT; FINMARCHICUS; DORMANCY; GROWTH; HYPERBOREUS</t>
  </si>
  <si>
    <t>Knowledge on the capability of zooplankton to adapt to the rapidly changing environmental conditions in the Arctic is crucial to predict future ecosystem processes. The key species on the Arctic shelf, the calanoid copepod Calanus glacialis, grows and accumulates lipid reserves in spring and summer in surface waters. The winter is spent in dormancy in deeper water layers with low metabolic activity. As timing and intensity of metabolic changes have been poorly investigated, our study aims to characterize the physiology of C. glacialis over an entire year, from July 2012 to July 2013. We followed anabolic and catabolic enzyme activities and the biochemical composition of this species, taking depth-stratified samples once a month in Billefjorden, a high-Arctic sill fjord. A large part of the population had migrated to depths &gt; 100 m by July 2012. Only thereafter, anabolic activities decreased slowly, suggesting that low metabolism is related to ceased feeding rather than to endogenous regulation. During overwintering, anabolic enzyme activities were reduced by half as compared to peak activities in spring. The biochemical composition of the copepods changed little from July to December. Then, the lipid catabolic activity increased and the lipid content decreased, likely fuelling moulting and gonad maturation. The protein content did not change significantly during winter, suggesting that proteins are not much catabolized during that time. The relatively high metabolic activity in C. glacialis in winter suggests that this species is not entering a true diapause and should thus be able to respond flexible to changing environmental conditions.</t>
  </si>
  <si>
    <t>[Freese, Daniela; Niehoff, Barbara] Alfred Wegener Inst Helmholtz Ctr Polar &amp; Marine, Polar Biol Oceanog, Handelshafen 12, D-27570 Bremerhaven, Germany; [Graeve, Martin] Alfred Wegener Inst Helmholtz Ctr Polar &amp; Marine, Chem Ecol, Handelshafen 12, D-27570 Bremerhaven, Germany; [Freese, Daniela] Univ Ctr Svalbard, Arctic Biol, POB 156, N-9171 Longyearbyen, Norway</t>
  </si>
  <si>
    <t>Helmholtz Association; Alfred Wegener Institute, Helmholtz Centre for Polar &amp; Marine Research; Helmholtz Association; Alfred Wegener Institute, Helmholtz Centre for Polar &amp; Marine Research; University Centre Svalbard (UNIS)</t>
  </si>
  <si>
    <t>Freese, D; Niehoff, B (corresponding author), Alfred Wegener Inst Helmholtz Ctr Polar &amp; Marine, Polar Biol Oceanog, Handelshafen 12, D-27570 Bremerhaven, Germany.;Freese, D (corresponding author), Univ Ctr Svalbard, Arctic Biol, POB 156, N-9171 Longyearbyen, Norway.</t>
  </si>
  <si>
    <t>Daniela.Freese@awi.de; Barbara.Niehoff@awi.de</t>
  </si>
  <si>
    <t>Soreide, Janne/HNI-3758-2023; Graeve, Martin/B-5751-2017</t>
  </si>
  <si>
    <t>Niehoff, Barbara/0000-0002-7483-9373; Graeve, Martin/0000-0002-2294-1915</t>
  </si>
  <si>
    <t>Research Council of Norway [216537]; Helmholtz Graduate School for Polar and Marine Research (POLMAR) [VH-GS-200]; Arctic Field Grant [227555]</t>
  </si>
  <si>
    <t>Research Council of Norway(Research Council of Norway); Helmholtz Graduate School for Polar and Marine Research (POLMAR); Arctic Field Grant</t>
  </si>
  <si>
    <t>This research was part of the project CLEOPATRA II: Climate effects on food quality and trophic transfer in the Arctic marginal ice zone, funded by the Research Council of Norway (Project ID 216537). Daniela Freese was financed from the Helmholtz Graduate School for Polar and Marine Research (POLMAR, Project ID VH-GS-200). Part of the fieldwork was also financed by an Arctic Field Grant to D. Freese (Research Council of Norway; Project ID 227555).</t>
  </si>
  <si>
    <t>0025-3162</t>
  </si>
  <si>
    <t>1432-1793</t>
  </si>
  <si>
    <t>MAR BIOL</t>
  </si>
  <si>
    <t>Mar. Biol.</t>
  </si>
  <si>
    <t>10.1007/s00227-016-3036-2</t>
  </si>
  <si>
    <t>EI2QN</t>
  </si>
  <si>
    <t>WOS:000392332900003</t>
  </si>
  <si>
    <t>Feutry, P; Berry, O; Kyne, PM; Pillans, RD; Hillary, RM; Grewe, PM; Marthick, JR; Johnson, G; Gunasekera, RM; Bax, NJ; Bravington, M</t>
  </si>
  <si>
    <t>Feutry, Pierre; Berry, Oliver; Kyne, Peter M.; Pillans, Richard D.; Hillary, Richard M.; Grewe, Peter M.; Marthick, James R.; Johnson, Grant; Gunasekera, Rasanthi M.; Bax, Nicholas J.; Bravington, Mark</t>
  </si>
  <si>
    <t>Inferring contemporary and historical genetic connectivity from juveniles</t>
  </si>
  <si>
    <t>MOLECULAR ECOLOGY</t>
  </si>
  <si>
    <t>conservation biology; Glyphis glyphis; kinship; marine dispersal; philopatry; population structure; threatened species</t>
  </si>
  <si>
    <t>MULTILOCUS GENOTYPE DATA; POPULATION-STRUCTURE; REPRODUCTIVE-BIOLOGY; EMPIRICAL-EVALUATION; MARINE POPULATIONS; LARVAL DISPERSAL; CLOSE RELATIVES; F-STATISTICS; RIVER SHARKS; R-PACKAGE</t>
  </si>
  <si>
    <t>Measuring population connectivity is a critical task in conservation biology. While genetic markers can provide reliable long-term historical estimates of population connectivity, scientists are still limited in their ability to determine contemporary patterns of gene flow, the most practical time frame for management. Here, we tackled this issue by developing a new approach that only requires juvenile sampling at a single time period. To demonstrate the usefulness of our method, we used the Speartooth shark (Glyphis glyphis), a critically endangered species of river shark found only in tropical northern Australia and southern Papua New Guinea. Contemporary adult and juvenile shark movements, estimated with the spatial distribution of kin pairs across and within three river systems, was contrasted with historical long-term connectivity patterns, estimated from mitogenomes and genome-wide SNP data. We found strong support for river fidelity in juveniles with the within-cohort relationship analysis. Male breeding movements were highlighted with the cross-cohort relationship analysis, and female reproductive philopatry to the river systems was revealed by the mitogenomic analysis. We show that accounting for juvenile river fidelity and female philopatry is important in population structure analysis and that targeted sampling in nurseries and juvenile aggregations should be included in the genomic toolbox of threatened species management.</t>
  </si>
  <si>
    <t>[Feutry, Pierre; Hillary, Richard M.; Grewe, Peter M.; Gunasekera, Rasanthi M.; Bax, Nicholas J.; Bravington, Mark] CSIRO Oceans &amp; Atmosphere, Castray Esplanade, Hobart, Tas 7000, Australia; [Feutry, Pierre; Kyne, Peter M.] Charles Darwin Univ, Res Inst Environm &amp; Livelihoods, Ellengowan Dr, Darwin, NT 0909, Australia; [Berry, Oliver] Univ Western Australia, Indian Ocean Marine Res Ctr, CSIRO Oceans &amp; Atmosphere, M097,35 Stirling Highway, Crawley, WA 6009, Australia; [Pillans, Richard D.] CSIRO Oceans &amp; Atmosphere, 41 Boggo Rd, Dutton Pk, Qld 4102, Australia; [Marthick, James R.] Univ Tasmania, Menzies Inst Med Res, 17 Liverpool St, Hobart, Tas 7000, Australia; [Johnson, Grant] Dept Primary Ind &amp; Fisheries, Aquat Resource Res Unit, GPO Box 3000, Darwin, NT 0801, Australia; [Bax, Nicholas J.] Univ Tasmania, Inst Marine &amp; Antarctic Sci, Private Bag 129, Hobart, Tas 7001, Australia</t>
  </si>
  <si>
    <t>Commonwealth Scientific &amp; Industrial Research Organisation (CSIRO); Charles Darwin University; Commonwealth Scientific &amp; Industrial Research Organisation (CSIRO); University of Western Australia; Commonwealth Scientific &amp; Industrial Research Organisation (CSIRO); University of Tasmania; Menzies Institute for Medical Research; University of Tasmania</t>
  </si>
  <si>
    <t>Feutry, P (corresponding author), CSIRO Oceans &amp; Atmosphere, Castray Esplanade, Hobart, Tas 7000, Australia.</t>
  </si>
  <si>
    <t>Pierre.Feutry@csiro.au</t>
  </si>
  <si>
    <t>Hillary, Richard M/L-3300-2013; Grewe, Peter/AAJ-5227-2021; Pillans, Richard D/F-2458-2012; Berry, Oliver/T-5877-2019; Bravington, Mark V/E-8897-2010; Gunasekera, Rasanthi/A-2318-2012; Feutry, Pierre/D-7469-2011; Bax, Nicholas/A-2321-2012</t>
  </si>
  <si>
    <t>Grewe, Peter/0000-0001-7111-4150; Berry, Oliver/0000-0001-7545-5083; Gunasekera, Rasanthi/0000-0003-1990-2752; Kyne, Peter/0000-0003-4494-2625; Feutry, Pierre/0000-0001-8492-5382; Bax, Nicholas/0000-0002-9697-4963; Pillans, Richard/0000-0001-6234-8764</t>
  </si>
  <si>
    <t>Marine Biodiversity Hub; Australian Government's National Environmental Research Program (NERP); North Australia Marine Research Alliance (NAMRA); NERP Northern Australia Hub</t>
  </si>
  <si>
    <t>Marine Biodiversity Hub; Australian Government's National Environmental Research Program (NERP)(Australian Government); North Australia Marine Research Alliance (NAMRA); NERP Northern Australia Hub</t>
  </si>
  <si>
    <t>This study was supported by the Marine Biodiversity Hub, a collaborative partnership supported through funding from the Australian Government's National Environmental Research Program (NERP). PF was partly supported by the North Australia Marine Research Alliance (NAMRA). PMK was partly supported by the NERP Northern Australia Hub. We thank the Traditional Owners and staff of Kakadu National Park, especially Anne O'Dea and Khan Spokes, and Northern Territory Department of Primary Industry and Fisheries, especially Thor Saunders and Mark Grubert for field assistance. The contribution of a large number of field volunteers is also acknowledged. Kate Buckley, Karen Devitt, Rhian Evans, Sharon Every, Charlotte Klempin and Roy Tipiloura, in particular provided significant field assistance. Thanks to CSIRO Scientific Computing for the use of the Bragg Cluster and to Bob Ward and the three anonymous reviewers who significantly contributed to improving the quality of this manuscript.</t>
  </si>
  <si>
    <t>0962-1083</t>
  </si>
  <si>
    <t>1365-294X</t>
  </si>
  <si>
    <t>MOL ECOL</t>
  </si>
  <si>
    <t>Mol. Ecol.</t>
  </si>
  <si>
    <t>10.1111/mec.13929</t>
  </si>
  <si>
    <t>Biochemistry &amp; Molecular Biology; Ecology; Evolutionary Biology</t>
  </si>
  <si>
    <t>Biochemistry &amp; Molecular Biology; Environmental Sciences &amp; Ecology; Evolutionary Biology</t>
  </si>
  <si>
    <t>EK5CH</t>
  </si>
  <si>
    <t>WOS:000393944000005</t>
  </si>
  <si>
    <t>Pawlowska, J; Istel, L; Gorczak, M; Galera, H; Wrzosek, M; Hawksworth, DL</t>
  </si>
  <si>
    <t>Pawlowska, Julia; Istel, Lukasz; Gorczak, Michal; Galera, Halina; Wrzosek, Marta; Hawksworth, David L.</t>
  </si>
  <si>
    <t>Psychronectria hyperantarctica, gen. nov., comb. nov., epitypification and phylogenetic position of an Antarctic bryophilous ascomycete</t>
  </si>
  <si>
    <t>MYCOLOGIA</t>
  </si>
  <si>
    <t>Moss-associated fungus; Nectriaceae; taxonomy; Thyronectria; Tilachlidiaceae</t>
  </si>
  <si>
    <t>SEQUENCE ALIGNMENT; HYPOCREALES; NECTRIACEAE; BRYOPHYTES; DIVERSITY; MOSSES; FUNGI; TOOL</t>
  </si>
  <si>
    <t>The holotype of Thyronectria hyperantarctica was re-examined, redescribed, and compared with new collections of an Antarctic bryophilous ascomycete from a similar area. Because the condition of type material was insufficient for molecular studies, the authors designated an epitype from newly collected material with a high degree of morphological similarity to the holotype and paratype material. Phylogenetic analysis of the epitype revealed that its closest phylogenetic affinity was with the family Tilachlidiaceae and it formed a monophyletic group in this lineage within other collections of the species. Therefore, the new monotypic genus Psychronectria is described to accommodate Thyronectria hyperantarctica. The fungus is superficially similar to Thyronectria species in Nectriaceae, but the ascospores differ in color, size, and type of septation.</t>
  </si>
  <si>
    <t>[Pawlowska, Julia; Istel, Lukasz; Gorczak, Michal; Wrzosek, Marta] Univ Warsaw, Fac Biol, Biol &amp; Chem Res Ctr, Dept Mol Phylogenet &amp; Evolut, Zwirki &amp; Wigury 101, PL-02089 Warsaw, Poland; [Galera, Halina] Univ Warsaw, Fac Biol, Biol &amp; Chem Res Ctr, Dept Plant Ecol &amp; Environm Conservat, Zwirki &amp; Wigury 101, PL-02089 Warsaw, Poland; [Hawksworth, David L.] Nat Hist Museum, Dept Life Sci, Cromwell Rd, London SW7 5BD, England; [Hawksworth, David L.] Royal Bot Gardens, Comparat Plant &amp; Fungal Biol, Richmond TW9 3DS, Surrey, England</t>
  </si>
  <si>
    <t>University of Warsaw; University of Warsaw; Natural History Museum London; Royal Botanic Gardens, Kew</t>
  </si>
  <si>
    <t>Pawlowska, J (corresponding author), Univ Warsaw, Fac Biol, Biol &amp; Chem Res Ctr, Dept Mol Phylogenet &amp; Evolut, Zwirki &amp; Wigury 101, PL-02089 Warsaw, Poland.</t>
  </si>
  <si>
    <t>jzpawlowska@gmail.com</t>
  </si>
  <si>
    <t>Pawłowska, Julia/AGH-2220-2022; Galera, Halina/IUQ-1030-2023; Pawłowska, Julia/F-7881-2015; Galera, Halina/V-5347-2018</t>
  </si>
  <si>
    <t>Pawłowska, Julia/0000-0003-4914-5182; Galera, Halina/0000-0001-6983-0908; Wrzosek, Marta/0000-0002-5871-5020; Gorczak, Michal/0000-0003-4863-737X</t>
  </si>
  <si>
    <t>National Science Centre, Poland [2015/17/D/NZ8/00778, UMO-2016/23/B/NZ8/00897]</t>
  </si>
  <si>
    <t>National Science Centre, Poland(National Science Centre, Poland)</t>
  </si>
  <si>
    <t>The study was partially supported by the National Science Centre, Poland, under grants 2015/17/D/NZ8/00778 to Julia Pawlowska and UMO-2016/23/B/NZ8/00897 to Marta Wrzosek.</t>
  </si>
  <si>
    <t>0027-5514</t>
  </si>
  <si>
    <t>1557-2536</t>
  </si>
  <si>
    <t>Mycologia</t>
  </si>
  <si>
    <t>10.1080/00275514.2017.1398575</t>
  </si>
  <si>
    <t>Mycology</t>
  </si>
  <si>
    <t>FT1XV</t>
  </si>
  <si>
    <t>WOS:000422932700006</t>
  </si>
  <si>
    <t>Torres, S; Cajas, D; Palfner, G; Astuya, A; Aballay, A; Pérez, C; Hernández, V; Becerra, J</t>
  </si>
  <si>
    <t>Torres, Solange; Cajas, Daniel; Palfner, Goetz; Astuya, Allisson; Aballay, Ambbar; Perez, Claudia; Hernandez, Victor; Becerra, Jose</t>
  </si>
  <si>
    <t>Steroidal composition and cytotoxic activity from fruiting body of Cortinarius xiphidipus</t>
  </si>
  <si>
    <t>NATURAL PRODUCT RESEARCH</t>
  </si>
  <si>
    <t>Cortinarius xiphidipus; mycorrhizal fungus; fruiting body; ergosterols; cytotoxicity</t>
  </si>
  <si>
    <t>POLYPORUS-UMBELLATUS; ERGOSTA-4,6,8(14),22-TETRAEN-3-ONE; MUSHROOMS</t>
  </si>
  <si>
    <t>From the fruiting body of ectomycorrhizal fungi Cortinarius xiphidipus, sterols were identified from the crude extract and the cytotoxic effect of ergosta-4, 6, 8(14), 22-tetraen-3-one (ergone) was evaluated. Ten sterols including ergosta-3,5,7,9(11), 22-pentaene, (22E)-ergosta5,7,9(11), 22-tetraen-3b-ol, (3 beta, 22E)-ergosta-5,7,22-trien-3-ol, (22E)ergosta-7,22-dien-3-ol, neoergosterol, (3 beta)-ergosta-5,8-dien-3-ol, (3 beta)-ergosta-7-en-3-ol, stigmasterol, stigmasterol 22,23-dihydro and (22E)-ergosta-4,6,8(14), 22-tetraen-3-one were identified from the crude extract. The cytotoxic activity of the sterol fraction containing ergosta-4, 6, 8(14), 22-tetraen-3-one was assessed on four tumour cell lines (Neuro-2a, Saos-2, MCF7 and LNCaP-C42). The cytotoxic activity against the four tumour cell lines tested, being Neuro-2a and Saos-2 the most sensitive, with a half-maximal inhibitory concentration (IC50) of 20.8 +/- 2.2 and 27.8 +/- 1.0 mu g/mL, respectively. This is the first report of this Antarctic fungi collected in the Magallanes and Chilean Antarctica Region. This work represents a potential source for the development of anticancer drugs. [GRAPHICS] .</t>
  </si>
  <si>
    <t>[Torres, Solange; Cajas, Daniel; Perez, Claudia; Hernandez, Victor; Becerra, Jose] Univ Concepcion, Dept Bot, Lab Nat Prod Chem, Concepcion, Chile; [Palfner, Goetz] Univ Concepcion, Dept Bot, Lab Mycol &amp; Mycorrhizal, Concepcion, Chile; [Astuya, Allisson; Aballay, Ambbar] Univ Concepcion, Marine Biotechnol Unit, Lab Cellular Culturing &amp; Marine Genom, Concepcion, Chile; [Astuya, Allisson; Aballay, Ambbar] Univ Concepcion, COPAS Sur Austral Program, Concepcion, Chile</t>
  </si>
  <si>
    <t>Universidad de Concepcion; Universidad de Concepcion; Universidad de Concepcion; Universidad de Concepcion</t>
  </si>
  <si>
    <t>jbecerra@udec.cl</t>
  </si>
  <si>
    <t>Hernandez, Victor J/G-1344-2014; PEREZ, CLAUDIA/G-1361-2014; Pérez, Claudia/JNR-4564-2023</t>
  </si>
  <si>
    <t>PEREZ, CLAUDIA/0000-0002-8562-3842; Becerra, Jose/0000-0002-1444-1814; Astuya-Villalon, Allisson/0000-0002-6988-6159; Torres, Solange/0000-0001-8224-0072</t>
  </si>
  <si>
    <t>FONDECYT [1151028]; CONICYT-PAI [781412001]; MINCYT [PCCI 130036]</t>
  </si>
  <si>
    <t>FONDECYT(Comision Nacional de Investigacion Cientifica y Tecnologica (CONICYT)CONICYT FONDECYT); CONICYT-PAI; MINCYT</t>
  </si>
  <si>
    <t>This work was supported by the FONDECYT [grant number 1151028]; CONICYT-PAI [grant number 781412001]; MINCYT [grant number PCCI 130036].</t>
  </si>
  <si>
    <t>1478-6419</t>
  </si>
  <si>
    <t>1478-6427</t>
  </si>
  <si>
    <t>NAT PROD RES</t>
  </si>
  <si>
    <t>Nat. Prod. Res.</t>
  </si>
  <si>
    <t>10.1080/14786419.2016.1185717</t>
  </si>
  <si>
    <t>Chemistry, Applied; Chemistry, Medicinal</t>
  </si>
  <si>
    <t>Chemistry; Pharmacology &amp; Pharmacy</t>
  </si>
  <si>
    <t>EI6SI</t>
  </si>
  <si>
    <t>WOS:000392626400015</t>
  </si>
  <si>
    <t>Cui, PF; Guo, WB; Chen, XH</t>
  </si>
  <si>
    <t>Cui, Pengfei; Guo, Wenbin; Chen, Xinhua</t>
  </si>
  <si>
    <t>Isotryptophan from Antarctic Bacillus amyloliquefaciens Pc3: purification, identification, characterization, and antifungal activity</t>
  </si>
  <si>
    <t>Isotryptophan; antifungal activity; Antarctic; plant-pathogenic fungi; Bacillus amyloliquefaciens</t>
  </si>
  <si>
    <t>SUBTILIS; BACTERIOCIN; BIOCONTROL; DISCOVERY; PRODUCTS; 14B</t>
  </si>
  <si>
    <t>Strain Pc3 was isolated from Antarctic seawater and identified as Bacillus amyloliquefaciens. A compound with antifungal activity was purified from the fermentation supernatant of B. amyloliquefaciens Pc3. Its structure was determined to be (S)-2-amino-3-(1H-indol-2-yl) propanoic acid, named as isotryptophan, based on detailed analysis of its nuclear magnetic resonance (NMR) and high-resolution electrospray ionisation mass spectrometry (HR-ESI-MS). Isotryptophan exhibited good thermal stability and antifungal activity against several plant-pathogenic fungi with low minimum inhibitory concentrations. Therefore, the characterisation of isotryptophan from the Antarctic B. amyloliquefaciens Pc3 will facilitate its potential application in the control of plant-pathogenic fungal infection. [GRAPHICS] .</t>
  </si>
  <si>
    <t>[Cui, Pengfei; Guo, Wenbin; Chen, Xinhua] State Ocean Adm, Inst Oceanog 3, Key Lab Marine Biogenet Resources, Xiamen, Peoples R China; [Guo, Wenbin; Chen, Xinhua] Fujian Collaborat Innovat Ctr Exploitat &amp; Utiliza, Key Lab Marine Genet Resources Fujian Prov, Xiamen, Peoples R China</t>
  </si>
  <si>
    <t>Third Institute of Oceanography, Ministry of Natural Resources</t>
  </si>
  <si>
    <t>Chen, XH (corresponding author), State Ocean Adm, Inst Oceanog 3, Key Lab Marine Biogenet Resources, Xiamen, Peoples R China.;Chen, XH (corresponding author), Fujian Collaborat Innovat Ctr Exploitat &amp; Utiliza, Key Lab Marine Genet Resources Fujian Prov, Xiamen, Peoples R China.</t>
  </si>
  <si>
    <t>chenxinhua@tio.org.cn</t>
  </si>
  <si>
    <t>Guo, Wenbin/0000-0001-7197-6260</t>
  </si>
  <si>
    <t>National Key Basic Research Program of China ('973'-Program) [2015CB755903]; Scientific Research Project of the Marine Public Welfare Industry of China [201205020]; Natural Science Foundation of China [41306166]; Natural Science Foundation of Fujian Province, China [2016J05079]</t>
  </si>
  <si>
    <t>National Key Basic Research Program of China ('973'-Program)(National Basic Research Program of China); Scientific Research Project of the Marine Public Welfare Industry of China; Natural Science Foundation of China(National Natural Science Foundation of China (NSFC)); Natural Science Foundation of Fujian Province, China(Natural Science Foundation of Fujian Province)</t>
  </si>
  <si>
    <t>This work was supported by the National Key Basic Research Program of China ('973'-Program) [grant number 2015CB755903]; Scientific Research Project of the Marine Public Welfare Industry of China [grant number 201205020]; Natural Science Foundation of China [grant number 41306166]; and Natural Science Foundation of Fujian Province, China [grant number 2016J05079].</t>
  </si>
  <si>
    <t>10.1080/14786419.2016.1274896</t>
  </si>
  <si>
    <t>FC9PO</t>
  </si>
  <si>
    <t>WOS:000407173800011</t>
  </si>
  <si>
    <t>Shi, SC; Paine, S; Yao, QJ; Lin, ZH; Li, XX; Duan, WY; Matsuo, H; Zhang, QZ; Yang, J; Ashley, MCB; Shang, ZH; Hu, ZW</t>
  </si>
  <si>
    <t>Shi, Sheng-Cai; Paine, Scott; Yao, Qi-Jun; Lin, Zhen-Hui; Li, Xin-Xing; Duan, Wen-Ying; Matsuo, Hiroshi; Zhang, Qizhou; Yang, Ji; Ashley, M. C. B.; Shang, Zhaohui; Hu, Zhong-Wen</t>
  </si>
  <si>
    <t>Terahertz and far-infrared windows opened at Dome A in Antarctica</t>
  </si>
  <si>
    <t>NATURE ASTRONOMY</t>
  </si>
  <si>
    <t>WATER-VAPOR CONTINUUM; ABSORPTION; MILLIMETER; MODEL</t>
  </si>
  <si>
    <t>The terahertz and far-infrared band, ranging from approximately 0.3 THz to 15 THz (1 mm to 20 mu m), is important for astrophysics as it hosts the peak of the thermal radiation of the cold component of the Universe as well as many spectral lines that trace the cycle of interstellar matter1-8. However, water vapour makes the terrestrial atmosphere opaque to this frequency band over nearly all of the Earth's surface9. Early radiometric measurements10 below 1 THz at Dome A (80 degrees 22'S, 77 degrees 21' E), the highest point of the cold and dry Antarctic ice sheet, suggest that this site may offer the best possible access for ground-based astronomical observations in the terahertz and far-infrared band. To fully assess the site conditions and to address the uncertainties in radiative transfer modelling of the atmosphere, we carried out measurements of atmospheric radiation from Dome A with a Fourier transform spectrometer, spanning the entire water vapour pure rotation band from 20 mu m to 350 mu m. Our measurements reveal substantial transmission in atmospheric windows throughout the whole band. By combining our broad-band spectra with data on the atmospheric state over Dome A, we set new constraints on the spectral absorption of water vapour at upper tropospheric temperatures, which is important for accurate modelling of the terrestrial climate. We find that current spectral models significantly underestimate the H2O continuum absorption.</t>
  </si>
  <si>
    <t>[Shi, Sheng-Cai; Yao, Qi-Jun; Lin, Zhen-Hui; Li, Xin-Xing; Duan, Wen-Ying; Yang, Ji] Chinese Acad Sci, Key Lab Radio Astron, Purple Mt Observ, Nanjing 210008, Jiangsu, Peoples R China; [Paine, Scott; Zhang, Qizhou] Smithsonian Astrophys Observ, Cambridge, MA 02138 USA; [Matsuo, Hiroshi] Natl Astron Observ Japan, Mitaka, Tokyo 1818588, Japan; [Ashley, M. C. B.] Univ New South Wales, Sydney, NSW 2052, Australia; [Shang, Zhaohui] Tianjin Normal Univ, Tianjin 300386, Peoples R China; [Hu, Zhong-Wen] Chinese Acad Sci, Nanjing Inst Astron Opt &amp; Technol, Natl Astron Observ, Nanjing 210042, Jiangsu, Peoples R China; [Shang, Zhaohui] Chinese Acad Sci, Natl Astron Observ, Beijing 100012, Peoples R China; [Li, Xin-Xing] Chinese Acad Sci, Suzhou Inst Nanotech &amp; Nanobion, Suzhou 215123, Peoples R China</t>
  </si>
  <si>
    <t>Chinese Academy of Sciences; Nanjing Institute of Astronomical Optics &amp; Technology, NAOC, CAS; Purple Mountain Observatory, CAS; Smithsonian Institution; Smithsonian Astrophysical Observatory; Harvard University; National Institutes of Natural Sciences (NINS) - Japan; National Astronomical Observatory of Japan (NAOJ); University of New South Wales Sydney; Tianjin Normal University; Chinese Academy of Sciences; National Astronomical Observatory, CAS; Nanjing Institute of Astronomical Optics &amp; Technology, NAOC, CAS; Chinese Academy of Sciences; National Astronomical Observatory, CAS; Chinese Academy of Sciences; Suzhou Institute of Nano-Tech &amp; Nano-Bionics, CAS</t>
  </si>
  <si>
    <t>Shi, SC (corresponding author), Chinese Acad Sci, Key Lab Radio Astron, Purple Mt Observ, Nanjing 210008, Jiangsu, Peoples R China.</t>
  </si>
  <si>
    <t>scshi@pmo.ac.cn</t>
  </si>
  <si>
    <t>DAI, QIZHOU/E-8502-2014; Matsuo, Hiroshi/F-4807-2013</t>
  </si>
  <si>
    <t>Zhang, Qizhou/0000-0003-2384-6589; Matsuo, Hiroshi/0000-0003-3278-2484; Ashley, Michael/0000-0003-1412-2028; Paine, Scott/0000-0003-4622-5857</t>
  </si>
  <si>
    <t>2397-3366</t>
  </si>
  <si>
    <t>NAT ASTRON</t>
  </si>
  <si>
    <t>Nat. Astron.</t>
  </si>
  <si>
    <t>10.1038/s41550-016-0001</t>
  </si>
  <si>
    <t>FC0KM</t>
  </si>
  <si>
    <t>WOS:000406527100001</t>
  </si>
  <si>
    <t>Lenaerts, JTM; Lhermitte, S; Drews, R; Ligtenberg, SRM; Berger, S; Helm, V; Smeets, CJPP; van den Broeke, MR; van de Berg, WJ; van Meijgaard, E; Eijkelboom, M; Eisen, O; Pattyn, F</t>
  </si>
  <si>
    <t>Lenaerts, J. T. M.; Lhermitte, S.; Drews, R.; Ligtenberg, S. R. M.; Berger, S.; Helm, V.; Smeets, C. J. P. P.; van den Broeke, M. R.; van de Berg, W. J.; van Meijgaard, E.; Eijkelboom, M.; Eisen, O.; Pattyn, F.</t>
  </si>
  <si>
    <t>Meltwater produced by wind-albedo interaction stored in an East Antarctic ice shelf</t>
  </si>
  <si>
    <t>NATURE CLIMATE CHANGE</t>
  </si>
  <si>
    <t>SURFACE MASS-BALANCE; SUPRAGLACIAL LAKES; SHEET; CLIMATE; MODEL; FIRN; MELT; SENSITIVITY; EVOLUTION; DRAINAGE</t>
  </si>
  <si>
    <t>Surface melt and subsequent firn air depletion can ultimately lead to disintegration of Antarctic ice shelves(1,2) causing grounded glaciers to accelerate(3) and sea level to rise. In the Antarctic Peninsula, foehn winds enhance melting near the grounding line(4), which in the recent past has led to the disintegration of the most northerly ice shelves(5,6). Here, we provide observational and model evidence that this process also occurs over an East Antarctic ice shelf, where meltwater-induced firn air depletion is found in the grounding zone. Unlike the Antarctic Peninsula, where foehn events originate from episodic interaction of the circumpolar westerlies with the topography, in coastal East Antarctica high temperatures are caused by persistent katabatic winds originating from the ice sheet's interior. Katabatic winds warm and mix the air as it flows downward and cause widespread snow erosion, explaining &gt;3 K higher near-surface temperatures in summer and surface melt doubling in the grounding zone compared with its surroundings. Additionally, these winds expose blue ice and firn with lower surface albedo, further enhancing melt. The in situ observation of supraglacial flow and englacial storage of meltwater suggests that ice-shelf grounding zones in East Antarctica, like their Antarctic Peninsula counterparts, are vulnerable to hydrofracturing(7).</t>
  </si>
  <si>
    <t>[Lenaerts, J. T. M.; Ligtenberg, S. R. M.; Smeets, C. J. P. P.; van den Broeke, M. R.; van de Berg, W. J.; Eijkelboom, M.] Univ Utrecht, Inst Marine &amp; Atmospher Res Utrecht, NL-3584 CC Utrecht, Netherlands; [Lenaerts, J. T. M.; Lhermitte, S.] Katholieke Univ Leuven, Dept Earth &amp; Environm Sci, B-3000 Leuven, Belgium; [Lhermitte, S.] Delft Univ Technol, Dept Geosci &amp; Remote Sensing, NL-2600 GA Delft, Netherlands; [Drews, R.; Berger, S.; Pattyn, F.] Univ Libre Bruxelles, Lab Glaciol, B-1050 Brussels, Belgium; [Helm, V.; Eisen, O.] Alfred Wegener Inst, D-27568 Bremerhaven, Germany; [van Meijgaard, E.] Royal Netherlands Meteorol Inst, NL-3730 AE De Bilt, Netherlands; [Eisen, O.] Univ Bremen, Dept Geosci, D-28359 Bremen, Germany; [Drews, R.] Bavarian Acad Sci &amp; Humanities, D-80539 Munich, Germany</t>
  </si>
  <si>
    <t>Utrecht University; KU Leuven; Delft University of Technology; Universite Libre de Bruxelles; Helmholtz Association; Alfred Wegener Institute, Helmholtz Centre for Polar &amp; Marine Research; Royal Netherlands Meteorological Institute; University of Bremen</t>
  </si>
  <si>
    <t>Lenaerts, JTM (corresponding author), Univ Utrecht, Inst Marine &amp; Atmospher Res Utrecht, NL-3584 CC Utrecht, Netherlands.;Lenaerts, JTM (corresponding author), Katholieke Univ Leuven, Dept Earth &amp; Environm Sci, B-3000 Leuven, Belgium.</t>
  </si>
  <si>
    <t>jtmlenaerts@gmail.com</t>
  </si>
  <si>
    <t>Drews, reinhard/AAP-4134-2021; Lenaerts, Jan/D-9423-2012; Lhermitte, Stef (Stefaan)/A-3385-2013; Ligtenberg, Stefan/AAF-8290-2020; Eisen, Olaf/K-3846-2012; Van den Broeke, Michiel R./F-7867-2011; Pattyn, Frank/AAA-9640-2019; van de Berg, Willem Jan/H-4385-2011</t>
  </si>
  <si>
    <t>Drews, reinhard/0000-0002-2328-294X; Lenaerts, Jan/0000-0003-4309-4011; Lhermitte, Stef (Stefaan)/0000-0002-1622-0177; Eisen, Olaf/0000-0002-6380-962X; Van den Broeke, Michiel R./0000-0003-4662-7565; Pattyn, Frank/0000-0003-4805-5636; van de Berg, Willem Jan/0000-0002-8232-2040; Berger, Sophie/0000-0003-4095-9323</t>
  </si>
  <si>
    <t>InBev-Baillet Latour Antarctica Fellowship; Utrecht University; Ministry of Education, Culture and Science (OCW); NWO ALW through a Veni postdoctoral grant; FWO; FNRS Project MEDRISSM; Deutsche Forschungsgmeinschaft [MA 3347/10-1]</t>
  </si>
  <si>
    <t>InBev-Baillet Latour Antarctica Fellowship; Utrecht University; Ministry of Education, Culture and Science (OCW)(Ministry of Education, Culture, Sports, Science and Technology, Japan (MEXT)); NWO ALW through a Veni postdoctoral grant; FWO(FWO); FNRS Project MEDRISSM(Fonds de la Recherche Scientifique - FNRS); Deutsche Forschungsgmeinschaft</t>
  </si>
  <si>
    <t>Field data were collected in the framework of the BENEMELT project, in collaboration with the BELSPO project ICECON. BENEMELT benefits from the InBev-Baillet Latour Antarctica Fellowship, a joint initiative of the InBev-Baillet Latour Fund and the International Polar Foundation (IPF) that aims to promote scientific excellence. We gratefully acknowledge field support from IPF, BELSPO, AntarctiQ, the Belgian Polar Secretariat and the Belgian military. We thank G. Eagles, T. Binder and C. Muller from the Alfred Wegener Institute, who first discovered the circular melt feature in 2015. This study is partly funded by Utrecht University through its strategic theme Sustainability, sub-theme Water, Climate &amp; Ecosystems. This work was carried out under the programme of the Netherlands Earth System Science Centre (NESSC), financially supported by the Ministry of Education, Culture and Science (OCW). J.T.M.L. is supported by NWO ALW through a Veni postdoctoral grant. S.L. was supported as a post-doc by FWO. R.D. was funded by the FNRS Project MEDRISSM and partial support by the Deutsche Forschungsgmeinschaft with a grant SPP 'Antarctic Research' MA 3347/10-1. Analysis and graphics are made using QGIS package Quantarctica, and the NCAR Command Language (http://dx.doi.org/10.5065/D6WD3XH5). TanDEM-X SLC data were provided by the German Space Agency (DLR) within the proposal ATI_GLAC0267.</t>
  </si>
  <si>
    <t>1758-678X</t>
  </si>
  <si>
    <t>1758-6798</t>
  </si>
  <si>
    <t>NAT CLIM CHANGE</t>
  </si>
  <si>
    <t>Nat. Clim. Chang.</t>
  </si>
  <si>
    <t>10.1038/NCLIMATE3180</t>
  </si>
  <si>
    <t>Environmental Sciences; Environmental Studies; Meteorology &amp; Atmospheric Sciences</t>
  </si>
  <si>
    <t>EN9VC</t>
  </si>
  <si>
    <t>WOS:000396346700016</t>
  </si>
  <si>
    <t>Markle, BR; Steig, EJ; Buizert, C; Schoenemann, SW; Bitz, CM; Fudge, TJ; Pedro, JB; Ding, QH; Jones, TR; White, JC; Sowers, T</t>
  </si>
  <si>
    <t>Markle, Bradley R.; Steig, Eric J.; Buizert, Christo; Schoenemann, Spruce W.; Bitz, Cecilia M.; Fudge, T. J.; Pedro, Joel B.; Ding, Qinghua; Jones, Tyler R.; White, JamesW. C.; Sowers, Todd</t>
  </si>
  <si>
    <t>Global atmospheric teleconnections during Dansgaard-Oeschger events</t>
  </si>
  <si>
    <t>NATURE GEOSCIENCE</t>
  </si>
  <si>
    <t>LAST GLACIAL PERIOD; DEEP ICE CORE; SOUTHERN-OCEAN; ANTARCTIC ICE; CLIMATE; ATLANTIC; CHRONOLOGY; RAINFALL; RECORDS; ITCZ</t>
  </si>
  <si>
    <t>During the last glacial period, the North Atlantic region experienced a series of Dansgaard-Oeschger cycles in which climate abruptly alternated between warm and cold periods. Corresponding variations in Antarctic surface temperature were out of phase with their Northern Hemisphere counterparts. The temperature relationship between the hemispheres is commonly attributed to an interhemispheric redistribution of heat by the ocean overturning circulation. Changes in ocean heat transport should be accompanied by changes in atmospheric circulation to satisfy global energy budget constraints. Although changes in tropical atmospheric circulation linked to abrupt events in the Northern Hemisphere are well documented, evidence for predicted changes in the Southern Hemisphere's atmospheric circulation during Dansgaard-Oeschger cycles is lacking. Here we use a high-resolution deuterium-excess record from West Antarctica to show that the latitude of the mean moisture source for Antarctic precipitation changed in phase with abrupt shifts in Northern Hemisphere climate, and significantly before Antarctic temperature change. This provides direct evidence that Southern Hemisphere mid-latitude storm tracks shifted within decades of abrupt changes in the North Atlantic, in parallel with meridional migrations of the intertropical convergence zone. We conclude that both oceanic and atmospheric processes, operating on different timescales, link the hemispheres during abrupt climate change.</t>
  </si>
  <si>
    <t>[Markle, Bradley R.; Steig, Eric J.; Schoenemann, Spruce W.; Fudge, T. J.] Univ Washington, Dept Earth &amp; Space Sci, Seattle, WA 98195 USA; [Steig, Eric J.; Bitz, Cecilia M.] Univ Washington, Dept Atmospher Sci, Seattle, WA 98195 USA; [Buizert, Christo] Oregon State Univ, Coll Earth Ocean &amp; Atmospher Sci, Corvallis, OR 97331 USA; [Pedro, Joel B.] Univ Copenhagen, Ctr Ice &amp; Climate, DKK-2100 Copenhagen, Denmark; [Ding, Qinghua] Univ Calif Santa Barbara, Dept Geog, Santa Barbara, CA 93016 USA; [Jones, Tyler R.; White, JamesW. C.] Univ Colorado, Inst Arctic &amp; Alpine Res, Boulder, CO 80309 USA; [Sowers, Todd] Penn State Univ, Dept Geosci, University Pk, PA 16802 USA</t>
  </si>
  <si>
    <t>University of Washington; University of Washington Seattle; University of Washington; University of Washington Seattle; Oregon State University; University of Copenhagen; University of California System; University of California Santa Barbara; University of Colorado System; University of Colorado Boulder; Pennsylvania Commonwealth System of Higher Education (PCSHE); Pennsylvania State University; Pennsylvania State University - University Park</t>
  </si>
  <si>
    <t>Markle, BR (corresponding author), Univ Washington, Dept Earth &amp; Space Sci, Seattle, WA 98195 USA.</t>
  </si>
  <si>
    <t>marklebr@uw.edu</t>
  </si>
  <si>
    <t>Steig, Eric J/G-9088-2015; Pedro, Joel/M-5632-2014; Pedro, Joel Benjamin/L-8918-2019; Markle, Bradley R/I-6132-2019; White, James W.C./A-7845-2009; Bitz, Cecilia M/S-8423-2016</t>
  </si>
  <si>
    <t>Pedro, Joel/0000-0002-0728-2712; Pedro, Joel Benjamin/0000-0002-0728-2712;</t>
  </si>
  <si>
    <t>US National Science Foundation Division of Polar Programs [0537930, 1043092, 0537593, 1043167, 0538538, 1043500, 0944197, 1043518, 1341497]; NOAA Climate and Global Change postdoctoral fellowship program; Joint Institute for the Study of the Atmosphere and Ocean (JISAO Contribution) [2462]; Marie Curie International Incoming Fellowship; NASA National Earth and Space Sciences Fellowship; ARCS Foundation scholarship; Directorate For Geosciences; Office of Polar Programs (OPP) [1043518, 0538538, 1043092, 0537593, 0944197] Funding Source: National Science Foundation; Directorate For Geosciences; Office of Polar Programs (OPP) [1341497, 1043500, 0537930, 1043167] Funding Source: National Science Foundation; Div Of Information &amp; Intelligent Systems; Direct For Computer &amp; Info Scie &amp; Enginr [1245947] Funding Source: National Science Foundation; Office Of The Director; Office Of Internatl Science &amp;Engineering [0968391] Funding Source: National Science Foundation</t>
  </si>
  <si>
    <t>US National Science Foundation Division of Polar Programs(National Science Foundation (NSF)); NOAA Climate and Global Change postdoctoral fellowship program(National Oceanic Atmospheric Admin (NOAA) - USA); Joint Institute for the Study of the Atmosphere and Ocean (JISAO Contribution); Marie Curie International Incoming Fellowship(European Union (EU)); NASA National Earth and Space Sciences Fellowship; ARCS Foundation scholarship; Directorate For Geosciences; Office of Polar Programs (OPP)(National Science Foundation (NSF)NSF - Directorate for Geosciences (GEO)); Directorate For Geosciences; Office of Polar Programs (OPP)(National Science Foundation (NSF)NSF - Directorate for Geosciences (GEO)); Div Of Information &amp; Intelligent Systems; Direct For Computer &amp; Info Scie &amp; Enginr(National Science Foundation (NSF)NSF - Directorate for Computer &amp; Information Science &amp; Engineering (CISE)); Office Of The Director; Office Of Internatl Science &amp;Engineering(National Science Foundation (NSF)NSF - Office of the Director (OD))</t>
  </si>
  <si>
    <t>We thank A. J. Schauer and P. D. Neff for assistance with the measurements, E. J. Brook, V. Gkinis and H. C. Steen-Larsen for insightful discussions, and B. Stenni for sharing data. We acknowledge grants from the US National Science Foundation Division of Polar Programs (0537930, 1043092 to E. J. S.; 0537593, 1043167 to J. W. C. W.; 0538538, 1043500 to T. S.; 0944197 to T. J. F.; 1043518 to E. J. Brook; and 1341497 to C. M. B.). We acknowledge grants from NOAA Climate and Global Change postdoctoral fellowship program, administered by the University Corporation for Atmospheric Research (to C. B.); support from the Joint Institute for the Study of the Atmosphere and Ocean (JISAO Contribution no. 2462) and from a Marie Curie International Incoming Fellowship (to J. B. P.); NASA National Earth and Space Sciences Fellowship (to T. J. F.); and ARCS Foundation scholarship (to B. R. M.).</t>
  </si>
  <si>
    <t>1752-0894</t>
  </si>
  <si>
    <t>1752-0908</t>
  </si>
  <si>
    <t>NAT GEOSCI</t>
  </si>
  <si>
    <t>Nat. Geosci.</t>
  </si>
  <si>
    <t>10.1038/NGEO2848</t>
  </si>
  <si>
    <t>EK7PI</t>
  </si>
  <si>
    <t>WOS:000394117300011</t>
  </si>
  <si>
    <t>Toy, VG; Sutherland, R; Townend, J; Allen, MJ; Becroft, L; Boles, A; Boulton, C; Carpenter, B; Cooper, A; Cox, SC; Daube, C; Faulkner, DR; Halfpenny, A; Kato, N; Keys, S; Kirilova, M; Kometani, Y; Little, T; Mariani, E; Melosh, B; Menzies, CD; Morales, L; Morgan, C; Mori, H; Niemeijer, A; Norris, R; Prior, D; Sauer, K; Schleicher, AM; Shigematsu, N; Teagle, DAH; Tobin, H; Valdez, R; Williams, J; Yeo, S; Baratin, LM; Barth, N; Benson, A; Boese, C; Célérier, B; Chamberlain, CJ; Conze, R; Coussens, J; Craw, L; Doan, ML; Eccles, J; Grieve, J; Grochowski, J; Gulley, A; Howarth, J; Jacobs, K; Janku-Capova, L; Jeppson, T; Langridge, R; Mallyon, D; Marx, R; Massiot, C; Mathewson, L; Moore, J; Nishikawa, O; Pooley, B; Pyne, A; Savage, MK; Schmitt, D; Taylor-Offord, S; Upton, P; Weaver, KC; Wiersberg, T; Zimmer, M</t>
  </si>
  <si>
    <t>Toy, Virginia Gail; Sutherland, Rupert; Townend, John; Allen, Michael J.; Becroft, Leeza; Boles, Austin; Boulton, Carolyn; Carpenter, Brett; Cooper, Alan; Cox, Simon C.; Daube, Christopher; Faulkner, Daniel R.; Halfpenny, Angela; Kato, Naoki; Keys, Stephen; Kirilova, Martina; Kometani, Yusuke; Little, Timothy; Mariani, Elisabetta; Melosh, Benjamin; Menzies, Catriona D.; Morales, Luiz; Morgan, Chance; Mori, Hiroshi; Niemeijer, Andre; Norris, Richard; Prior, David; Sauer, Katrina; Schleicher, Anja M.; Shigematsu, Norio; Teagle, Damon A. H.; Tobin, Harold; Valdez, Robert; Williams, Jack; Yeo, Samantha; Baratin, Laura-May; Barth, Nicolas; Benson, Adrian; Boese, Carolin; Celerier, Bernard; Chamberlain, Calum J.; Conze, Ronald; Coussens, Jamie; Craw, Lisa; Doan, Mai-Linh; Eccles, Jennifer; Grieve, Jason; Grochowski, Julia; Gulley, Anton; Howarth, Jamie; Jacobs, Katrina; Janku-Capova, Lucie; Jeppson, Tamara; Langridge, Robert; Mallyon, Deirdre; Marx, Ray; Massiot, Cecile; Mathewson, Loren; Moore, Josephine; Nishikawa, Osamu; Pooley, Brent; Pyne, Alex; Savage, Martha K.; Schmitt, Doug; Taylor-Offord, Sam; Upton, Phaedra; Weaver, Konrad C.; Wiersberg, Thomas; Zimmer, Martin</t>
  </si>
  <si>
    <t>DFDP-2 Sci Team</t>
  </si>
  <si>
    <t>Bedrock geology of DFDP-2B, central Alpine Fault, New Zealand</t>
  </si>
  <si>
    <t>NEW ZEALAND JOURNAL OF GEOLOGY AND GEOPHYSICS</t>
  </si>
  <si>
    <t>Alpine Fault; New Zealand; scientific drilling; mylonite; cataclasite</t>
  </si>
  <si>
    <t>DYNAMIC RECRYSTALLIZATION; SOUTHERN ALPS; OBLIQUE-SLIP; OTAGO SCHIST; ZONE; MYLONITES; HISTORY; FABRICS; MICROSTRUCTURES; ARCHITECTURE</t>
  </si>
  <si>
    <t>Duringthesecondphaseof theAlpineFault, DeepFault Drilling Project (DFDP) in theWhataroa River, South Westland, New Zealand, bedrock was encountered in the DFDP-2B borehole from 238.5-893.2 m Measured Depth (MD). Continuous sampling and meso-to microscale characterisation of whole rock cuttings established that, in sequence, the borehole sampled amphibolite facies, Torlesse Composite Terrane-derived schists, protomylonites and mylonites, terminating 200-400 m above an Alpine Fault Principal Slip Zone (PSZ) with a maximum dip of 62 degrees. The most diagnostic structural features of increasing PSZ proximity were the occurrence of shear bands and reduction in mean quartz grain sizes. A change in composition to greater mica: quartz + feldspar, most markedly below c. 700 m MD, is inferred to result from either heterogeneous sampling or a change in lithology related to alteration. Major oxide variations suggest the fault-proximal Alpine Fault alteration zone, as previously defined in DFDP-1 core, was not sampled.</t>
  </si>
  <si>
    <t>[Toy, Virginia Gail; Becroft, Leeza; Cooper, Alan; Kirilova, Martina; Norris, Richard; Prior, David; Sauer, Katrina; Williams, Jack; Yeo, Samantha; Grieve, Jason; Marx, Ray; Mathewson, Loren; Pooley, Brent; DFDP-2 Sci Team] Univ Otago, Dept Geol, Dunedin, New Zealand; [Toy, Virginia Gail] Hokkaido Univ, Earth &amp; Planetary Syst Sci, Dept Nat Hist Sci, Grad Sch Sci, Sapporo, Hokkaido, Japan; [Sutherland, Rupert; Townend, John; Boulton, Carolyn; Keys, Stephen; Little, Timothy; Baratin, Laura-May; Benson, Adrian; Chamberlain, Calum J.; Grochowski, Julia; Howarth, Jamie; Jacobs, Katrina; Janku-Capova, Lucie; Taylor-Offord, Sam; Weaver, Konrad C.] Victoria Univ Wellington, Sch Geog Environm &amp; Earth Sci, Wellington, New Zealand; [Allen, Michael J.; Boulton, Carolyn; Faulkner, Daniel R.; Mariani, Elisabetta] Univ Liverpool, Dept Earth &amp; Ocean Sci, Liverpool, Merseyside, England; [Boles, Austin] Univ Michigan, Dept Earth &amp; Environm Sci, Ann Arbor, MI 48109 USA; [Carpenter, Brett; Morgan, Chance] Univ Oklahoma, Sch Geol &amp; Geophys, Norman, OK 73019 USA; [Cox, Simon C.; Langridge, Robert; Massiot, Cecile; Upton, Phaedra] GNS Sci Ltd, Dunedin, New Zealand; [Daube, Christopher] Univ Potsdam, Inst Earth &amp; Environm Sci, Potsdam, Germany; [Halfpenny, Angela] Curtin Univ, John Laeter Ctr, Microscopy &amp; Microanal Facil, Perth, WA, Australia; [Halfpenny, Angela] Cent Washington Univ, Dept Geol Sci, Ellensburg, WA USA; [Kato, Naoki] Osaka Univ, Dept Sci, Toyonaka, Osaka, Japan; [Kometani, Yusuke] Yamaguchi Univ, Dept Geosphere Sci, Yamaguchi, Japan; [Kometani, Yusuke] Ube Ind Corp, Yamaguchi, Japan; [Melosh, Benjamin] US Geol Survey, 345 Middlefield Rd, Menlo Pk, CA 94025 USA; [Melosh, Benjamin] McGill Univ, Dept Earth &amp; Planetary Sci, Montreal, PQ, Canada; [Menzies, Catriona D.; Teagle, Damon A. H.; Coussens, Jamie] Univ Southampton, Natl Oceanog Ctr Southampton, Ocean &amp; Earth Sci, Southampton, Hants, England; [Morales, Luiz] ETH, ScopeM, Zurich, Switzerland; [Mori, Hiroshi] Shinshu Univ, Fac Sci, Nagano, Japan; [Niemeijer, Andre] Univ Utrecht, Dept Geosci, Utrecht, Netherlands; [Schleicher, Anja M.; Conze, Ronald; Wiersberg, Thomas; Zimmer, Martin] Helmholtz Ctr Potsdam, GFZ German Res Ctr Geosci, Potsdam, Germany; [Shigematsu, Norio] Geol Survey Japan, Ibaraki, Japan; [Tobin, Harold] Univ Wisconsin Madison, Dept Geosci, Madison, WI USA; [Valdez, Robert] Penn State Univ, Rock &amp; Sediment Lab, University Pk, PA 16802 USA; [Barth, Nicolas] Univ Calif Riverside, Dept Earth Sci, Riverside, CA 92521 USA; [Boese, Carolin; Eccles, Jennifer; Gulley, Anton] Univ Auckland, Sch Environm, Auckland, New Zealand; [Celerier, Bernard] Univ Montpellier, CNRS, Montpellier, France; [Doan, Mai-Linh] Univ Grenoble Alpes, St Martin Heres, ISTerre, Rhone Alpes, France; [Jeppson, Tamara] Univ Wisconsin Madison, Dept Geosci Madison, Madison, WI USA; [Mallyon, Deirdre; Schmitt, Doug] Univ Alberta, Dept Phys, Edmonton, AB, Canada; [Moore, Josephine] Macquarie Univ, Fac Sci, Macquarie Pk, NSW, Australia; [Nishikawa, Osamu] Akita Univ, Dept Earth Resource Sci, Grad Sch Int Resource Sci, Akita, Japan; [Pyne, Alex] Victoria Univ Wellington, Antarctic Res Ctr, Wellington, New Zealand; [Savage, Martha K.] Victoria Univ Wellington, Inst Geophys, Wellington, New Zealand</t>
  </si>
  <si>
    <t>University of Otago; Hokkaido University; Victoria University Wellington; University of Liverpool; University of Michigan System; University of Michigan; University of Oklahoma System; University of Oklahoma - Norman; University of Potsdam; Curtin University; Central Washington University; Osaka University; Yamaguchi University; Ube Industries Ltd.; United States Department of the Interior; United States Geological Survey; McGill University; NERC National Oceanography Centre; University of Southampton; Swiss Federal Institutes of Technology Domain; ETH Zurich; Shinshu University; Utrecht University; Helmholtz Association; Helmholtz-Center Potsdam GFZ German Research Center for Geosciences; National Institute of Advanced Industrial Science &amp; Technology (AIST); University of Wisconsin System; University of Wisconsin Madison; Pennsylvania Commonwealth System of Higher Education (PCSHE); Pennsylvania State University; Pennsylvania State University - University Park; University of California System; University of California Riverside; University of Auckland; Centre National de la Recherche Scientifique (CNRS); Universite de Montpellier; Communaute Universite Grenoble Alpes; Universite Grenoble Alpes (UGA); Centre National de la Recherche Scientifique (CNRS); Institut de Recherche pour le Developpement (IRD); Universite Gustave-Eiffel; Universite Savoie Mont Blanc; University of Wisconsin System; University of Wisconsin Madison; University of Alberta; Macquarie University; Akita University; Victoria University Wellington; Victoria University Wellington</t>
  </si>
  <si>
    <t>Toy, VG (corresponding author), Helmholtz Ctr Potsdam, GFZ German Res Ctr Geosci, Int Continental Sci Drilling Program ICDP, Telegrafenberg, D-14473 Potsdam, Germany.</t>
  </si>
  <si>
    <t>virginia.toy@otago.ac.nz</t>
  </si>
  <si>
    <t>Halfpenny, Angela/G-3975-2011; Williams, Jack/L-1239-2019; Célérier, Bernard/AAF-3855-2019; Shigematsu, Naoyuki/B-9374-2014; Boulton, Carolyn/Z-1995-2019; Sutherland, Rupert/Y-9290-2019; Williams, Jack/JBJ-9584-2023; Tobin, Harold/JYO-7726-2024; Doan, Mai-Linh/E-9589-2012; Mori, Hiroshi/AFM-8309-2022; Boles, Austin/AAK-2282-2021; Niemeijer, Andre/AHE-5571-2022; Faulkner, Daniel/F-7589-2011; Niemeijer, Andre/W-5388-2019; Townend, John/B-5923-2012; Allen, Michael J/Q-4468-2017; Toy, Virginia/F-9912-2014; Shigematsu, Norio/N-2150-2018; Craw, Lisa/V-5681-2018; Savage, Martha/F-1857-2011</t>
  </si>
  <si>
    <t>Halfpenny, Angela/0000-0001-6560-3134; Williams, Jack/0000-0001-6669-308X; Boulton, Carolyn/0000-0003-0597-6152; Sutherland, Rupert/0000-0001-7430-0055; Tobin, Harold/0000-0002-1447-6873; Mori, Hiroshi/0000-0002-4073-440X; Boles, Austin/0000-0003-3072-3309; Niemeijer, Andre/0000-0003-3983-9308; Townend, John/0000-0002-7017-620X; Sauer, Katrina/0000-0001-5668-7997; Carpenter, Brett/0000-0002-3451-2528; Upton, Phaedra/0000-0003-4052-301X; Allen, Michael John/0000-0001-5068-3661; Gulley, Anton/0000-0003-0759-1897; Boese, Carolin/0000-0002-2383-2219; Massiot, Cecile/0000-0002-7250-8554; Schleicher, Anja/0000-0003-4052-8654; Janku-Capova, Lucie/0000-0003-4882-2380; Toy, Virginia/0000-0002-7621-2064; Kirilova, Martina/0000-0002-1359-9193; Grochowski, Julia/0000-0002-7795-4852; Baratin, Laura-May/0000-0003-3037-8947; Cox, Simon C./0000-0001-5899-8035; Shigematsu, Norio/0000-0001-8028-2738; Chamberlain, Calum John/0000-0003-2317-2609; Mori, Hiroshi/0000-0003-0827-2054; Menzies, Catriona/0000-0003-3268-0007; Benson, Adrian/0000-0003-1428-3016; Howarth, Jamie/0000-0003-4365-0292; Prior, David/0000-0002-4653-2112; Teagle, Damon/0000-0002-4416-8409; Craw, Lisa/0000-0002-6809-3587; Moore, Jo/0000-0003-1842-5595; Savage, Martha/0000-0002-2080-0676; Faulkner, Daniel/0000-0002-6750-3775; Langridge, Robert/0000-0002-5092-0468</t>
  </si>
  <si>
    <t>International Continental Scientific Drilling Program (ICDP) [01-2011]; Royal Society of New Zealand; Marsden Fund [GNS1002, UOO1116, UOA1414]; Ministry of Business, Innovation and Employment [UOOX1413]; Natural Environment Research Council (NERC) [NEJ022128/1, NE/J024449/1]; Natural Environment Research Council [NE/J024449/1, NE/H012842/1, 1364056, 1544352, NE/J022128/1] Funding Source: researchfish; New Zealand Ministry of Business, Innovation &amp; Employment (MBIE) [UOOX1413] Funding Source: New Zealand Ministry of Business, Innovation &amp; Employment (MBIE); Directorate For Geosciences; Division Of Earth Sciences [1215711] Funding Source: National Science Foundation; Grants-in-Aid for Scientific Research [26109004] Funding Source: KAKEN; NERC [NE/J022128/1, NE/J024449/1, NE/H012842/1] Funding Source: UKRI</t>
  </si>
  <si>
    <t>International Continental Scientific Drilling Program (ICDP); Royal Society of New Zealand(Royal Society of New Zealand); Marsden Fund(Royal Society of New ZealandMarsden Fund (NZ)); Ministry of Business, Innovation and Employment(New Zealand Ministry of Business, Innovation and Employment (MBIE)); Natural Environment Research Council (NERC)(UK Research &amp; Innovation (UKRI)Natural Environment Research Council (NERC)); Natural Environment Research Council(UK Research &amp; Innovation (UKRI)Natural Environment Research Council (NERC)); New Zealand Ministry of Business, Innovation &amp; Employment (MBIE)(New Zealand Ministry of Business, Innovation and Employment (MBIE)); Directorate For Geosciences; Division Of Earth Sciences(National Science Foundation (NSF)NSF - Directorate for Geosciences (GEO)); Grants-in-Aid for Scientific Research(Ministry of Education, Culture, Sports, Science and Technology, Japan (MEXT)Japan Society for the Promotion of ScienceGrants-in-Aid for Scientific Research (KAKENHI)); NERC(UK Research &amp; Innovation (UKRI)Natural Environment Research Council (NERC))</t>
  </si>
  <si>
    <t>Funding was provided by the International Continental Scientific Drilling Program (ICDP, grant no. 01-2011), Royal Society of New Zealand, Marsden Fund grants GNS1002, and UOO1116, UOA1414, Ministry of Business, Innovation and Employment, grant UOOX1413 and Natural Environment Research Council (NERC) grants NEJ022128/1 and NE/J024449/1.</t>
  </si>
  <si>
    <t>0028-8306</t>
  </si>
  <si>
    <t>1175-8791</t>
  </si>
  <si>
    <t>NEW ZEAL J GEOL GEOP</t>
  </si>
  <si>
    <t>N. Z. J. Geol. Geophys.</t>
  </si>
  <si>
    <t>10.1080/00288306.2017.1375533</t>
  </si>
  <si>
    <t>Geology; Geosciences, Multidisciplinary</t>
  </si>
  <si>
    <t>FO4HH</t>
  </si>
  <si>
    <t>WOS:000416802100014</t>
  </si>
  <si>
    <t>Dziak, RP; Hong, J; Kang, SG; Lau, TK; Haxel, JH; Matsumoto, H</t>
  </si>
  <si>
    <t>Dziak, Robert P.; Hong, Jongkuk; Kang, Seung-Goo; Lau, Tai-Kwan; Haxel, Joseph H.; Matsumoto, Haruyoshi</t>
  </si>
  <si>
    <t>The Balleny Island Hydrophone Array: Hydro-acoustic records of sea-ice dynamics, seafloor volcano-tectonic activity, and marine mammal vocalizations off Antarctica</t>
  </si>
  <si>
    <t>OCEANS 2017 - ABERDEEN</t>
  </si>
  <si>
    <t>OCEANS-IEEE</t>
  </si>
  <si>
    <t>Oceans Aberdeen Conference</t>
  </si>
  <si>
    <t>JUN 19-22, 2017</t>
  </si>
  <si>
    <t>Aberdeen, ENGLAND</t>
  </si>
  <si>
    <t>hydroacoustics; sea-ice; volcanic islands; earthquakes; icequakes; marine mammals</t>
  </si>
  <si>
    <t>An array of 5-hydrophone moorings was deployed north of the Balleny Islands, a chain of subaerial/submarine volcanoes located near the Ross Sea, Antarctica. The acoustic records are dominated by broadband, short duration icequake signals created by the impact and breakup of sea-ice in the region. Spectral records of icequakes show sea-ice breakup is a maximum during the austral summer-fall months, and lowest during the late-winter spring months, consistent with seasonal freeze-thaw cycles. The hydrophones records also contain short-duration (30 sec), low-frequency (100 Hz) signals of harmonic tremor with multiple overtones that are likely caused by the grounding of large icebergs on the Antarctic continental shelf. Several hundred earthquakes were also recorded by the hydrophone array. The largest earthquakes (4.3-6.1 mb) occurred on the Pacific-Antarctic Ridge north of the Balleny Islands. Source bearing information indicates several small earthquakes were also detected from the Balleny Islands, however accurate event locations are not yet available. The vocalizations of blue (Balaenoptera musculus) and fin (B. physalus) whales also dominate the long-term spectral records in the 15-28 and 89 Hz bands. In addition, the vocalizations of leopard seals (Hydrurga leptonyx) are observed in the 200-400 Hz band during the austral spring months of 2015.</t>
  </si>
  <si>
    <t>[Dziak, Robert P.] Natl Ocean &amp; Atmospher Adm, Pacific Marine Environm Lab, Newport, OR 97365 USA; [Hong, Jongkuk; Kang, Seung-Goo] Korea Polar Res Inst, 26 Songdomirae Ro, Incheon 21990, South Korea; [Lau, Tai-Kwan; Haxel, Joseph H.; Matsumoto, Haruyoshi] Oregon State Univ, Cooperat Inst Marine Resources Studies, NOAA, Pacific Marine Environm Lab, Newport, OR 97365 USA</t>
  </si>
  <si>
    <t>National Oceanic Atmospheric Admin (NOAA) - USA; Korea Polar Research Institute (KOPRI); National Oceanic Atmospheric Admin (NOAA) - USA; Oregon State University</t>
  </si>
  <si>
    <t>Dziak, RP (corresponding author), Natl Ocean &amp; Atmospher Adm, Pacific Marine Environm Lab, Newport, OR 97365 USA.</t>
  </si>
  <si>
    <t>Robert.p.dziak@noaa.gov; jkhong@kopri.re.kr</t>
  </si>
  <si>
    <t>Dziak, Robert/AAC-6107-2020; Matsumoto, Haru/J-6812-2017</t>
  </si>
  <si>
    <t>Matsumoto, Haru/0000-0002-0202-4060; Kang, Seung-Goo/0000-0001-6532-3482</t>
  </si>
  <si>
    <t>Korea Ocean and Polar Research Institute [PE17050]</t>
  </si>
  <si>
    <t>Korea Ocean and Polar Research Institute</t>
  </si>
  <si>
    <t>The authors thank the captain and crew of the R/V Araon for their support during staging and deployment of the hydrophone arrays. This work was sponsored by the Korea Ocean and Polar Research Institute, project number PE17050. This paper is NOAA/PMEL contribution number 4654.</t>
  </si>
  <si>
    <t>0197-7385</t>
  </si>
  <si>
    <t>978-1-5090-5278-3</t>
  </si>
  <si>
    <t>Acoustics; Engineering, Marine; Oceanography</t>
  </si>
  <si>
    <t>Acoustics; Engineering; Oceanography</t>
  </si>
  <si>
    <t>BJ7BS</t>
  </si>
  <si>
    <t>WOS:000426997000009</t>
  </si>
  <si>
    <t>Shukla, P; Edwards, MS</t>
  </si>
  <si>
    <t>Shukla, Priya; Edwards, Matthew S.</t>
  </si>
  <si>
    <t>Elevated pCO2 is less detrimental than increased temperature to early development of the giant kelp, Macrocystis pyrifera (Phaeophyceae, Laminariales)</t>
  </si>
  <si>
    <t>PHYCOLOGIA</t>
  </si>
  <si>
    <t>Carbon dioxide; Climate change; Gametophyte; Germling; Global warming; Kelp forest; Marine habitat; Ocean acidification; Sex ratio; Sporophyte</t>
  </si>
  <si>
    <t>WESTERN ANTARCTIC PENINSULA; LIFE-HISTORY STAGES; OCEAN ACIDIFICATION; CLIMATE-CHANGE; PTERYGOPHORA-CALIFORNICA; NUTRIENT AVAILABILITY; MEIOSPORE GERMINATION; SOUTHERN-CALIFORNIA; BAJA-CALIFORNIA; LOWERED PH</t>
  </si>
  <si>
    <t>Global climate change is increasing ocean temperature and partial pressure of CO2 (pCO(2)) in coastal and marine ecosystems. Research in this field has largely focused on how limited CO32- availability and low pH adversely affect early development of calcifying organisms, but noncalcareous organisms are comparatively understudied despite their prevalence in many coastal communities. We investigated how present-day and future levels of ocean temperature (12 degrees C vs 15 degrees C, respectively) and pCO(2) (400 mu atm vs 1500 mu atm, respectively) influence successful germling production, gametophyte survival, growth, and sex ratio, and embryonic sporophyte production and growth in the habitat-forming kelp Macrocystis pyrifera over a 15-wk period in San Diego, California, USA. Our results indicate that relative to present-day conditions, successful germling production was reduced fourfold under elevated temperature alone, and fivefold under combined elevated temperature and pCO(2) (i.e. future conditions''). Similarly, survival and growth of male and female gametophytes were lower under elevated temperature alone than under either present-day, elevated pCO(2) alone, or future conditions. Gametophyte sex ratios skewed slightly toward males across all treatments. Sporophyte recruitment and growth were greatest and occurred earliest under elevated pCO(2) alone, but were delayed under elevated temperature alone. Although elevated pCO(2) and temperature adversely affected germling production independently and cumulatively, elevated pCO(2) enhanced gametophyte and sporophyte survival under both present-day and elevated temperatures. Thus, under projected climate change conditions, elevated pCO(2) may be less detrimental than increased temperature for development beyond germling production. Given that M. pyrifera is globally distributed and provides numerous ecosystem services including the potential to mitigate ocean acidification, impacts of climate change on its complex life history merit further exploration.</t>
  </si>
  <si>
    <t>[Shukla, Priya; Edwards, Matthew S.] San Diego State Univ, Coastal &amp; Marine Inst Lab, 5500 Campanile Dr, San Diego, CA 92182 USA; [Shukla, Priya] Univ Calif Davis, Bodega Marine Lab, 2099 Westshore Rd, Bodega Bay, CA 94923 USA</t>
  </si>
  <si>
    <t>California State University System; San Diego State University; University of California System; University of California Davis</t>
  </si>
  <si>
    <t>Shukla, P (corresponding author), San Diego State Univ, Coastal &amp; Marine Inst Lab, 5500 Campanile Dr, San Diego, CA 92182 USA.;Shukla, P (corresponding author), Univ Calif Davis, Bodega Marine Lab, 2099 Westshore Rd, Bodega Bay, CA 94923 USA.</t>
  </si>
  <si>
    <t>pshukla@ucdavis.edu</t>
  </si>
  <si>
    <t>Shukla, Priya/0000-0002-7036-8367</t>
  </si>
  <si>
    <t>SDSU; Coastal and Marine Institute Laboratory; Scripps Institution of Oceanography; California State University Council on Ocean Affairs, Science and Technology; Harold and June Grant Memorial Scholarships</t>
  </si>
  <si>
    <t>SDSU; Coastal and Marine Institute Laboratory; Scripps Institution of Oceanography(University of California System); California State University Council on Ocean Affairs, Science and Technology; Harold and June Grant Memorial Scholarships</t>
  </si>
  <si>
    <t>We thank C. Gramlich, A. Warneke, and B. McCollum for their assistance with sample collections. We thank SDSU, the Coastal and Marine Institute Laboratory, and Scripps Institution of Oceanography for their support. Research was conducted under permits courtesy of the California Department of Fish and Wildlife (SC-12661, SC-751). This research was supported by SDSU Grants, a California State University Council on Ocean Affairs, Science and Technology Graduate Student Research Award, and Harold and June Grant Memorial Scholarships. This is contribution no. 53 to the Coastal and Marine Institute Laboratory, SDSU.</t>
  </si>
  <si>
    <t>INT PHYCOLOGICAL SOC</t>
  </si>
  <si>
    <t>LAWRENCE</t>
  </si>
  <si>
    <t>NEW BUSINESS OFFICE, PO BOX 1897, LAWRENCE, KS 66044-8897 USA</t>
  </si>
  <si>
    <t>0031-8884</t>
  </si>
  <si>
    <t>Phycologia</t>
  </si>
  <si>
    <t>10.2216/16-120.1</t>
  </si>
  <si>
    <t>Plant Sciences; Marine &amp; Freshwater Biology</t>
  </si>
  <si>
    <t>FL6ES</t>
  </si>
  <si>
    <t>WOS:000414338600004</t>
  </si>
  <si>
    <t>Jara-Carrasco, S; Barra, R; Espejo, W; Celis, JE; González-Acuña, D; Chiang, G; Sánchez-Hernández, J</t>
  </si>
  <si>
    <t>Jara-Carrasco, Solange; Barra, Ricardo; Espejo, Winfred; Celis, Jose E.; Gonzalez-Acuna, Daniel; Chiang, Gustavo; Sanchez-Hernandez, Juan</t>
  </si>
  <si>
    <t>Persistent organic pollutants and porphyrin levels in excreta of penguin colonies from the Antarctic Peninsula area</t>
  </si>
  <si>
    <t>POLAR RECORD</t>
  </si>
  <si>
    <t>POLYCHLORINATED BIPHENYL CONGENERS; KING-GEORGE ISLAND; GENTOO PENGUINS; PYGOSCELIS-PAPUA; TRACE-METALS; NONDESTRUCTIVE BIOMARKER; CHLORINATED PESTICIDES; DIFFERENT LOCATIONS; HAZARD ASSESSMENT; BREEDING-SEASON</t>
  </si>
  <si>
    <t>Persistent organic pollutants (POPs) and their effects on Antarctic seabirds by using excreta as a non-destructive biomonitoring tool have received little consideration. Here we determine the levels of polychlorinated biphenyls (PCBs) and some organochlorine pesticides such as dichlorodiphenyltrichloroethanes (DDTs), hexachlorobencene (HCB), heptachlor, and endrin aldehyde in penguin excreta. Animal exposure to these environmental contaminants was determined through porphyrins in penguin droppings. Stool samples of Adelie penguin (Pygoscelis adeliae), chinstrap penguin (Pygoscelis antarctica) and gentoo penguin (Pygoscelis papua) were collected on two locations of the Antarctic Peninsula area: Base OHiggins (Antarctic Peninsula) and Ardley Island (King George Island). Despite POPs have been banned more than three decades ago, the levels (ng g(-1) ww) of PCBs (1.45-2.35), DDTs (1.33-1.76), HCB (0.51-1.70), endrin (0.48-0.71) and heptachlor (0.97-2.40) showed that these pollutants are still present in Antarctica. Porphyrin levels in excreta (4.6-6.7 nmol g(-1) dw) were significantly correlated to POPs, indicating certain chemical exposure on penguin colonies that inhabit the Antarctic Peninsula area. The levels of heptachlor found in penguin guano may be affecting some biota in terrestrial sites next to nesting places. Further studies and better understanding of POPs impact on animal performance in Antarctic biota are recommended.</t>
  </si>
  <si>
    <t>[Jara-Carrasco, Solange; Barra, Ricardo; Espejo, Winfred] Univ Concepcion, Dept Aquat Syst, Fac Environm Sci, Box 160C, Concepcion, Chile; [Jara-Carrasco, Solange; Barra, Ricardo; Espejo, Winfred] Univ Concepcion, EULA Chile Ctr, Box 160C, Concepcion, Chile; [Celis, Jose E.; Gonzalez-Acuna, Daniel] Univ Concepcion, Fac Vet Sci, Dept Anim Sci, Box 537, Chillan, Chile; [Chiang, Gustavo] Melimoyu Ecosyst Res Inst, Lo Beltran 2347 Vitacura, Santiago, Chile; [Sanchez-Hernandez, Juan] Univ Castilla La Mancha, Ecotoxicol Lab, Fac Environm Sci &amp; Biochem, Toledo, Spain</t>
  </si>
  <si>
    <t>Universidad de Concepcion; Universidad de Concepcion; Universidad de Concepcion; Universidad de Castilla-La Mancha</t>
  </si>
  <si>
    <t>Celis, JE (corresponding author), Univ Concepcion, Fac Vet Sci, Dept Anim Sci, Box 537, Chillan, Chile.</t>
  </si>
  <si>
    <t>jcelis@udec.cl</t>
  </si>
  <si>
    <t>Espejo, Winfred/AAO-7150-2020; Chiang, Gustavo/ABA-9349-2020; Sanchez-Hernandez, Juan C./E-8928-2011; Barra, Ricardo O./A-5543-2009; CELIS, JOSE/AAP-6048-2021</t>
  </si>
  <si>
    <t>Sanchez-Hernandez, Juan C./0000-0002-8295-0979; Barra, Ricardo O./0000-0002-1567-7722; Espejo, Winfred/0000-0002-3753-2006; CELIS, JOSE E./0000-0002-2458-1239; Chiang, Gustavo/0000-0003-4504-355X</t>
  </si>
  <si>
    <t>Chilean Antarctic Institute [INACH T-12-13, INACH RG 09-14]; Universidad de Concepcion [VRID 216.153.025-1.0]</t>
  </si>
  <si>
    <t>Chilean Antarctic Institute; Universidad de Concepcion</t>
  </si>
  <si>
    <t>This study was supported by the Chilean Antarctic Institute (through projects INACH T-12-13 and INACH RG 09-14) and by the Universidad de Concepcion (through project VRID 216.153.025-1.0).</t>
  </si>
  <si>
    <t>CAMBRIDGE UNIV PRESS</t>
  </si>
  <si>
    <t>32 AVENUE OF THE AMERICAS, NEW YORK, NY 10013-2473 USA</t>
  </si>
  <si>
    <t>0032-2474</t>
  </si>
  <si>
    <t>1475-3057</t>
  </si>
  <si>
    <t>POLAR REC</t>
  </si>
  <si>
    <t>POLAR REC.</t>
  </si>
  <si>
    <t>10.1017/S0032247416000607</t>
  </si>
  <si>
    <t>Ecology; Environmental Sciences</t>
  </si>
  <si>
    <t>EL4KA</t>
  </si>
  <si>
    <t>WOS:000394588900007</t>
  </si>
  <si>
    <t>Chandra, R; Parra, R; Iqbal, HMN</t>
  </si>
  <si>
    <t>Chandra, Rashmi; Parra, Roberto; Iqbal, Hafiz M. N.</t>
  </si>
  <si>
    <t>Phycobiliproeins: A Novel Green Tool from Marneorigin Blue-Green Algae and Red Algae</t>
  </si>
  <si>
    <t>PROTEIN AND PEPTIDE LETTERS</t>
  </si>
  <si>
    <t>Marine excipients; bioactive compounds; phycobiliproteins applications; cyanobacteria</t>
  </si>
  <si>
    <t>C-PHYCOCYANIN; SPIRULINA-PLATENSIS; IN-VIVO; NATURAL-PRODUCTS; R-PHYCOERYTHRIN; PHYCOBILISOME; PROTEIN; LIGHT; MICROALGAE; APOPTOSIS</t>
  </si>
  <si>
    <t>Marine species are comprising about a half of the whole global biodiversity; the sea offers an enormous resource for novel bioactive compounds. Several of the marine origin species show multifunctional bioactivities and characteristics that are useful for a discovery and/or reinvention of biologically active compounds. For millennia, marine species that includes cyanobacteria (blue-green algae) and red algae have been targeted to explore their enormous potential candidature status along with a wider spectrum of novel applications in bio- and non-bio sectors of the modern world. Among them, cyanobacteria are photosynthetic prokaryotes, phylogenetically a primitive group of Gramnegative prokaryotes, ranging from Arctic to Antarctic regions, capable of carrying out photosynthesis and nitrogen fixation. In the recent decade, a great deal of research attention has been paid on the pronouncement of bio-functional proteins along with novel peptides, vitamins, fine chemicals, renewable fuel and bioactive compounds, e.g., phycobiliproteins from marine species, cyanobacteria and red algae. Interestingly, they are extensively commercialized for natural colorants in food and cosmetics, antimicrobial, antioxidant, anti-inflammatory, neuroprotective, hepatoprotective agents and fluorescent neo-glycoproteins as probes for single particle fluorescence imaging fluorescent applications in clinical and immunological analysis. However, a comprehensive knowledge and technological base for augmenting their commercial utilities are lacking. Therefore, this paper will provide an overview of the phycobiliproteins-based research literature from marine cyanobacteria and red algae. This review is also focused towards analyzing global and commercial activities with application oriented-based research. Towards the end, the information is also given on the potential biotechnological and biomedical applications of phycobiliproteins.</t>
  </si>
  <si>
    <t>[Chandra, Rashmi; Parra, Roberto; Iqbal, Hafiz M. N.] Tecnol Monterrey, Sch Sci &amp; Engn, Campus Monterrey,Ave Eugenio Garza Sada 2501, Monterrey 64849, NL, Mexico</t>
  </si>
  <si>
    <t>Tecnologico de Monterrey</t>
  </si>
  <si>
    <t>Iqbal, HMN (corresponding author), Tecnol Monterrey, Sch Sci &amp; Engn, Campus Monterrey,Ave Eugenio Garza Sada 2501, Monterrey 64849, NL, Mexico.</t>
  </si>
  <si>
    <t>hafiz.iqbal@my.westminster.ac.uk</t>
  </si>
  <si>
    <t>Iqbal, H.M.N./J-5423-2014; Parra-Saldívar, Roberto/ABA-6768-2020; Chandra, Rashmi/E-1760-2013; Parra-Saldívar, Roberto/D-9611-2012; Bilal, Muhammad/AAH-6461-2020</t>
  </si>
  <si>
    <t>Iqbal, H.M.N./0000-0003-4855-2720; Parra-Saldívar, Roberto/0000-0002-4958-5797; Parra-Saldívar, Roberto/0000-0002-4958-5797; Bilal, Muhammad/0000-0001-5388-3183</t>
  </si>
  <si>
    <t>Emerging Technologies Research Group; Environmental Bioprocesses of Tecnologico de Monterrey</t>
  </si>
  <si>
    <t>This review work was supported by the Emerging Technologies Research Group and the Environmental Bioprocesses of Tecnologico de Monterrey. The authors would like to thank the Tecnologico de Monterrey, Mexico for providing literature references.</t>
  </si>
  <si>
    <t>BENTHAM SCIENCE PUBL LTD</t>
  </si>
  <si>
    <t>SHARJAH</t>
  </si>
  <si>
    <t>EXECUTIVE STE Y-2, PO BOX 7917, SAIF ZONE, 1200 BR SHARJAH, U ARAB EMIRATES</t>
  </si>
  <si>
    <t>0929-8665</t>
  </si>
  <si>
    <t>1875-5305</t>
  </si>
  <si>
    <t>PROTEIN PEPTIDE LETT</t>
  </si>
  <si>
    <t>Protein Pept. Lett.</t>
  </si>
  <si>
    <t>10.2174/0929866523666160802160222</t>
  </si>
  <si>
    <t>EP2YC</t>
  </si>
  <si>
    <t>WOS:000397248500005</t>
  </si>
  <si>
    <t>Johnson, CR; Chabot, RH; Marzloff, MP; Wotherspoon, S</t>
  </si>
  <si>
    <t>Johnson, Craig R.; Chabot, Rebecca H.; Marzloff, Martin P.; Wotherspoon, Simon</t>
  </si>
  <si>
    <t>Knowing when (not) to attempt ecological restoration</t>
  </si>
  <si>
    <t>RESTORATION ECOLOGY</t>
  </si>
  <si>
    <t>characteristic length scale; fouling community; hysteresis; kelp bed; marine ecosystem; phase shift</t>
  </si>
  <si>
    <t>ENVIRONMENTAL IMPACTS; LENGTH SCALES; PHASE-SHIFTS; RESILIENCE; COMMUNITY; DESIGNS; STATES; REEFS; BACI</t>
  </si>
  <si>
    <t>Here we argue that there are two important steps in the decision process to restore ecological system that are often ignored. First, consideration of restoration is in response to observed change in a system, but ecological systems can fluctuate widely in their normal dynamic. Thus, there is an imperative to interpret ecological change; shifts in community structure that represent typical fluctuations in a properly functioning ecosystem do not warrant restoration, while change associated with phase shift in the system may well demand restoration action. Second, where restoration effort is warranted, it needs to be determined whether management responses are likely to be successful within resource constraints. Where ecological change involves pronounced hysteresis, even massive effort may have little chance in effecting recovery to a preferred ecosystem state. Theory and models indicate that consideration of the characteristic length scales (CLSs) of ecological systems provides an unambiguous interpretation of ecological change, enabling differentiation of typical fluctuations from phase shift, and here we show that CLSs can be calculated for real communities from their species' dynamics, and that their behavior is as predicted from theory. We also show that for ecological systems where local interactions and forcings are well understood, validated simulation models can provide a ready means to identify hysteresis and estimate its magnitude. We conclude that there are useful tools available for ecologists to address the key questions of (1) whether restoration attempts are warranted in the first place and, if they are, (2) whether it is practical to pursue them.</t>
  </si>
  <si>
    <t>[Johnson, Craig R.; Chabot, Rebecca H.; Marzloff, Martin P.; Wotherspoon, Simon] Univ Tasmania, Inst Marine &amp; Antarctic Studies, Private Bag 129, Hobart, Tas 7001, Australia</t>
  </si>
  <si>
    <t>Johnson, CR (corresponding author), Univ Tasmania, Inst Marine &amp; Antarctic Studies, Private Bag 129, Hobart, Tas 7001, Australia.</t>
  </si>
  <si>
    <t>Craig.Johnson@utas.edu.au</t>
  </si>
  <si>
    <t>Marzloff, Martin/AAY-3833-2020; Wotherspoon, Simon J/B-2390-2013; Johnson, Craig R/E-1788-2013</t>
  </si>
  <si>
    <t>Marzloff, Martin/0000-0002-8152-4273; Wotherspoon, Simon J/0000-0002-6947-4445;</t>
  </si>
  <si>
    <t>Australian Research Council; Fisheries Research &amp; Development Corporation; Thomas Crawford Memorial Scholarship; IMAS/CSIRO Quantitative Marine Science Program Scholarship</t>
  </si>
  <si>
    <t>Australian Research Council(Australian Research Council); Fisheries Research &amp; Development Corporation; Thomas Crawford Memorial Scholarship; IMAS/CSIRO Quantitative Marine Science Program Scholarship</t>
  </si>
  <si>
    <t>We thank Richard Holmes and Simon Talbot for assistance with diving, and Jessica Andre for help with analysis of digitized images. The work was supported by grants from the Australian Research Council Discovery Program and the Fisheries Research &amp; Development Corporation awarded to C.R.J., while R.H.C was supported by a Thomas Crawford Memorial Scholarship, and M.P.M, by an IMAS/CSIRO Quantitative Marine Science Program Scholarship. The authors have no conflict of interest to declare.</t>
  </si>
  <si>
    <t>1061-2971</t>
  </si>
  <si>
    <t>1526-100X</t>
  </si>
  <si>
    <t>RESTOR ECOL</t>
  </si>
  <si>
    <t>Restor. Ecol.</t>
  </si>
  <si>
    <t>10.1111/rec.12413</t>
  </si>
  <si>
    <t>EO1RP</t>
  </si>
  <si>
    <t>WOS:000396475900018</t>
  </si>
  <si>
    <t>Moraes, AGD; Francelino, MR; de Carvalho, W; Pereira, MG; Thomazini, A; Schaefer, CEGR</t>
  </si>
  <si>
    <t>de Lima Moraes, Andre Geraldo; Francelino, Marcio Rocha; de Carvalho Junior, Waldir; Pereira, Marcos Gervasio; Thomazini, Andre; Goncalves Reynaud Schaefer, Carlos Ernesto</t>
  </si>
  <si>
    <t>Environmental Correlation and Spatial Autocorrelation of Soil Properties in Keller Peninsula, Maritime Antarctica</t>
  </si>
  <si>
    <t>REVISTA BRASILEIRA DE CIENCIA DO SOLO</t>
  </si>
  <si>
    <t>kriging; geostatistical methods; soil variability</t>
  </si>
  <si>
    <t>PLANT-COMMUNITIES; REGION; CARBON</t>
  </si>
  <si>
    <t>The pattern of variation in soil and landform properties in relation to environmental covariates are closely related to soil type distribution. The aim of this study was to apply digital soil mapping techniques to analysis of the pattern of soil property variation in relation to environmental covariates under periglacial conditions at Keller Peninsula, Maritime Antarctica. We considered the hypothesis that covariates normally used for environmental correlation elsewhere can be adequately employed in periglacial areas in Maritime Antarctica. For that purpose, 138 soil samples from 47 soil sites were collected for analysis of soil chemical and physical properties. We tested the correlation between soil properties (clay, potassium, sand, organic carbon, and pH) and environmental covariates. The environmental covariates selected were correlated with soil properties according to the terrain attributes of the digital elevation model (DEM). The models evaluated were linear regression, ordinary kriging, and regression kriging. The best performance was obtained using normalized height as a covariate, with an R-2 of 0.59 for sand. In contrast, the lowest R-2 of 0.15 was obtained for organic carbon, also using the regression kriging method. Overall, results indicate that, despite the predominant periglacial conditions, the environmental covariates normally used for digital terrain mapping of soil properties worldwide can be successfully employed for understanding the main variations in soil properties and soil-forming factors in this region.</t>
  </si>
  <si>
    <t>[de Lima Moraes, Andre Geraldo] Univ Fed Rural Rio de Janeiro, Dept Solos, Programa Posgrad Agron Ciencia Solo, Seropedica, RJ, Brazil; [Francelino, Marcio Rocha; Pereira, Marcos Gervasio] Univ Fed Rural Rio de Janeiro, Dept Solos, Seropedica, RJ, Brazil; [de Carvalho Junior, Waldir] Empresa Brasileira Pesquisa Agr, Embrapa Solos, Rio De Janeiro, RJ, Brazil; [Thomazini, Andre] Univ Fed Vicosa, Dept Solos, Programa Posgrad Solos &amp; Nutr Plantas, Vicosa, MG, Brazil; [Goncalves Reynaud Schaefer, Carlos Ernesto] Univ Fed Vicosa, Dept Solos, Vicosa, MG, Brazil</t>
  </si>
  <si>
    <t>Universidade Federal Rural do Rio de Janeiro (UFRRJ); Universidade Federal Rural do Rio de Janeiro (UFRRJ); Empresa Brasileira de Pesquisa Agropecuaria (EMBRAPA); Universidade Federal de Vicosa; Universidade Federal de Vicosa</t>
  </si>
  <si>
    <t>Thomazini, A (corresponding author), Univ Fed Vicosa, Dept Solos, Programa Posgrad Solos &amp; Nutr Plantas, Vicosa, MG, Brazil.</t>
  </si>
  <si>
    <t>andre.thz@gmail.com</t>
  </si>
  <si>
    <t>Francelino, Marcio Rocha/AAS-4224-2020; Pereira, Marcos Gervasio/F-1585-2018; Schaefer, Carlos Ernesto/AAY-4977-2020</t>
  </si>
  <si>
    <t>Francelino, Marcio Rocha/0000-0001-8837-1372; Ernesto Goncalves Reynaud Schaefer, Carlos/0000-0001-7060-1598; Ernesto Goncalves Reynaud Schaefer, Carlos/0000-0001-5735-3227</t>
  </si>
  <si>
    <t>Brazilian National Research and Technology Council (CNPq); CNPq</t>
  </si>
  <si>
    <t>Brazilian National Research and Technology Council (CNPq)(Conselho Nacional de Desenvolvimento Cientifico e Tecnologico (CNPQ)); CNPq(Conselho Nacional de Desenvolvimento Cientifico e Tecnologico (CNPQ))</t>
  </si>
  <si>
    <t>We thank the Brazilian National Research and Technology Council (CNPq) for funding this study, the Brazilian Antarctic Program, and the Comandante Ferraz Brazilian Antarctic Station for logistical assistance during summer 2012. This study is a contribution of the Terrantar Centre (INCT Criosfera), with joint funding from the CNPq. Professor Carlos Schaefer thanks CAPES for granting a sabbatical leave at SPRI-Cambridge.</t>
  </si>
  <si>
    <t>SOC BRASILEIRA DE CIENCIA DO SOLO</t>
  </si>
  <si>
    <t>VICOSA</t>
  </si>
  <si>
    <t>C P 231, BR-36571-000 VICOSA, MG, BRAZIL</t>
  </si>
  <si>
    <t>0100-0683</t>
  </si>
  <si>
    <t>REV BRAS CIENC SOLO</t>
  </si>
  <si>
    <t>Rev. Bras. Cienc. Solo</t>
  </si>
  <si>
    <t>e0170021</t>
  </si>
  <si>
    <t>10.1590/18069657rbcs20170021</t>
  </si>
  <si>
    <t>Soil Science</t>
  </si>
  <si>
    <t>Agriculture</t>
  </si>
  <si>
    <t>FS4ND</t>
  </si>
  <si>
    <t>Green Submitted, gold, Green Published</t>
  </si>
  <si>
    <t>WOS:000419768800001</t>
  </si>
  <si>
    <t>Menze, S; Zitterbart, DP; van Opzeeland, I; Boebel, O</t>
  </si>
  <si>
    <t>Menze, Sebastian; Zitterbart, Daniel P.; van Opzeeland, Ilse; Boebel, Olaf</t>
  </si>
  <si>
    <t>The influence of sea ice, wind speed and marine mammals on Southern Ocean ambient sound</t>
  </si>
  <si>
    <t>ocean ambient sound; ocean ambient noise; sea ice; Southern Ocean; Antarctic marine mammals; passive acoustic monitoring</t>
  </si>
  <si>
    <t>BEAUFORT SEA; NOISE; BLUE; WHALES; PACIFIC; TRENDS; SEASONALITY; PROPAGATION; INCREASES; FREQUENCY</t>
  </si>
  <si>
    <t>This paper describes the natural variability of ambient sound in the Southern Ocean, an acoustically pristine marine mammal habitat. Over a 3-year period, two autonomous recorders were moored along the Greenwich meridian to collect underwater passive acoustic data. Ambient sound levels were strongly affected by the annual variation of the sea-ice cover, which decouples local wind speed and sound levels during austral winter. With increasing sea-ice concentration, area and thickness, sound levels decreased while the contribution of distant sources increased. Marine mammal sounds formed a substantial part of the overall acoustic environment, comprising calls produced by Antarctic blue whales (Balaenoptera musculus intermedia), fin whales (Balaenoptera physalus), Antarctic minke whales (Balaenoptera bonaerensis) and leopard seals (Hydrurga leptonyx). The combined sound energy of a group or population vocalizing during extended periods contributed species-specific peaks to the ambient sound spectra. The temporal and spatial variation in the contribution of marine mammals to ambient sound suggests annual patterns in migration and behaviour. The Antarctic blue and fin whale contributions were loudest in austral autumn, whereas the Antarctic minke whale contribution was loudest during austral winter and repeatedly showed a diel pattern that coincided with the diel vertical migration of zooplankton.</t>
  </si>
  <si>
    <t>[Menze, Sebastian; Zitterbart, Daniel P.; van Opzeeland, Ilse; Boebel, Olaf] Helmholtz Ctr Polar &amp; Marine Res, Alfred Wegener Inst, Bremerhaven, Germany; [Menze, Sebastian] Inst Marine Res, Bergen, Norway; [van Opzeeland, Ilse] Woods Hole Oceanog Inst, Appl Ocean Phys &amp; Engn, Woods Hole, MA 02543 USA; [van Opzeeland, Ilse] Univ Erlangen Nurnberg, Dept Phys, Biophys Grp, Erlangen, Germany</t>
  </si>
  <si>
    <t>Helmholtz Association; Alfred Wegener Institute, Helmholtz Centre for Polar &amp; Marine Research; Institute of Marine Research - Norway; Woods Hole Oceanographic Institution; University of Erlangen Nuremberg</t>
  </si>
  <si>
    <t>Menze, S (corresponding author), Helmholtz Ctr Polar &amp; Marine Res, Alfred Wegener Inst, Bremerhaven, Germany.;Menze, S (corresponding author), Inst Marine Res, Bergen, Norway.</t>
  </si>
  <si>
    <t>sebastian.menze@imr.no</t>
  </si>
  <si>
    <t>Zitterbart, Daniel P/N-7489-2013</t>
  </si>
  <si>
    <t>Zitterbart, Daniel/0000-0001-9429-4350</t>
  </si>
  <si>
    <t>10.1098/rsos.160370</t>
  </si>
  <si>
    <t>EJ7IM</t>
  </si>
  <si>
    <t>WOS:000393395100002</t>
  </si>
  <si>
    <t>Alexander, K; Brennan, R; Kenter, J</t>
  </si>
  <si>
    <t>Bieling, C; Plieninger, T</t>
  </si>
  <si>
    <t>Alexander, Karen; Brennan, Ruth; Kenter, Jasper</t>
  </si>
  <si>
    <t>Marine and Coastal Ecosystem Stewardship</t>
  </si>
  <si>
    <t>SCIENCE AND PRACTICE OF LANDSCAPE STEWARDSHIP</t>
  </si>
  <si>
    <t>[Alexander, Karen] Univ Tasmania, Inst Marine &amp; Antarctic Studies, Hobart, Tas, Australia; [Kenter, Jasper] Scottish Assoc Marine Sci, Laurence Mee Ctr Soc &amp; Sea, Oban, Argyll, Scotland</t>
  </si>
  <si>
    <t>University of Tasmania; UHI Millennium Institute</t>
  </si>
  <si>
    <t>Alexander, K (corresponding author), Univ Tasmania, Inst Marine &amp; Antarctic Studies, Hobart, Tas, Australia.</t>
  </si>
  <si>
    <t>Kenter, Jasper/AAO-6975-2021; Brennan, Ruth/HOF-2139-2023; Alexander, Karen/O-7042-2017</t>
  </si>
  <si>
    <t>Kenter, Jasper/0000-0002-3612-086X; Alexander, Karen/0000-0001-8801-413X</t>
  </si>
  <si>
    <t>THE PITT BUILDING, TRUMPINGTON ST, CAMBRIDGE CB2 1RP, CAMBS, ENGLAND</t>
  </si>
  <si>
    <t>978-1-107-14226-8</t>
  </si>
  <si>
    <t>10.1017/9781316499016</t>
  </si>
  <si>
    <t>Economics; Environmental Sciences; Environmental Studies</t>
  </si>
  <si>
    <t>Book Citation Index – Social Sciences &amp; Humanities (BKCI-SSH); Book Citation Index – Science (BKCI-S)</t>
  </si>
  <si>
    <t>Business &amp; Economics; Environmental Sciences &amp; Ecology</t>
  </si>
  <si>
    <t>BL2AJ</t>
  </si>
  <si>
    <t>WOS:000448803400027</t>
  </si>
  <si>
    <t>Haq, BU; Huber, BT</t>
  </si>
  <si>
    <t>Haq, Bilal U.; Huber, Brian T.</t>
  </si>
  <si>
    <t>Anatomy of a eustatic event during the Turonian (Late Cretaceous) hot greenhouse climate</t>
  </si>
  <si>
    <t>SCIENCE CHINA-EARTH SCIENCES</t>
  </si>
  <si>
    <t>International Workshop on Climate and Environmental Evolution in the Mesozoic Greenhouse World / 3rd IGCP 609 Workshop on Cretaceous Sea-Level Change</t>
  </si>
  <si>
    <t>SEP 05-11, 2015</t>
  </si>
  <si>
    <t>Nanjing Univ, Nanjing, PEOPLES R CHINA</t>
  </si>
  <si>
    <t>Nanjing Univ</t>
  </si>
  <si>
    <t>Eustatic event; Turonian; Hot greenhouse climate</t>
  </si>
  <si>
    <t>SEA-LEVEL CHANGE; WESTERN INTERIOR BASIN; ISOTOPIC EVIDENCE; ORGANIC-CARBON; STRATIGRAPHY; RECORD; WARMTH; FLUCTUATIONS; GLACIATION; DELTA-O-18</t>
  </si>
  <si>
    <t>Sequence stratigraphic studies consider relative change in sea level (as regulated by eustasy, local tectonics and sediment supply) as the main builder of the stratigraphic record. Eustasy has generally been considered as a consequence of the growth and decay of continental ice sheets that would explain large, rapid changes in sea level, even during periods of relative global climatic warmth. However, such a mechanism has become increasingly difficult to envision during times of extreme global warmth such as the Turonian, when the equator-to-pole temperature gradient was very low and the presence of polar ice seems improbable. This paper investigates the timing and extent of sea level falls during the late Cenomanian through Turonian, especially the largest of those events, sequence boundary KTu4, which occurred during the middle to late Turonian peak of the Cretaceous hot greenhouse climate. We conclude that the amplitude of the widespread third-order sea level fall in the middle Turonian that is centered at similar to 91.8 Ma varies at different locations depending on the influence of dynamic topography on local tectonics and regional climatic conditions. Ice volume variations seem unlikely as a mechanism for controlling sea level at this time. However, this causal factor cannot be ruled out completely since Antarctic highlands (if they existed in the Late Cretaceous) could sequester enough water as ice to cause eustatic falls. To ascertain this requires detailed tomographic imaging of Antarctica, followed by geodynamic modeling, to determine whether high plateaus could have existed to accumulate ephemeral ice sheets. Other mechanisms for sea level change, such as transference between ground water (a small amplitude shorter time scale effect) and the ocean and entrainment and release of water from the mantle to the oceanic reservoir (a potentially large amplitude and longer time scale process), are intriguing and need to be explored further to prove their efficacy at third-order time scales.</t>
  </si>
  <si>
    <t>[Haq, Bilal U.; Huber, Brian T.] Smithsonian Inst, Dept Paleobiol, MRC 121, Washington, DC 20013 USA; [Haq, Bilal U.] ISTEP Pierre &amp; Marie Curie Univ, Sorbonne, F-75005 Paris, France</t>
  </si>
  <si>
    <t>Smithsonian Institution; Smithsonian National Museum of Natural History; Sorbonne Universite</t>
  </si>
  <si>
    <t>Huber, BT (corresponding author), Smithsonian Inst, Dept Paleobiol, MRC 121, Washington, DC 20013 USA.</t>
  </si>
  <si>
    <t>huberb@si.edu</t>
  </si>
  <si>
    <t>Haq, Bilal/Q-8112-2019; Haq, Bilal U./B-2836-2017</t>
  </si>
  <si>
    <t>IGCP Project [609]</t>
  </si>
  <si>
    <t>IGCP Project</t>
  </si>
  <si>
    <t>The authors are very grateful to the organizers and hosts of the IGCP 609 International Workshop on Climate and Environmental Evolution in the Mesozoic Greenhouse World, held in Nanjing, China from 5-11 September 2015, for putting together a highly stimulating and most enjoyable meeting. The authors also thank two anonymous reviewers for their contributions toward improvement of this paper. This paper is a contribution to IGCP Project 609 Climate-environmental deteriorations during greenhouse phases: Causes and consequences of short-term Cretaceous sea-level changes.</t>
  </si>
  <si>
    <t>SCIENCE PRESS</t>
  </si>
  <si>
    <t>BEIJING</t>
  </si>
  <si>
    <t>16 DONGHUANGCHENGGEN NORTH ST, BEIJING 100717, PEOPLES R CHINA</t>
  </si>
  <si>
    <t>1674-7313</t>
  </si>
  <si>
    <t>1869-1897</t>
  </si>
  <si>
    <t>SCI CHINA EARTH SCI</t>
  </si>
  <si>
    <t>Sci. China-Earth Sci.</t>
  </si>
  <si>
    <t>10.1007/s11430-016-0166-y</t>
  </si>
  <si>
    <t>EI1AN</t>
  </si>
  <si>
    <t>WOS:000392207400003</t>
  </si>
  <si>
    <t>Yamazaki, A; Enomoto, T; Miyoshi, T; Kuwano-Yoshida, A; Komori, N</t>
  </si>
  <si>
    <t>Yamazaki, Akira; Enomoto, Takeshi; Miyoshi, Takemasa; Kuwano-Yoshida, Akira; Komori, Nobumasa</t>
  </si>
  <si>
    <t>Using Observations near the Poles in the AFES-LETKF Data Assimilation System</t>
  </si>
  <si>
    <t>SOLA</t>
  </si>
  <si>
    <t>TRANSFORM KALMAN FILTER; RADIOSONDE OBSERVATIONS; INTERMEDIATE AGCM; IMPACT; MODEL; COVARIANCE; CIRCULATION; SIMULATION; OCEAN</t>
  </si>
  <si>
    <t>The observation operators in the local ensemble transform Kalman filter (LETKF) were improved to enable use of observations in the vicinity of the poles in the data assimilation system composed of the atmospheric general circulation model for the Earth Simulator (AFES) and the LETKF. The improved observation operators allow to assimilate the observations located south (north) of southernmost (northernmost) Gaussian grid latitudes. An algorithm for searching the nearest observations from an analyzed grid for error covariance localization was also modified to efficiently assimilate observations near the poles. The new algorithms were incorporated into the LETKF, and the impacts of routine radiosonde observations at the South Pole during the periods of July 2012 and January 2013 were assessed. The radiosonde observations suppressed an artificial expansion of the analysis ensemble spread which occasionally caused numerical instability in the upper troposphere and the lower stratosphere over the Antarctic regions. The analysis was also improved in the Antarctic regions.</t>
  </si>
  <si>
    <t>[Yamazaki, Akira; Enomoto, Takeshi; Miyoshi, Takemasa; Kuwano-Yoshida, Akira; Komori, Nobumasa] JAMSTEC, Applicat Lab, Yokohama, Kanagawa, Japan; [Enomoto, Takeshi] Kyoto Univ, Disaster Prevent Res Inst, Uji, Japan; [Miyoshi, Takemasa] RIKEN, Adv Inst Computat Sci, Kobe, Hyogo, Japan; [Miyoshi, Takemasa] Univ Maryland, Dept Atmospher &amp; Ocean Sci, College Pk, MD 20742 USA</t>
  </si>
  <si>
    <t>Japan Agency for Marine-Earth Science &amp; Technology (JAMSTEC); Kyoto University; RIKEN; University System of Maryland; University of Maryland College Park</t>
  </si>
  <si>
    <t>Yamazaki, A (corresponding author), Japan Agcy Marine Earth Sci &amp; Technol, Kanazawa Ku, Yokohama, Kanagawa 2360001, Japan.</t>
  </si>
  <si>
    <t>yzaki@jamstec.go.jp</t>
  </si>
  <si>
    <t>Kuwano-Yoshida, Akira/I-8652-2014; Kuwano-Yoshida, Akira/AGR-6960-2022; Komori, Nobumasa/D-1989-2013; Enomoto, Takeshi/JGM-7481-2023; Miyoshi, Takemasa/C-2768-2009; Kuwano-Yoshida, Akira/Q-5616-2019</t>
  </si>
  <si>
    <t>Kuwano-Yoshida, Akira/0000-0003-3151-8550; Kuwano-Yoshida, Akira/0000-0003-3151-8550; Komori, Nobumasa/0000-0001-6067-8356; Enomoto, Takeshi/0000-0003-1946-1168; Kuwano-Yoshida, Akira/0000-0003-3151-8550; Miyoshi, Takemasa/0000-0003-3160-2525</t>
  </si>
  <si>
    <t>KAKENHI [26282111, 25800267, 25400474]; Grants-in-Aid for Scientific Research [16K12591, 26282111, 16H01846, 25400474, 25800267, 15H02129, 26707025] Funding Source: KAKEN</t>
  </si>
  <si>
    <t>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</si>
  <si>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the reviewers for their helpful comments. The present work was partly supported by the Grants-in-Aids for Scientific Research (KAKENHI) numbers 26282111, 25800267, and 25400474. ALEDAS integrations were performed on the Earth Simulator with the support of JAMSTEC. The ALERA and ALERA2 datasets have been archived for about 2 and 5 years, respectively, which are available from https://www.jamstec.go.jp/esc/research/oreda/products/index.html. The LETKF code developed in MYE07 is based on the publicly available code at https://github.com/takemasa-miyoshi/letkf. For data visualization, we used the GFD-Dennou Ruby libraries, GrADS, and MjoGraph.</t>
  </si>
  <si>
    <t>METEOROLOGICAL SOC JAPAN</t>
  </si>
  <si>
    <t>TOKYO</t>
  </si>
  <si>
    <t>C/O JAPAN METEOROLOGICAL AGENCY 1-3-4 OTE-MACHI, CHIYODA-KU, TOKYO, 100-0004, JAPAN</t>
  </si>
  <si>
    <t>1349-6476</t>
  </si>
  <si>
    <t>10.2151/sola.2017-008</t>
  </si>
  <si>
    <t>EP3ZI</t>
  </si>
  <si>
    <t>WOS:000397319800001</t>
  </si>
  <si>
    <t>Pepelyshev, A; Zhigljavsky, A</t>
  </si>
  <si>
    <t>Pepelyshev, Andrey; Zhigljavsky, Anatoly</t>
  </si>
  <si>
    <t>SSA analysis and forecasting of records for Earth temperature and ice extents</t>
  </si>
  <si>
    <t>STATISTICS AND ITS INTERFACE</t>
  </si>
  <si>
    <t>Singular Spectrum Analysis; Stability of forecasts; Long-horizon forecasting; Retrospective forecasts; SSA vector forecasting</t>
  </si>
  <si>
    <t>SINGULAR-SPECTRUM ANALYSIS; TIME-SERIES</t>
  </si>
  <si>
    <t>In this paper, we continued the research started in [6]. We applied the so-called Singular Spectrum Analysis (SSA) to forecast the Earth temperature records, to examine cross correlations between these records, the Arctic and Antarctic sea ice extents and the Oceanic Nino Index (ONI). We have concluded that the pattern observed in the last 15 years for the Earth temperatures is not going to change much, found very high cross-correlations between a lagged ONI index and some Earth temperature series and noticed several significant cross-correlations between the ONI index and the sea ice extent anomalies; these cross-correlations do not seem to be well-known to the specialists on Earth climate.</t>
  </si>
  <si>
    <t>[Pepelyshev, Andrey; Zhigljavsky, Anatoly] Cardiff Univ, Sch Math, Senghennydd Rd, Cardiff CF24 4AG, S Glam, Wales; [Zhigljavsky, Anatoly] Lobachevsky State Univ Nizhni Novgorod, Gagarin Ave 23, Nizhnii Novgorod 603950, Russia</t>
  </si>
  <si>
    <t>Cardiff University; Lobachevsky State University of Nizhni Novgorod</t>
  </si>
  <si>
    <t>Pepelyshev, A (corresponding author), Cardiff Univ, Sch Math, Senghennydd Rd, Cardiff CF24 4AG, S Glam, Wales.</t>
  </si>
  <si>
    <t>pepelyshevan@cardiff.ac.uk; zhigljayskyaa@cardiff.ac.uk</t>
  </si>
  <si>
    <t>Zhigljavsky, Anatoly/0000-0003-0630-8279</t>
  </si>
  <si>
    <t>Russian Science Foundation [15-11-30022]</t>
  </si>
  <si>
    <t>Russian Science Foundation(Russian Science Foundation (RSF))</t>
  </si>
  <si>
    <t>This research was supported by the Russian Science Foundation, project No. 15-11-30022 Global optimization, supercomputing computations, and application.</t>
  </si>
  <si>
    <t>INT PRESS BOSTON, INC</t>
  </si>
  <si>
    <t>SOMERVILLE</t>
  </si>
  <si>
    <t>PO BOX 43502, SOMERVILLE, MA 02143 USA</t>
  </si>
  <si>
    <t>1938-7989</t>
  </si>
  <si>
    <t>1938-7997</t>
  </si>
  <si>
    <t>STAT INTERFACE</t>
  </si>
  <si>
    <t>Stat. Interface</t>
  </si>
  <si>
    <t>10.4310/SII.2017.v10.n1.a14</t>
  </si>
  <si>
    <t>Mathematical &amp; Computational Biology; Mathematics, Interdisciplinary Applications</t>
  </si>
  <si>
    <t>Mathematical &amp; Computational Biology; Mathematics</t>
  </si>
  <si>
    <t>EA2HJ</t>
  </si>
  <si>
    <t>WOS:000386413100015</t>
  </si>
  <si>
    <t>Fahsbender, E; Burns, JM; Kim, S; Kraberger, S; Frankfurter, G; Eilers, AA; Shero, MR; Beltran, R; Kirkham, A; McCorkell, R; Berngartt, RK; Male, MF; Ballard, G; Ainley, DG; Breitbart, M; Varsani, A</t>
  </si>
  <si>
    <t>Fahsbender, Elizabeth; Burns, Jennifer M.; Kim, Stacy; Kraberger, Simona; Frankfurter, Greg; Eilers, Alice A.; Shero, Michelle R.; Beltran, Roxanne; Kirkham, Amy; McCorkell, Robert; Berngartt, Rachel K.; Male, Maketalena F.; Ballard, Grant; Ainley, David G.; Breitbart, Mya; Varsani, Arvind</t>
  </si>
  <si>
    <t>Diverse and highly recombinant anelloviruses associated with Weddell seals in Antarctica</t>
  </si>
  <si>
    <t>VIRUS EVOLUTION</t>
  </si>
  <si>
    <t>Anelloviridae; Weddell seal; South Polar skua; Ross Sea; Antarctica</t>
  </si>
  <si>
    <t>TENO-VIRUS TTV; DNA VIRUS; POSTTRANSFUSION HEPATITIS; PYGOSCELIS-ADELIAE; GENOME ANALYSIS; HIGH PREVALENCE; MESSENGER-RNAS; IDENTIFICATION; PENGUINS; ANTIBODIES</t>
  </si>
  <si>
    <t>The viruses circulating among Antarctic wildlife remain largely unknown. In an effort to identify viruses associated with Weddell seals (Leptonychotes weddellii) inhabiting the Ross Sea, vaginal and nasal swabs, and faecal samples were collected between November 2014 and February 2015. In addition, a Weddell seal kidney and South Polar skua (Stercorarius maccormicki) faeces were opportunistically sampled. Using high throughput sequencing, we identified and recovered 152 anellovirus genomes that share 63-70% genome-wide identities with other pinniped anelloviruses. Genome-wide pairwise comparisons coupled with phylogenetic analysis revealed two novel anellovirus species, tentatively named torque teno Leptonychotes weddellii virus (TTLwV)-1 and -2. TTLwV-1 (n = 133, genomes encompassing 40 genotypes) is highly recombinant, whereas TTLwV-2 (n = 19, genomes encompassing three genotypes) is relatively less recombinant. This study documents ubiquitous TTLwVs among Weddell seals in Antarctica with frequent co-infection by multiple genotypes, however, the role these anelloviruses play in seal health remains unknown.</t>
  </si>
  <si>
    <t>[Fahsbender, Elizabeth; Breitbart, Mya] Univ S Florida, Coll Marine Sci, St Petersburg, FL 33701 USA; [Burns, Jennifer M.; Shero, Michelle R.; Beltran, Roxanne; Kirkham, Amy] Univ Alaska Anchorage, Dept Biol Sci, 3211 Providence Dr, Anchorage, AK 99508 USA; [Kim, Stacy] Moss Landing Marine Labs, Pob 450, Moss Landing, CA 95039 USA; [Kraberger, Simona; Varsani, Arvind] Arizona State Univ, Ctr Evolut &amp; Med, Sch Life Sci, Biodesign Ctr Fundamental &amp; Appl Microbi, Tempe, AZ 85287 USA; [Kraberger, Simona; Male, Maketalena F.; Varsani, Arvind] Univ Canterbury, Sch Biol Sci, Christchurch 8140, New Zealand; [Frankfurter, Greg] Univ Calif Davis, Sch Vet Med, Wildlife Hlth Ctr, Davis, CA 95616 USA; [Eilers, Alice A.] Pink Palace Museum, Memphis, TN 38111 USA; [Beltran, Roxanne] Univ Alaska Fairbanks, Dept Biol &amp; Wildlife, POB 756100, Fairbanks, AK 99775 USA; [Kirkham, Amy] Univ Alaska Fairbanks, Coll Fisheries &amp; Ocean Sci, 17101 Point Lena Loop Rd, Juneau, AK 99801 USA; [McCorkell, Robert] Univ Calgary, Fac Vet Med, Calgary, AB, Canada; [Berngartt, Rachel K.] Bridge Vet Serv LLC, Juneau, AK 99801 USA; [Male, Maketalena F.] Univ Newcastle, Sch Environm &amp; Life Sci, Callaghan, NSW 2308, Australia; [Ballard, Grant] Point Blue Conservat Sci, Petaluma, CA 94954 USA; [Ainley, David G.] HT Harvey &amp; Associates, Los Gatos, CA 95032 USA; [Varsani, Arvind] Univ Cape Town, Dept Clin Lab Sci, Struct Biol Res Unit, Cape Town, South Africa</t>
  </si>
  <si>
    <t>State University System of Florida; University of South Florida; University of Alaska System; University of Alaska Anchorage; Moss Landing Marine Laboratories; Arizona State University; Arizona State University-Tempe; University of Canterbury; University of California System; University of California Davis; University of Alaska System; University of Alaska Fairbanks; University of Alaska System; University of Alaska Fairbanks; University of Calgary; University of Newcastle; University of Cape Town</t>
  </si>
  <si>
    <t>Burns, JM (corresponding author), Univ Alaska Anchorage, Dept Biol Sci, 3211 Providence Dr, Anchorage, AK 99508 USA.;Varsani, A (corresponding author), Arizona State Univ, Ctr Evolut &amp; Med, Sch Life Sci, Biodesign Ctr Fundamental &amp; Appl Microbi, Tempe, AZ 85287 USA.;Varsani, A (corresponding author), Univ Canterbury, Sch Biol Sci, Christchurch 8140, New Zealand.;Varsani, A (corresponding author), Univ Cape Town, Dept Clin Lab Sci, Struct Biol Res Unit, Cape Town, South Africa.</t>
  </si>
  <si>
    <t>jmburns@alaska.edu; arvind.varsani@asu.edu</t>
  </si>
  <si>
    <t>Burns, Jennifer/AAC-8243-2019; Burns, Jennifer M/C-4159-2013; Kirkham, Amy/GWQ-6306-2022; Varsani, Arvind/JOZ-5299-2023; Breitbart, Mya/B-1366-2009</t>
  </si>
  <si>
    <t>Burns, Jennifer/0000-0001-9652-2943; Varsani, Arvind/0000-0003-4111-2415; Beltran, Roxanne/0000-0002-8520-1105</t>
  </si>
  <si>
    <t>US National Science Foundation (NSF) [ANT-0944411]; NSF [ANT-0944747]; US National Science Foundation's Assembling the Tree of Life Program [DEB-1239976]; Institutional Development Awards (IDeA) Networks of Biomedical Research Excellence Assistantships from National Institute of General Medical Sciences of the National Institutes of Health [P20GM103395]; Division Of Environmental Biology; Direct For Biological Sciences [1239976] Funding Source: National Science Foundation; Division Of Ocean Sciences; Directorate For Geosciences [1246463] Funding Source: National Science Foundation</t>
  </si>
  <si>
    <t>US National Science Foundation (NSF)(National Science Foundation (NSF)); NSF(National Science Foundation (NSF)); US National Science Foundation's Assembling the Tree of Life Program; Institutional Development Awards (IDeA) Networks of Biomedical Research Excellence Assistantships from National Institute of General Medical Sciences of the National Institutes of Health; Division Of Environmental Biology; Direct For Biological Sciences(National Science Foundation (NSF)NSF - Directorate for Biological Sciences (BIO)); Division Of Ocean Sciences; Directorate For Geosciences(National Science Foundation (NSF)NSF - Directorate for Geosciences (GEO))</t>
  </si>
  <si>
    <t>D.G.A. and G.B. are supported by the US National Science Foundation (NSF; ANT-0944411). All the samples were collected with logistics supplied from the US Antarctic Program. S.K. was supported by NSF ANT-0944747. Any opinions, findings, and conclusions or recommendations expressed in this material are those of the authors and do not necessarily reflect the views of the National Science Foundation. E.F. and M.B. were supported by the US National Science Foundation's Assembling the Tree of Life Program Grant DEB-1239976. A.K. and R.B. were supported by Institutional Development Awards (IDeA) Networks of Biomedical Research Excellence Assistantships (grant number P20GM103395) from the National Institute of General Medical Sciences of the National Institutes of Health. The content is solely the responsibility of the authors and does not necessarily reflect the official views of the NIH. All the wet bench molecular work and sequencing was supported by personal funds of A.V.</t>
  </si>
  <si>
    <t>2057-1577</t>
  </si>
  <si>
    <t>VIRUS EVOL</t>
  </si>
  <si>
    <t>Virus Evol.</t>
  </si>
  <si>
    <t>vex017</t>
  </si>
  <si>
    <t>10.1093/ve/vex017</t>
  </si>
  <si>
    <t>Virology</t>
  </si>
  <si>
    <t>FH0QJ</t>
  </si>
  <si>
    <t>WOS:000410845300015</t>
  </si>
  <si>
    <t>Cecchetto, M; Alvaro, MC; Ghiglione, C; Guzzi, A; Mazzoli, C; Piazza, P; Schiaparelli, S</t>
  </si>
  <si>
    <t>Cecchetto, Matteo; Alvaro, Maria Chiara; Ghiglione, Claudio; Guzzi, Alice; Mazzoli, Claudio; Piazza, Paola; Schiaparelli, Stefano</t>
  </si>
  <si>
    <t>Distributional records of Antarctic and sub-Antarctic Ophiuroidea from samples curated at the Italian National Antarctic Museum (MNA): check-list update of the group in the Terra Nova Bay area (Ross Sea) and launch of the MNA 3D model 'virtual gallery'</t>
  </si>
  <si>
    <t>ZOOKEYS</t>
  </si>
  <si>
    <t>Antarctica; Bransfield Strait; Echinodermata; Falkland Islands (Islas Malvinas); MNA; Ophiuroidea; Ross Sea; Terra Nova Bay; virtual collection; Weddell Sea; 3D models</t>
  </si>
  <si>
    <t>BRITTLE STARS</t>
  </si>
  <si>
    <t>The distributional records of Ophiuroidea stored at the Italian National Antarctic Museum (MNA, Section of Genoa) are presented, corresponding to 1595 individuals that belong to 35 species and 17 genera. Specimens were collected in 106 different sampling stations at depths ranging from 21 to 1652 m in the framework of 14 Antarctic expeditions to the Ross Sea, one to the Antarctic Peninsula, and one to the Falkland Islands (Islas Malvinas). Three species, Amphiura joubini Koehler, 1912, Amphiura (Amphiura) angularis Lyman, 1879, and Ophiura flexibilis (Koehler, 1911), are reported as new records for the Terra Nova Bay area, whose check-list of species increases from 15 to 18 species. The determination of these three new records was based both on morphological identification and molecular analyses (COI barcoding). Some of the genetically characterised specimens were also documented through photogrammetry and micro-computed tomography and represent the first bulk of 3D models that will be available through the MNA and Sketchfab websites, both for research and educational purposes.</t>
  </si>
  <si>
    <t>[Cecchetto, Matteo; Alvaro, Maria Chiara; Guzzi, Alice; Schiaparelli, Stefano] Univ Genoa, Dept Earth Environm &amp; Life Sci DISTAV, Genoa, Italy; [Cecchetto, Matteo; Alvaro, Maria Chiara; Ghiglione, Claudio; Guzzi, Alice; Piazza, Paola; Schiaparelli, Stefano] Univ Genoa, Sect Genoa, Italian Natl Antarct Museum MNA, Genoa, Italy; [Mazzoli, Claudio] Univ Padua, Dept Geosci, Padua, Italy; [Piazza, Paola] Univ Siena, Dept Phys Earth &amp; Environm Sci, Siena, Italy</t>
  </si>
  <si>
    <t>University of Genoa; University of Genoa; University of Padua; University of Siena</t>
  </si>
  <si>
    <t>Schiaparelli, S (corresponding author), Univ Genoa, Dept Earth Environm &amp; Life Sci DISTAV, Genoa, Italy.;Schiaparelli, S (corresponding author), Univ Genoa, Sect Genoa, Italian Natl Antarct Museum MNA, Genoa, Italy.</t>
  </si>
  <si>
    <t>stefano.schiaparelli@unige.it</t>
  </si>
  <si>
    <t>Mazzoli, Claudio/H-9651-2015</t>
  </si>
  <si>
    <t>Mazzoli, Claudio/0000-0002-0374-8415; Cecchetto, Matteo/0000-0002-4505-4104</t>
  </si>
  <si>
    <t>Italian National Antarctic Program (PNRA); Ministry for Primary Industries</t>
  </si>
  <si>
    <t>We would like to acknowledge the Italian National Antarctic Program (PNRA) for funding and logistic support of the Italian scientific expeditions. NIWA is acknowledged for the donation of some specimens from the TAN0802 IPY-CAML Oceans Survey 20/20 voyage (2008), which was funded by the Ministry for Primary Industries (formerly the Ministry of Fisheries, New Zealand Government).</t>
  </si>
  <si>
    <t>PENSOFT PUBL</t>
  </si>
  <si>
    <t>1313-2989</t>
  </si>
  <si>
    <t>1313-2970</t>
  </si>
  <si>
    <t>ZooKeys</t>
  </si>
  <si>
    <t>10.3897/zookeys.705.13712</t>
  </si>
  <si>
    <t>FI8CV</t>
  </si>
  <si>
    <t>Green Submitted, Green Published, gold</t>
  </si>
  <si>
    <t>WOS:000412229500004</t>
  </si>
  <si>
    <t>Nakamura, A; Matsuno, K; Abe, Y; Shimada, H; Yamaguchi, A</t>
  </si>
  <si>
    <t>Nakamura, Asami; Matsuno, Kohei; Abe, Yoshiyuki; Shimada, Hiroshi; Yamaguchi, Atsushi</t>
  </si>
  <si>
    <t>Length-weight Relationships and Chemical Composition of the Dominant Mesozooplankton Taxa/species in the Subarctic Pacific, with Special Reference to the Effect of Lipid Accumulation in Copepoda</t>
  </si>
  <si>
    <t>ZOOLOGICAL STUDIES</t>
  </si>
  <si>
    <t>Mass; L-W equation; Zooplankton; C/N; Lipids; Oil sac volume; Image analysis</t>
  </si>
  <si>
    <t>GLOBAL-BATHYMETRIC MODEL; OYASHIO REGION; LIFE-CYCLE; VERTICAL-DISTRIBUTION; NEOCALANUS-CRISTATUS; CALANOID COPEPODS; MARINE COPEPODS; JAPAN SEA; POPULATION-STRUCTURE; NORTHEAST PACIFIC</t>
  </si>
  <si>
    <t>While length-weight (L-W) regressions for warm-water zooplankton taxa from the waters neighbouring Japan already exist, they are still missing for comparable cold-water species. In this study, the L-W regressions of 41 species belonging to 12 taxa that are dominant in the Oyashio region were reported. The body length and volume of zooplankton were measured with an image-analysis system, and the effects of lipid accumulation in Copepoda on their mass and chemical composition were quantified. The L-W regressions had a high coefficient of determination (mean r(2) = 0.886). For the chemical composition, the water composition ranged from 69.8 to 95.2% wet mass (WM), carbon (C) composition from 3.8 to 60.8% dry mass (DM) and nitrogen (N) composition from 1.0 to 10.1% DM. Taxon-specific differences in the chemical composition were marked for the gelatinous taxa (Appendicularia, Cnidaria, Salpida), which also had high water and low C composition. Because C is an index of lipids, high water compositions together with low lipid compositions are considered to be characteristics of the gelatinous taxa. The most significant effects of lipid accumulation in the Copepoda are changes in DM and C. Within the same developmental stage, the DM and C compositions of the full lipid-containing specimens showed 495% and 741% increases, respectively, over those of the low lipid-containing specimens. These differences exceeded the changes after moulting (78.1%) for general copepod species. Thus, lipid accumulation should be evaluated for the accurate mass estimation of boreal Copepoda by image analysis.</t>
  </si>
  <si>
    <t>[Nakamura, Asami; Abe, Yoshiyuki; Yamaguchi, Atsushi] Hokkaido Univ, Grad Sch Fisheries Sci, 3-1-1 Minato Cho, Hakodate, Hokkaido 0418611, Japan; [Matsuno, Kohei] Natl Inst Polar Res, 10-3 Midori Cho, Tachikawa, Tokyo 1908518, Japan; [Shimada, Hiroshi] Hokkaido Res Org, Cent Fisheries Res Inst, 238 Hamanaka Cho, Yoichi, Hokkaido 0468555, Japan; [Nakamura, Asami] You Story Co Ltd, 355-14 Oiwake, Nagano 3890115, Japan; [Matsuno, Kohei] Australian Antarctic Div, Kingston, Tas 7050, Australia</t>
  </si>
  <si>
    <t>Hokkaido University; Research Organization of Information &amp; Systems (ROIS); National Institute of Polar Research (NIPR) - Japan; Australian Antarctic Division</t>
  </si>
  <si>
    <t>Yamaguchi, A (corresponding author), Hokkaido Univ, Grad Sch Fisheries Sci, 3-1-1 Minato Cho, Hakodate, Hokkaido 0418611, Japan.</t>
  </si>
  <si>
    <t>s02129083x@eis.hokudai.ac.jp; k.matsuno@fish.hokudai.ac.jp; y.abe@fish.hokudai.ac.jp; shimada-hiroshi@hro.or.jp; a-yama@fish.hokudai.ac.jp</t>
  </si>
  <si>
    <t>Matsuno, Kohei/AAJ-6510-2021; Yamaguchi, Atsushi/A-8613-2012</t>
  </si>
  <si>
    <t>Matsuno, Kohei/0000-0001-9793-7622; Yamaguchi, Atsushi/0000-0002-5646-3608</t>
  </si>
  <si>
    <t>Japanese Society for Promotion of Science (JSPS) [17H01483, 16H02947, 15KK0268]; Grants-in-Aid for Scientific Research [16H02947, 17H01483, 15KK0268] Funding Source: KAKEN</t>
  </si>
  <si>
    <t>Japanese Society for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</si>
  <si>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captains, officers and crew of the T/S Oshoro-Maru of Hokkaido University and the R/V Hokuyo-Maru of the Hokkaido Research Organization. Most of the L-W equations summarized in this study are derived from various studies in the Plankton Laboratory of Hokkaido University under the supervision of Emer. Prof. Tsutomu Ikeda. Part of this study was supported by Grant-in-Aid for Scientific Research 17H01483 (A), 16H02947 (B) and 15KK0268 (Joint International Research) from the Japanese Society for Promotion of Science (JSPS). This work was partially conducted for the Arctic Challenge for Sustainability (ArCS) project.</t>
  </si>
  <si>
    <t>BIODIVERSITY RESEARCH CENTER, ACAD SINICA</t>
  </si>
  <si>
    <t>TAIPEI</t>
  </si>
  <si>
    <t>128 ACADEMIA RODA, SECTION 2, NANKANG, TAIPEI, 11529, TAIWAN</t>
  </si>
  <si>
    <t>1021-5506</t>
  </si>
  <si>
    <t>1810-522X</t>
  </si>
  <si>
    <t>ZOOL STUD</t>
  </si>
  <si>
    <t>Zool. Stud.</t>
  </si>
  <si>
    <t>10.6620/ZS.2017.56-13</t>
  </si>
  <si>
    <t>FC4EG</t>
  </si>
  <si>
    <t>WOS:000406790900006</t>
  </si>
  <si>
    <t>Vallis, GK</t>
  </si>
  <si>
    <t>Vallis, Geoffrey K.</t>
  </si>
  <si>
    <t>The Meridional Overturning Circulation and the Antarctic Circumpolar Current</t>
  </si>
  <si>
    <t>ATMOSPHERIC AND OCEANIC FLUID DYNAMICS: FUNDAMENTALS AND LARGE-SCALE CIRCULATION, 2ND EDITION</t>
  </si>
  <si>
    <t>[Vallis, Geoffrey K.] Univ Exeter, Appl Math, Exeter, Devon, England</t>
  </si>
  <si>
    <t>University of Exeter</t>
  </si>
  <si>
    <t>Vallis, GK (corresponding author), Univ Exeter, Appl Math, Exeter, Devon, England.</t>
  </si>
  <si>
    <t>978-1-107-06550-5</t>
  </si>
  <si>
    <t>10.1017/9781107588417</t>
  </si>
  <si>
    <t>Environmental Sciences; Meteorology &amp; Atmospheric Sciences; Oceanography</t>
  </si>
  <si>
    <t>Environmental Sciences &amp; Ecology; Meteorology &amp; Atmospheric Sciences; Oceanography</t>
  </si>
  <si>
    <t>BL3ZO</t>
  </si>
  <si>
    <t>WOS:000450150000022</t>
  </si>
  <si>
    <t>Probert, PK</t>
  </si>
  <si>
    <t>Probert, P. Keith</t>
  </si>
  <si>
    <t>The Southern Ocean</t>
  </si>
  <si>
    <t>MARINE CONSERVATION</t>
  </si>
  <si>
    <t>ANTARCTIC MARINE ECOSYSTEM; LIVING RESOURCES; CLIMATE-CHANGE; CONSERVATION; MANAGEMENT; ECOLOGY; IMPLEMENTATION; POPULATION; PENGUIN; WHALES</t>
  </si>
  <si>
    <t>[Probert, P. Keith] Univ Otago, Dept Marine Sci, Dunedin, New Zealand</t>
  </si>
  <si>
    <t>University of Otago</t>
  </si>
  <si>
    <t>Probert, PK (corresponding author), Univ Otago, Dept Marine Sci, Dunedin, New Zealand.</t>
  </si>
  <si>
    <t>978-1-108-41262-9; 978-0-521-32685-8</t>
  </si>
  <si>
    <t>10.1017/9781139043588</t>
  </si>
  <si>
    <t>Biodiversity Conservation; Marine &amp; Freshwater Biology</t>
  </si>
  <si>
    <t>Biodiversity &amp; Conservation; Marine &amp; Freshwater Biology</t>
  </si>
  <si>
    <t>BK9BT</t>
  </si>
  <si>
    <t>WOS:000444328800018</t>
  </si>
  <si>
    <t>Hunt, TL; Lipo, CP</t>
  </si>
  <si>
    <t>Boivin, N; Crassard, R; Petraglia, M</t>
  </si>
  <si>
    <t>Hunt, Terry L.; Lipo, Carl P.</t>
  </si>
  <si>
    <t>THE LAST GREAT MIGRATION: HUMAN COLONIZATION OF THE REMOTE PACIFIC ISLANDS</t>
  </si>
  <si>
    <t>HUMAN DISPERSAL AND SPECIES MOVEMENT: FROM PREHISTORY TO THE PRESENT</t>
  </si>
  <si>
    <t>Migrations; colonization; radiocarbon; human impacts; eastern Polynesia</t>
  </si>
  <si>
    <t>NEW-ZEALAND; RADIOCARBON-DATES; DUNE SITE; CHRONOLOGY; POLYNESIANS; SETTLEMENT; DISPERSAL; COMPLEX; ARRIVAL; IMPACT</t>
  </si>
  <si>
    <t>In this chapter we outline the last major human migrations with the discovery and settlement of the Pacific Islands. The last phase of this expansion resulted in colonization of the eastern Pacific with more than 500 remote islands ranging from tropical, subtropical, temperate, and sub-Antarctic, varying in size and landforms, and comprising just 289,000 km(2) of land over more than 20 million km(2) of ocean. Reanalysis of radiocarbon dates for the region shows that migrations into the most remote Pacific occurred just over 1000-800 years ago, proceeded more rapidly than previously held, and included dispersal of plants and animals that invaded and disrupted unique and fragile island biotas. Human impacts profoundly transformed pristine ecosystems with habitat loss, the impacts of invasive rats, dogs, and pigs, as well as human predation. Successful human colonization led to natural environments transformed into agriculturally productive systems.</t>
  </si>
  <si>
    <t>[Hunt, Terry L.] Univ Oregon, Robert D Clark Honors Coll, Eugene, OR 97403 USA; [Hunt, Terry L.] Univ Oregon, Anthropol, Eugene, OR 97403 USA; [Lipo, Carl P.] SUNY Binghamton, Environm Studies, Binghamton, NY USA; [Lipo, Carl P.] SUNY Binghamton, Anthropol, Binghamton, NY USA</t>
  </si>
  <si>
    <t>University of Oregon; University of Oregon; State University of New York (SUNY) System; State University of New York (SUNY) Binghamton; State University of New York (SUNY) System; State University of New York (SUNY) Binghamton</t>
  </si>
  <si>
    <t>Hunt, TL (corresponding author), Univ Oregon, Robert D Clark Honors Coll, Eugene, OR 97403 USA.;Hunt, TL (corresponding author), Univ Oregon, Anthropol, Eugene, OR 97403 USA.</t>
  </si>
  <si>
    <t>Lipo, Carl/C-9154-2013</t>
  </si>
  <si>
    <t>978-1-316-61574-4; 978-1-107-16414-7</t>
  </si>
  <si>
    <t>10.1017/9781316686942</t>
  </si>
  <si>
    <t>Anthropology; Evolutionary Biology</t>
  </si>
  <si>
    <t>Book Citation Index – Social Sciences &amp; Humanities (BKCI-SSH)</t>
  </si>
  <si>
    <t>BK8TG</t>
  </si>
  <si>
    <t>WOS:000443570600009</t>
  </si>
  <si>
    <t>Kabanov, DM; Radionov, VF; Sakerin, SM</t>
  </si>
  <si>
    <t>Matvienko, GG; Romanovskii, OA</t>
  </si>
  <si>
    <t>Kabanov, Dmitry M.; Radionov, Vladimir F.; Sakerin, Sergey M.</t>
  </si>
  <si>
    <t>Results of 5-year SPM photometer measurements of spectral atmospheric transparency at Antarctic Mirny observatory</t>
  </si>
  <si>
    <t>23RD INTERNATIONAL SYMPOSIUM ON ATMOSPHERIC AND OCEAN OPTICS: ATMOSPHERIC PHYSICS</t>
  </si>
  <si>
    <t>Proceedings of SPIE</t>
  </si>
  <si>
    <t>23rd International Symposium on Atmospheric and Ocean Optics - Atmospheric Physics</t>
  </si>
  <si>
    <t>JUL 03-07, 2017</t>
  </si>
  <si>
    <t>Irkutsk, RUSSIA</t>
  </si>
  <si>
    <t>aerosol optical depth; Antarctica</t>
  </si>
  <si>
    <t>AEROSOL OPTICAL DEPTH</t>
  </si>
  <si>
    <t>Since January 2013, observations of atmospheric transparency in the wavelength range of 0.34-2.14 mu m have been conducted at the Antarctic Mirny observatory, which are used to determine the aerosol optical depth (AOD) and water vapor content of the atmosphere. In this work, the results of five-year cycle of measurements of spectral AOD of the atmosphere in the Antarctic region are summarized: we present statistical characteristics, and estimate the seasonal and interannual variations and interrelations with meteorological parameters. Comparison with data, obtained earlier in this region, showed that aerosol turbidity remains at stably low level during two recent decades: the average AOD value at the wavelength of 0.5 mu m is 0.026 +/- 0.011.</t>
  </si>
  <si>
    <t>[Kabanov, Dmitry M.; Sakerin, Sergey M.] Russian Acad Sci, Siberian Branch, VE Zuev Inst Atmospher Opt, Academician Zuev Sq 1, Tomsk 634021, Russia; [Radionov, Vladimir F.] Arctic &amp; Antarctic Res Inst, 38 Bering Str, St Petersburg 199397, Russia</t>
  </si>
  <si>
    <t>Zuev Institute of Atmospheric Optics, Siberian Branch of the Russian Academy of Sciences; Russian Academy of Sciences; Arctic &amp; Antarctic Research Institute</t>
  </si>
  <si>
    <t>Kabanov, DM (corresponding author), Russian Acad Sci, Siberian Branch, VE Zuev Inst Atmospher Opt, Academician Zuev Sq 1, Tomsk 634021, Russia.</t>
  </si>
  <si>
    <t>sms@iao.ru</t>
  </si>
  <si>
    <t>Radionov, Vladimir F./O-3038-2017; Kabanov, Dmitry M./A-5805-2014; Kabanov, Dmitry/A-4871-2014; Sakerin, Sergey/A-6508-2014</t>
  </si>
  <si>
    <t>Integrated Program of Basic Research, Siberian Branch, Russian Academy of Sciences [II.2P/IX.133-3]; Russian Federation Environmental protection</t>
  </si>
  <si>
    <t>Integrated Program of Basic Research, Siberian Branch, Russian Academy of Sciences(Russian Academy of Sciences); Russian Federation Environmental protection</t>
  </si>
  <si>
    <t>This study was supported by the Integrated Program of Basic Research, Siberian Branch, Russian Academy of Sciences (project no. II.2P/IX.133-3) and Subprogram Organization and maintenance of works and scientific research in Antarctica of State Program of the Russian Federation Environmental protection for 2012-2020.</t>
  </si>
  <si>
    <t>SPIE-INT SOC OPTICAL ENGINEERING</t>
  </si>
  <si>
    <t>BELLINGHAM</t>
  </si>
  <si>
    <t>1000 20TH ST, PO BOX 10, BELLINGHAM, WA 98227-0010 USA</t>
  </si>
  <si>
    <t>0277-786X</t>
  </si>
  <si>
    <t>1996-756X</t>
  </si>
  <si>
    <t>978-1-5106-1414-7; 978-1-5106-1413-0</t>
  </si>
  <si>
    <t>PROC SPIE</t>
  </si>
  <si>
    <t>UNSP 104662K</t>
  </si>
  <si>
    <t>10.1117/12.2284446</t>
  </si>
  <si>
    <t>Meteorology &amp; Atmospheric Sciences; Optics; Physics, Applied</t>
  </si>
  <si>
    <t>Meteorology &amp; Atmospheric Sciences; Optics; Physics</t>
  </si>
  <si>
    <t>BK7WQ</t>
  </si>
  <si>
    <t>WOS:000442257000090</t>
  </si>
  <si>
    <t>Kabanov, DM; Zenkova, PN; Lisitzin, AP; Lubo-Lesnichenko, KE; Panchenko, MV; Radionov, VF; Sakerin, SM; Sidorova, OR; Terpugova, SA; Shevchenko, VP</t>
  </si>
  <si>
    <t>Kabanov, Dmitry M.; Zenkova, Polina N.; Lisitzin, Alexander P.; Lubo-Lesnichenko, Konstantin E.; Panchenko, Mikhail V.; Radionov, Vladimir F.; Sakerin, Sergey M.; Sidorova, Olga R.; Terpugova, Svetlana A.; Shevchenko, Vladimir P.</t>
  </si>
  <si>
    <t>Peculiarities of spatial-temporal variability of the aerosol optical depth of the atmosphere over Kara and Baretns Seas in 2016</t>
  </si>
  <si>
    <t>aerosol optical depth; polar latitudes; effect of fires</t>
  </si>
  <si>
    <t>BLACK CARBON; PHOTOMETERS; TRANSPORT</t>
  </si>
  <si>
    <t>The results of measurements of the aerosol optical depth (AOD) of the atmosphere carried out in 66th and 67th cruises of RV Akademik Mstislav Keldysh (Kara and Barents Seas) and at Russian scientific center in Barentsburg (Svalbard) during polar summer of 2016 are analyzed. It is shown that the level of aerosol turbidity of the atmosphere was close to the long-term average data in arctic latitudes. The mean value of AOD(0.5 mu m) obtained from shipborne measurements is 0.065 +/- 0.056 and analogous value in Barentsburg is 0.072 +/- 0.040. The smoke plumes of forest fires on the continent significantly affected the atmospheric turbidity during measurements. For example, the contribution of smoke aerosol in the mean value of AOD (0.5 mu m) obtained onboard the ship is about 44%.</t>
  </si>
  <si>
    <t>[Kabanov, Dmitry M.; Zenkova, Polina N.; Panchenko, Mikhail V.; Sakerin, Sergey M.; Terpugova, Svetlana A.] Russian Acad Sci, VE Zuev Inst Atmospher Opt, Siberian Branch, Academician Zuev Sq 1, Tomsk 634021, Russia; [Lisitzin, Alexander P.; Shevchenko, Vladimir P.] Russian Acad Sci, PP Shirshov Oceanol Inst, 36 Nakhimovski Prospect, Moscow 117997, Russia; [Lubo-Lesnichenko, Konstantin E.; Radionov, Vladimir F.; Sidorova, Olga R.] Arctic &amp; Antarctic Res Inst, 38 Bering Str, St Petersburg 199397, Russia</t>
  </si>
  <si>
    <t>Zuev Institute of Atmospheric Optics, Siberian Branch of the Russian Academy of Sciences; Russian Academy of Sciences; Russian Academy of Sciences; Shirshov Institute of Oceanology; Arctic &amp; Antarctic Research Institute</t>
  </si>
  <si>
    <t>Kabanov, DM (corresponding author), Russian Acad Sci, VE Zuev Inst Atmospher Opt, Siberian Branch, Academician Zuev Sq 1, Tomsk 634021, Russia.</t>
  </si>
  <si>
    <t>dkab@iao.ru</t>
  </si>
  <si>
    <t>Kabanov, Dmitry/A-4871-2014; Kabanov, Dmitry M./A-5805-2014; Shevchenko, Vladimir P./C-2096-2014; Sakerin, Sergey/A-6508-2014; Lisitzin, Alexander/S-8300-2018; Panchenko, Mikhail Vasilievich/E-4049-2014; Sidorova, Olga/ABH-1841-2020; Terpugova, Svetlana/A-5054-2014; Radionov, Vladimir F./O-3038-2017</t>
  </si>
  <si>
    <t>Terpugova, Svetlana/0000-0003-4468-9455; Zenkova, Polina/0009-0008-4294-7274</t>
  </si>
  <si>
    <t>Russian Science Foundation (RSF) [14-50-00095, 14-27-00114]; Program of Department of Earth Sciences of Russian Academy of Sciences [II.2Pi/IX.135-8]</t>
  </si>
  <si>
    <t>Russian Science Foundation (RSF)(Russian Science Foundation (RSF)); Program of Department of Earth Sciences of Russian Academy of Sciences</t>
  </si>
  <si>
    <t>Measurements in Kara Sea were carried out under grant of Russian Science Foundation (RSF) No. 14-50-00095, measurements in Barents Sea were carried out under grant RSF No. 14-27-00114. Measurements in Barentsburg were supported by Interdepartmental Program of Scientific Research and Observations on Svalbard in 2016, analysis of the results was supported in part by the Program of Department of Earth Sciences of Russian Academy of Sciences No. II.2 Pi/IX.135-8.</t>
  </si>
  <si>
    <t>UNSP 104662G</t>
  </si>
  <si>
    <t>10.1117/12.2284298</t>
  </si>
  <si>
    <t>WOS:000442257000086</t>
  </si>
  <si>
    <t>Kashkin, VB; Rubleva, TV; Dergunov, AV</t>
  </si>
  <si>
    <t>Kashkin, V. B.; Rubleva, T. V.; Dergunov, A. V.</t>
  </si>
  <si>
    <t>DYNAMICS OF THE OZONE LAYER IN THE SOUTHERN HEMISPHERE BASED ON SATELLITE DATA</t>
  </si>
  <si>
    <t>Space monitoring; satellite data; dynamic atmospheric processes; polar vortex; ozonosphere; Antarctic ozone hole</t>
  </si>
  <si>
    <t>Satellite data - the zonal means - are used to study the processes of formation and disappearance of the Antarctic ozone anomaly (AOA). During the formation of the AOA in September-October, the masses of ozone are transported from the polar region to the middle latitudes of the Southern Hemisphere. In November-December, the AOA is filled with ozone moving from the middle latitudes. The same mass of ozone, reaching more than 70 million tons, is transported from the polar latitudes to middle latitudes and back. No signs of ozone depletion were detected in the Southern Hemisphere in September-December.</t>
  </si>
  <si>
    <t>[Kashkin, V. B.; Rubleva, T. V.; Dergunov, A. V.] Siberian Fed Univ, Krasnoyarsk, Russia</t>
  </si>
  <si>
    <t>Siberian Federal University</t>
  </si>
  <si>
    <t>Kashkin, VB (corresponding author), Siberian Fed Univ, Krasnoyarsk, Russia.</t>
  </si>
  <si>
    <t>rtcvbk@rambler.ru; tvrubleva@mail.ru; al.21.95.007@gmail.com</t>
  </si>
  <si>
    <t>Dergunov, Alexander/0000-0003-0705-2682</t>
  </si>
  <si>
    <t>UNSP 1046678</t>
  </si>
  <si>
    <t>10.1117/12.2293210</t>
  </si>
  <si>
    <t>WOS:000442257000257</t>
  </si>
  <si>
    <t>Sakerin, SM; Kabanov, DM; Polkin, VV</t>
  </si>
  <si>
    <t>Sakerin, Sergey M.; Kabanov, Dmitry M.; Polkin, Viktor V.</t>
  </si>
  <si>
    <t>Estimate of latitudinal and longitudinal boundaries of aerosol regions in the East Atlantic</t>
  </si>
  <si>
    <t>aerosol; optical and microphysical characteristics; East Atlantic</t>
  </si>
  <si>
    <t>EXPEDITIONS; ATMOSPHERE; ROUTE</t>
  </si>
  <si>
    <t>In 2004-2015, along the route of the Russian Antarctic Expeditions in the East Atlantic, we performed annual measurements of aerosol parameters: number concentrations of small (d = 0.4-1 mu m) and large (d &gt; 1 mu m) particles, mass concentrations of aerosol and black carbon, atmospheric aerosol optical depth (AOD), and its fine-and coarse-mode components. The obtained data allowed us to reveal the regularities of latitudinal (with 5 degrees step) distribution of aerosol parameters and create the prerequisites for their zoning. In the work, the latitudinal boundaries of the identified regions are estimated. To estimate the longitudinal boundaries of the aerosol regions, we employ multiyear (2002-2015) data of satellite (MODIS/Aqua&amp; Terra) measurements of atmospheric AOD.</t>
  </si>
  <si>
    <t>[Sakerin, Sergey M.; Kabanov, Dmitry M.; Polkin, Viktor V.] Russian Acad Sci, VE Zuev Inst Atmospher Opt, Siberian Branch, Academician Zuev Sq 1, Tomsk 634021, Russia</t>
  </si>
  <si>
    <t>Russian Academy of Sciences; Zuev Institute of Atmospheric Optics, Siberian Branch of the Russian Academy of Sciences</t>
  </si>
  <si>
    <t>Sakerin, SM (corresponding author), Russian Acad Sci, VE Zuev Inst Atmospher Opt, Siberian Branch, Academician Zuev Sq 1, Tomsk 634021, Russia.</t>
  </si>
  <si>
    <t>Sakerin, Sergey/A-6508-2014; Polkin, Victor/G-4153-2014; Kabanov, Dmitry M./A-5805-2014; Kabanov, Dmitry/A-4871-2014</t>
  </si>
  <si>
    <t>Integrated Program of Basic Research, Siberian Branch, Russian Academy of Sciences [II.2P/IX.133-3]</t>
  </si>
  <si>
    <t>Integrated Program of Basic Research, Siberian Branch, Russian Academy of Sciences(Russian Academy of Sciences)</t>
  </si>
  <si>
    <t>This study was supported by the Integrated Program of Basic Research, Siberian Branch, Russian Academy of Sciences (project no. II.2P/IX.133-3).</t>
  </si>
  <si>
    <t>UNSP 104662E</t>
  </si>
  <si>
    <t>10.1117/12.2283063</t>
  </si>
  <si>
    <t>WOS:000442257000084</t>
  </si>
  <si>
    <t>Vacchi, M; Pisano, E; Ghigliotti, L</t>
  </si>
  <si>
    <t>Antarctic Silverfish: A Keystone Species in a Changing Ecosystem</t>
  </si>
  <si>
    <t>ANTARCTIC SILVERFISH: A KEYSTONE SPECIES IN A CHANGING ECOSYSTEM</t>
  </si>
  <si>
    <t>Advances in Polar Ecology</t>
  </si>
  <si>
    <t>Book</t>
  </si>
  <si>
    <t>SPRINGER INTERNATIONAL PUBLISHING AG</t>
  </si>
  <si>
    <t>CHAM</t>
  </si>
  <si>
    <t>GEWERBESTRASSE 11, CHAM, CH-6330, SWITZERLAND</t>
  </si>
  <si>
    <t>2468-5712</t>
  </si>
  <si>
    <t>978-3-319-55893-6; 978-3-319-55891-2</t>
  </si>
  <si>
    <t>ADV POL ECO</t>
  </si>
  <si>
    <t>10.1007/978-3-319-55893-6</t>
  </si>
  <si>
    <t>Ecology; Zoology</t>
  </si>
  <si>
    <t>Environmental Sciences &amp; Ecology; Zoology</t>
  </si>
  <si>
    <t>BK5SF</t>
  </si>
  <si>
    <t>WOS:000439509000017</t>
  </si>
  <si>
    <t>Evans, CW; DeVries, AL</t>
  </si>
  <si>
    <t>Evans, Clive W.; DeVries, Arthur L.</t>
  </si>
  <si>
    <t>Coping with Ice: Freeze Avoidance in the Antarctic Silverfish (Pleuragramma antarctica) from Egg to Adult</t>
  </si>
  <si>
    <t>AFGP; AFP; AFPP; Antifreeze; Hysteresis; Exocrine pancreas; Superheating</t>
  </si>
  <si>
    <t>IV ANTIFREEZE PROTEINS; FISHES; GLYCOPEPTIDES; ZEBRAFISH; PANCREAS; GENE; SEA; GLYCOPROTEINS; ADAPTATIONS; RESISTANCE</t>
  </si>
  <si>
    <t>The Antarctic silverfish survives in a hostile environment that includes hatching into a zone laden with platelet ice. Embryonated eggs and hatchling larvae lack adequate levels of antifreeze to survive in this environment, but they are afforded physical protection against freezing by the presence of a resistant chorion (around the embryonated eggs) and a resistant external epithelium (around the larvae). Adult Antarctic silverfish also have low levels of antifreeze, but they are less likely to tolerate freezing conditions than their eggs or larvae because of damage to their external epithelium suffered during their lifetime allowing for ice entry. Like most other notothenioids, the Antarctic silverfish synthesises antifreeze glycoproteins (AFGPs), primarily in acinar cells of the exocrine pancreas. From here they are secreted directly into the digestive tract, ultimately dispersing throughout the body after uptake in the rectum and transfer into the blood circulatory system. Surprisingly, the Antarctic silverfish lacks the full range of AFGP isoforms (AFGP1-8), having instead a single dominant similar to 20 kDa form with some minor AFGP6 variants. The total serum AFGP concentration is relatively low, providing about 0.2 degrees C thermal hysteresis. Total serum hysteresis, however, is similar to 1.3 degrees C, the increase being provided by a novel antifreeze protein that behaves akin to the antifreeze potentiating protein (AFPP) described in other notothenioids. Nonetheless, this level of protection is below that required for survival in a freezing environment and thus adult Antarctic silverfish can only survive in locales free of ice crystals.</t>
  </si>
  <si>
    <t>[Evans, Clive W.] Univ Auckland, Sch Biol Sci, Private Bag 92019, Auckland, New Zealand; [DeVries, Arthur L.] Univ Illinois, Dept Anim Biol, 524 Burrill Hall,407 S Goodwin, Urbana, IL 61801 USA</t>
  </si>
  <si>
    <t>University of Auckland; University of Illinois System; University of Illinois Urbana-Champaign</t>
  </si>
  <si>
    <t>Evans, CW (corresponding author), Univ Auckland, Sch Biol Sci, Private Bag 92019, Auckland, New Zealand.</t>
  </si>
  <si>
    <t>c.evans@auckland.ac.nz; adevries@life.illinois.edu</t>
  </si>
  <si>
    <t>Evans, Clive/AAZ-4699-2021</t>
  </si>
  <si>
    <t>10.1007/978-3-319-55893-6_2</t>
  </si>
  <si>
    <t>WOS:000439509000004</t>
  </si>
  <si>
    <t>di Prisco, G; Verde, C</t>
  </si>
  <si>
    <t>di Prisco, Guido; Verde, Cinzia</t>
  </si>
  <si>
    <t>The Unique Haemoglobin System of Migratory Pleuragramma antarctica: Correlation of Haematological and Biochemical Adaptations with Mode of Life</t>
  </si>
  <si>
    <t>Oxygen-transport system; Haemoglobin; Adaptation</t>
  </si>
  <si>
    <t>FUNCTIONALLY DISTINCT HEMOGLOBINS; AETHOTAXIS-MITOPTERYX DEWITT; ENVIRONMENTAL-CONDITIONS; SPATIAL-DISTRIBUTION; NOTOTHENIID FISHES; SEQUENCE ALIGNMENT; SINGLE HEMOGLOBIN; STRUCTURAL BASIS; BLOOD; TELEOST</t>
  </si>
  <si>
    <t>In the Southern Ocean the suborder Notothenioidei is dominant. Most notothenioids are benthic and sedentary; we have studied haemoglobin structure/function in search of correlations with mode of life and evolution. In the Antarctic shelf Pleuragramma antarctica (0-900 m) is dominant in abundance and biomass. It has circum-Antarctic distribution, and is the only fully pelagic notothenioid. Being the best example of notothenioid adaptation to pelagic habitats, P. antarctica calls for studies on adaptive strategies. In notothenioids, evolution has developed blood adaptations, such as reduction of erythrocyte number and haemoglobin concentration/multiplicity, reaching the extreme of eliminating haemoglobin in Channichthyidae. Species of the red-blooded families generally only have one haemoglobin (95-99% of the total). In contrast, P. antarctica has three major haemoglobins. As this species performs seasonal migrations through water masses that may have different and fluctuating temperatures, during evolution it developed adaptations suitable to allow optimal energy savings during the oxygenation-deoxygenation cycle, producing haemoglobins displaying wide differences in thermodynamic behaviour. The expression of multiple genes, typical of juveniles, remains high also in the adult stage. This oxygen-transport system is remarkably unique and appears designed to fit an unusual mode of life through refined adaptation strategies. In the phylogenetic trees, the alpha(a) chain of P. antarctica haemoglobins falls into the clade of major Antarctic haemoglobins; the same applies to the beta(a) chains. The ab chain is in a basal position with respect to the clade of Antarctic minor Hbs; the same applies to the beta(b) chain. All this appears congruent with the phylogenetic evidence. Population dynamics and ecophysiological adaptations of P. antarctica are worth investigating to identify strategies of resilience to current climate changes.</t>
  </si>
  <si>
    <t>[di Prisco, Guido; Verde, Cinzia] Natl Res Council CNR, Inst Biosci &amp; BioResources IBBR, Via Pietro Castellino 111, I-80131 Naples, Italy</t>
  </si>
  <si>
    <t>Consiglio Nazionale delle Ricerche (CNR); Istituto di Bioscienze e Biorisorse (IBBR-CNR)</t>
  </si>
  <si>
    <t>di Prisco, G (corresponding author), Natl Res Council CNR, Inst Biosci &amp; BioResources IBBR, Via Pietro Castellino 111, I-80131 Naples, Italy.</t>
  </si>
  <si>
    <t>guido.diprisco@ibbr.cnr.it; cinzia.verde@ibbr.cnr.it</t>
  </si>
  <si>
    <t>10.1007/978-3-319-55893-6_3</t>
  </si>
  <si>
    <t>WOS:000439509000005</t>
  </si>
  <si>
    <t>Benedetti, M; Giuliani, ME; Regoli, F</t>
  </si>
  <si>
    <t>Benedetti, Maura; Giuliani, Maria Elisa; Regoli, Francesco</t>
  </si>
  <si>
    <t>Pro-oxidant Challenges and Antioxidant Adaptation of Pleuragramma antarctica in Platelet Ice</t>
  </si>
  <si>
    <t>Antioxidant defence; Antarctic fishes; Catalase; Glutathione peroxidase</t>
  </si>
  <si>
    <t>EARLY-LIFE STAGES; TERRA-NOVA BAY; SCALLOP ADAMUSSIUM-COLBECKI; OXIDATIVE STRESS; GLUTATHIONE-PEROXIDASE; SPATIAL-DISTRIBUTION; VIBRIO-SALMONICIDA; NOTOTHENIOID FISH; DEFENSE SYSTEMS; MOLECULAR-BASIS</t>
  </si>
  <si>
    <t>Antarctic organisms developed specific adaptation mechanisms making these species able to survive to extreme environment conditions. Among fishes, Pleuragramma antarctica presents a specific peculiarity due to the occurrence of eggs with fully developed yolk-sac embryos below the platelet ice layer. This ice is an environment with strong pro-oxidant characteristics at the beginning of austral spring, when the rapid growth of algal ice communities, the massive release of nutrients and the photoactivation of dissolved organic carbon and nitrates represent an important sources for oxyradical formation. Such processes are concentrated in a short period of a few weeks, which overlaps with the final stage of development of P. antarctica embryos in platelet ice. For this reason, embryonated eggs of P. antarctica, before hatching, should possess adequate protection toward the marked and sudden increase of reactive oxygen species exposure. In this respect, molecular and functional characteristics of antioxidants in P. antarctica provide new insights on the modulation of the antioxidant defence pathway in response to varied environmental pro-oxidant challenge. To this aim, the main antioxidant components have been characterized in P. antarctica sampled from platelet ice in its nursery area in the Ross Sea, and data on nucleotide and protein sequences have been integrated with the analysis of regulation at transcriptional and functional levels. The results revealed a marked temporal increase of antioxidants in embryos of P. antarctica as adaptive counteracting response to oxidative conditions of platelet ice.</t>
  </si>
  <si>
    <t>[Benedetti, Maura; Giuliani, Maria Elisa; Regoli, Francesco] Univ Politecn Marche, Dept Life &amp; Environm Sci, Via Brecce Bianche, I-60131 Ancona, Italy</t>
  </si>
  <si>
    <t>Marche Polytechnic University</t>
  </si>
  <si>
    <t>Regoli, F (corresponding author), Univ Politecn Marche, Dept Life &amp; Environm Sci, Via Brecce Bianche, I-60131 Ancona, Italy.</t>
  </si>
  <si>
    <t>m.benedetti@univpm.it; m.e.giuliani@univpm.it; f.regoli@univpm.it</t>
  </si>
  <si>
    <t>Giuliani, Maria Elisa/K-5369-2016; Regoli, Francesco/K-2719-2018</t>
  </si>
  <si>
    <t>10.1007/978-3-319-55893-6_4</t>
  </si>
  <si>
    <t>WOS:000439509000006</t>
  </si>
  <si>
    <t>Pinkerton, MH</t>
  </si>
  <si>
    <t>Pinkerton, Matthew H.</t>
  </si>
  <si>
    <t>Diet and Trophic Ecology of Adult Antarctic Silverfish (Pleuragramma antarctica)</t>
  </si>
  <si>
    <t>Southern Ocean; Nototheniidae; Stable isotope; Trophic niche; Trophic level; Fatty acid; Stomach contents</t>
  </si>
  <si>
    <t>LIFE-CYCLE STRATEGIES; EASTERN WEDDELL-SEA; ROSS SEA; STOMACH CONTENTS; MCMURDO SOUND; NOTOTHENIOID FISH; LIPID-METABOLISM; STABLE-ISOTOPES; FATTY-ACIDS; BODY-SIZE</t>
  </si>
  <si>
    <t>Antarctic silverfish, Pleuragramma antarctica Boulenger 1902 are the most abundant pelagic fish over the high-Antarctic shelf and one of the main ecosystem links in Southern Ocean shelf ecosystems, where they are a key prey item for fish marine mammals and birds. Consequently, information on the feeding ecology of silverfish forms an important component of research to understand the structure of Antarctic shelf ecosystems. This chapter reviews what is known about the feeding of adult silverfish, what prey items make up the diet of adult silverfish and how the diet varies by fish size, geographic location and season. By adult silverfish we mean silverfish that are of a size where they are likely to have reached sexual maturity (greater than about 120 mm standard length).</t>
  </si>
  <si>
    <t>[Pinkerton, Matthew H.] Natl Inst Water &amp; Atmospher Res Ltd NIWA, Private Bag 14901, Wellington 6241, New Zealand</t>
  </si>
  <si>
    <t>National Institute of Water &amp; Atmospheric Research (NIWA) - New Zealand</t>
  </si>
  <si>
    <t>Pinkerton, MH (corresponding author), Natl Inst Water &amp; Atmospher Res Ltd NIWA, Private Bag 14901, Wellington 6241, New Zealand.</t>
  </si>
  <si>
    <t>m.pinkerton@niwa.co.nz</t>
  </si>
  <si>
    <t>10.1007/978-3-319-55893-6_5</t>
  </si>
  <si>
    <t>WOS:000439509000007</t>
  </si>
  <si>
    <t>Tavernier, E; Giraldo, C</t>
  </si>
  <si>
    <t>Tavernier, Eric; Giraldo, Carolina</t>
  </si>
  <si>
    <t>Trophic Ecology of Early Developmental Stages of Antarctic Silverfish</t>
  </si>
  <si>
    <t>Trophic ecology; Fish feeding; Antarctic fish larvae; Juveniles</t>
  </si>
  <si>
    <t>TERRA-NOVA BAY; WEDDELL SEA ANTARCTICA; EARLY-LIFE STAGES; DUMONT DURVILLE SEA; PLEURAGRAMMA-ANTARCTICUM; ROSS SEA; SPATIAL-DISTRIBUTION; ENVIRONMENTAL-CONDITIONS; FEEDING ECOLOGY; MCMURDO SOUND</t>
  </si>
  <si>
    <t>The Antarctic pelagic ecosystem over the continental shelf is dominated by the Antarctic silverfish Pleuragramma antarctica (Nototheniidae) which represents up to 90% of the fish biomass. P. antarctica is the only notothenioid species to have an entire pelagic life cycle. This species is characterized by a particularly long larval stage that lasts over a year and a vertical distribution with larvae in the surface layer and the older individuals in deeper ones. The reproductive cycle of P. antarctica is closely linked to seasonal sea ice dynamics and early stages depend on the spatial and temporal match with zooplankton production. P. antarctica is planktivorous at all stages of development, larvae are omnivorous actively feeding on diatoms and small copepods such as Oithona and Oncaea spp., while juveniles and adults are strictly carnivorous and feed mainly on copepods and euphausiids. In the early years of its life-history Antarctic silverfish exhibit primarily a marked transition in terms of trophic ecology between larvae and juveniles. The food resource partitioning is relatively clear between larvae and older life stages with a negligible overlap. Although the shift in diet between juveniles and adults remains less obvious in several geographic locations, juveniles and adults seem to share a similar mid-trophic level around Antarctica.</t>
  </si>
  <si>
    <t>[Tavernier, Eric] Univ Lille Nord France, F-59000 Lille, France; [Tavernier, Eric] ULCO, LOG, 32 Ave Foch, F-62930 Wimereux, France; [Giraldo, Carolina] French Res Inst Sea IFREMER, Channel &amp; North Sea Fisheries Res Unit, 150 Quai Gambetta, F-62321 Boulogne Sur Mer, France</t>
  </si>
  <si>
    <t>Universite de Lille; Universite du Littoral-Cote-d'Opale</t>
  </si>
  <si>
    <t>Tavernier, E (corresponding author), Univ Lille Nord France, F-59000 Lille, France.;Tavernier, E (corresponding author), ULCO, LOG, 32 Ave Foch, F-62930 Wimereux, France.</t>
  </si>
  <si>
    <t>Eric.Tavernier@univ-littoral.fr; carolina.giraldo@ifremer.fr</t>
  </si>
  <si>
    <t>Giraldo, Carolina/0000-0003-0278-522X</t>
  </si>
  <si>
    <t>10.1007/978-3-319-55893-6_6</t>
  </si>
  <si>
    <t>WOS:000439509000008</t>
  </si>
  <si>
    <t>Hagen, W; Kattner, G</t>
  </si>
  <si>
    <t>Hagen, Wilhelm; Kattner, Gerhard</t>
  </si>
  <si>
    <t>The Role of Lipids in the Life History of the Antarctic Silverfish Pleuragramma antarctica</t>
  </si>
  <si>
    <t>Nototheniidae; Lipid deposition; Life cycle</t>
  </si>
  <si>
    <t>WEDDELL SEA ANTARCTICA; HERRING CLUPEA-HARENGUS; WAX ESTERS; ECOLOGICAL IMPLICATIONS; NOTOTHENIOID FISHES; FATTY-ACID; EUPHAUSIA-CRYSTALLOROPHIAS; POLAR COPEPODS; SOUTHERN; ADAPTATIONS</t>
  </si>
  <si>
    <t>A unique characteristic of the pelagic Antarctic silverfish Pleuragramma antarctica is the massive accumulation and storage of lipids in special oil sacs. The enormous lipid deposition beyond 50% of body dry mass functions primarily as buoyancy aid compensating for the missing swim bladder in these fishes, although the depot lipids could also serve as energy reserves. The lipid signature clearly reflects the life cycle of P. antarctica. Trophic marker fatty acids of the early larval and post-larval stages reveal feeding preferences on phyto-and zooplankton, mainly copepods, which these stages utilize for rapid somatic growth without special lipid storage. The juvenile stages tend to feed on calanoid copepods, while the adults shift to krill (Euphausia superba, E. crystallorophias) as major food items. The findings from fatty acid trophic markers are in accordance with gut content analyses. Juveniles to adults exhibit a pronounced lipid deposition, namely triacylglycerols, in the oil sacs. These triacylglycerols are composed of unmodified dietary fatty acids, but may also partially be synthesized de novo. This substantial lipid accumulation not only represents a key adaptation of P. antarctica to life in the pelagic realm. It is also of major importance as high-quality and high-energy food for other marine vertebrates such as seabirds and seals and ultimately ensures an efficient energy flow through the lipid-based high-Antarctic food web.</t>
  </si>
  <si>
    <t>[Hagen, Wilhelm] Univ Bremen, Bremen Marine Ecol BreMarE, Marine Zool, Bremen, Germany; [Kattner, Gerhard] Alfred Wegener Inst, Helmholtz Ctr Polar &amp; Marine Res, Ecol Chem, Bremerhaven, Germany</t>
  </si>
  <si>
    <t>University of Bremen; Helmholtz Association; Alfred Wegener Institute, Helmholtz Centre for Polar &amp; Marine Research</t>
  </si>
  <si>
    <t>Hagen, W (corresponding author), Univ Bremen, Bremen Marine Ecol BreMarE, Marine Zool, Bremen, Germany.</t>
  </si>
  <si>
    <t>whagen@uni-bremen.de; gerhard.kattner@awi.de</t>
  </si>
  <si>
    <t>10.1007/978-3-319-55893-6_7</t>
  </si>
  <si>
    <t>WOS:000439509000009</t>
  </si>
  <si>
    <t>Martinez, E; Torres, JJ</t>
  </si>
  <si>
    <t>Martinez, Eloy; Torres, Joseph J.</t>
  </si>
  <si>
    <t>Energetics of the Antarctic Silverfish, Pleuragramma antarctica, from the Western Antarctic Peninsula</t>
  </si>
  <si>
    <t>Fish metabolism; Energy budget; Antarctic fishes</t>
  </si>
  <si>
    <t>TERRA-NOVA BAY; WEDDELL-SEA; NOTOTHENIOID FISH; COLD ADAPTATION; GROWTH-RATE; ROSS SEA; NANOMOLAR CONCENTRATIONS; CHAENOCEPHALUS-ACERATUS; SPATIAL-DISTRIBUTION; MESOPELAGIC FISHES</t>
  </si>
  <si>
    <t>The nototheniid Pleuragramma antarctica, commonly known as the Antarctic silverfish, dominates the pelagic fish biomass in most regions of coastal Antarctica. In this chapter, we provide shipboard oxygen consumption and nitrogen excretion rates obtained from P. antarctica collected along the Western Antarctic Peninsula and, combining those data with results from previous studies, develop an age-dependent energy budget for the species. Routine oxygen consumption of P. antarctica fell in the midrange of values for notothenioids, with a mean of 0.057 +/- 0.012 ml O-2 g(-1) h(-1) (chi +/- 95% CI). P. antarctica showed a mean ammonia-nitrogen excretion rate of 0.194 +/- 0.042 mu mol NH4-N g(-1) h(-1) (chi +/- 95% CI). Based on current data, ingestion rates estimated in previous studies were sufficient to cover the metabolic requirements over the year classes 0-10. Metabolism stood out as the highest energy cost to the fish over the age intervals considered, initially commanding 89%, gradually declining to 67% of the annual energy costs as the fish aged from 0 to 10 years. Overall, the budget presented in the chapter shows good agreement between ingested and combusted energy, and supports the contention of a low-energy lifestyle for P. antarctica, but it also resembles that of other pelagic species in the high percentage of assimilated energy devoted to metabolism. It differs from more temperate coastal pelagic fishes in its large investment in reproduction and its pattern of slow steady growth throughout a relatively long lifespan.</t>
  </si>
  <si>
    <t>[Martinez, Eloy] Guanica Biosphere Reserve, Dept Nat &amp; Environm Resources, Guanica, PR 00653 USA; [Torres, Joseph J.] Univ S Florida, Coll Marine Sci, 140 Seventh Ave South, St Petersburg, FL 33701 USA</t>
  </si>
  <si>
    <t>State University System of Florida; University of South Florida</t>
  </si>
  <si>
    <t>Martinez, E (corresponding author), Guanica Biosphere Reserve, Dept Nat &amp; Environm Resources, Guanica, PR 00653 USA.</t>
  </si>
  <si>
    <t>martinez.physiology@gmail.com; jjtorres@usf.edu</t>
  </si>
  <si>
    <t>10.1007/978-3-319-55893-6_8</t>
  </si>
  <si>
    <t>WOS:000439509000010</t>
  </si>
  <si>
    <t>Ghigliotti, L; Herasymchuk, VV; Kock, KH; Vacchi, M</t>
  </si>
  <si>
    <t>Ghigliotti, Laura; Herasymchuk, Volodymyr V.; Kock, Karl-Hermann; Vacchi, Marino</t>
  </si>
  <si>
    <t>Reproductive Strategies of the Antarctic Silverfish: Known Knowns, Known Unknowns and Unknown Unknowns</t>
  </si>
  <si>
    <t>Antarctic fish; Ovarian maturation; Atresia; Skip spawning; Nursery area</t>
  </si>
  <si>
    <t>TERRA-NOVA BAY; ROSS SEA; PLEURAGRAMMA-ANTARCTICUM; WEDDELL-SEA; SPATIAL-DISTRIBUTION; SOUTHERN-OCEAN; MACKEREL ICEFISH; PARENTAL CARE; LIFE-CYCLE; FISH</t>
  </si>
  <si>
    <t>Reproduction is a key step of a species life history and includes a suite of strategies and tactics enacted to allow the maximization of reproductively active offspring in relation to available energy and parental life expectancy. Gender system, oogenesis pattern, maturation schedule, shifts in habitat utilization, spawning seasonality, mating behavior, and fertilization pattern are among the traits involved in the process of species adaptive optimization of reproduction. In this frame, here we review the reproductive traits of the Antarctic silverfish (Pleuragramma antarctica) based on the available macroscopic and histological data. Then, we will step forward by focusing on two aspects of this species' reproduction: (i) skipped spawning; (ii) potential location of reproduction sites along the Antarctic coasts.</t>
  </si>
  <si>
    <t>[Ghigliotti, Laura; Vacchi, Marino] Inst Marine Sci ISMAR CNR, Via Marini 6, I-16149 Genoa, Italy; [Herasymchuk, Volodymyr V.] Apt 157,Solomii Krushelnytskoi Str 3, UA-02140 Kiev, Ukraine; [Kock, Karl-Hermann] Kiefernweg 11, D-22949 Ammersbek, Germany</t>
  </si>
  <si>
    <t>Consiglio Nazionale delle Ricerche (CNR); Istituto di Scienze Marine (ISMAR-CNR)</t>
  </si>
  <si>
    <t>Ghigliotti, L (corresponding author), Inst Marine Sci ISMAR CNR, Via Marini 6, I-16149 Genoa, Italy.</t>
  </si>
  <si>
    <t>laura.ghigliotti@ge.ismar.cnr.it; volodymyryba@gmail.com; kallikock@web.de; marino.vacchi@ge.ismar.cnr.it</t>
  </si>
  <si>
    <t>Ghigliotti, Laura/J-3076-2012; Ghigliotti, Laura/AAN-6843-2021</t>
  </si>
  <si>
    <t>Ghigliotti, Laura/0000-0003-2139-1381</t>
  </si>
  <si>
    <t>10.1007/978-3-319-55893-6_9</t>
  </si>
  <si>
    <t>WOS:000439509000011</t>
  </si>
  <si>
    <t>Ashford, J; Zane, L; Torres, JJ; La Mesa, M; Simms, AR</t>
  </si>
  <si>
    <t>Ashford, Julian; Zane, Lorenzo; Torres, Joseph J.; La Mesa, Mario; Simms, Alexander R.</t>
  </si>
  <si>
    <t>Population Structure and Life History Connectivity of Antarctic Silverfish (Pleuragramma antarctica) in the Southern Ocean Ecosystem</t>
  </si>
  <si>
    <t>Population dynamics; Southern Ocean; Antarctic shelf; Antarctic fish</t>
  </si>
  <si>
    <t>LAST GLACIAL MAXIMUM; TERRA-NOVA BAY; KRILL EUPHAUSIA-SUPERBA; EASTERN ROSS SEA; TOOTHFISH DISSOSTICHUS-MAWSONI; PLEISTOCENE-HOLOCENE RETREAT; CROSS-SHELF EXCHANGE; ICE-SHEET RETREAT; WEDDELL SEA; SPATIAL-DISTRIBUTION</t>
  </si>
  <si>
    <t>Antarctic silverfish (Pleuragramma antarctica) are the most important pelagic forage fish on the Antarctic continental shelf. They have an exclusively pelagic life history, including cryopelagic eggs and early larvae. The discovery of extensive distributions of eggs and larvae under fast-ice inside Terra Nova Bay, and the revelation that the aggregates were stable between years, suggested dispersal over the continental shelf by older larvae and juveniles and a return as adults to spawning areas, consistent with observations from the Antarctic Peninsula of large-scale adult movement inshore. This life history hypothesis holds promise for understanding population structure in silverfish found around the Antarctic continental shelf. However, the hypothesis is challenged by inconsistencies concerning the distribution of spawning and feeding areas, a low-energy life strategy, and lack of phylogenetic diversification. We review recent and past population and genetic studies in the context of published literature on the physical environment, including hydrography and a recent geological reconstruction of Antarctic Ice Sheet deglaciation. We suggest physical-biological interactions between glacial trough systems, circulation, and life history processes in shaping distributions of silverfish along and across the shelf. We discuss how these processes may result in a richly diverse population structure around the Antarctic and over time, and show how the synthesis can help account for (1) variability in spawning and feeding areas over succeeding glacial cycles, (2) connectivity without invoking active migration on large spatial scales, and (3) persistence over successive glacial cycles without further phylogenetic diversification. Based on this synthesis, we make predictions concerning population structuring and genetic signatures of paleo-climatic events, and suggest multi-disciplinary approaches to test these in future research.</t>
  </si>
  <si>
    <t>[Ashford, Julian] Old Dominion Univ, Dept Ocean Earth &amp; Atmospher Sci, Norfolk, VA 23529 USA; [Zane, Lorenzo] Univ Padua, Dept Biol, Via G Colombo 3, I-35121 Padua, Italy; [Torres, Joseph J.] Univ S Florida, Coll Marine Sci, 140 Seventh Ave South, St Petersburg, FL 33701 USA; [La Mesa, Mario] Natl Res Council ISMAR CNR, Inst Marine Sci, I-60125 Ancona, Italy; [Simms, Alexander R.] Univ Calif Santa Barbara, Dept Earth Sci, 1006 Webb Hall, Santa Barbara, CA 93106 USA</t>
  </si>
  <si>
    <t>Old Dominion University; University of Padua; State University System of Florida; University of South Florida; Consiglio Nazionale delle Ricerche (CNR); Istituto di Scienze Marine (ISMAR-CNR); University of California System; University of California Santa Barbara</t>
  </si>
  <si>
    <t>Zane, L (corresponding author), Univ Padua, Dept Biol, Via G Colombo 3, I-35121 Padua, Italy.</t>
  </si>
  <si>
    <t>jashford@odu.edu; lorenzo.zane@unipd.it; jjtorres@usf.edu; m.lamesa@ismar.cnr.it; asimms@geol.ucsb.edu</t>
  </si>
  <si>
    <t>Simms, Alexander R/E-5609-2012; Zane, Lorenzo/G-6249-2010</t>
  </si>
  <si>
    <t>Zane, Lorenzo/0000-0002-6963-2132</t>
  </si>
  <si>
    <t>10.1007/978-3-319-55893-6_10</t>
  </si>
  <si>
    <t>WOS:000439509000012</t>
  </si>
  <si>
    <t>O'Driscoll, RL; Leonori, I; De Felice, A; Macaulay, GJ</t>
  </si>
  <si>
    <t>O'Driscoll, Richard L.; Leonori, Iole; De Felice, Andrea; Macaulay, Gavin J.</t>
  </si>
  <si>
    <t>Acoustic Methods of Monitoring Antarctic Silverfish Distribution and Abundance</t>
  </si>
  <si>
    <t>Acoustics; Target strength; Geographical distribution; Forage fish; Ross Sea; Antarctica</t>
  </si>
  <si>
    <t>ROSS SEA; PLEURAGRAMMA-ANTARCTICUM; TARGET STRENGTH; KRILL; FISHES; MODEL</t>
  </si>
  <si>
    <t>Acoustic methods have the ability to detect and quantify distribution and abundance of Antarctic silverfish (Pleuragramma antarctica) across a range of spatial and temporal scales. The main advantage of acoustic surveys over traditional net-based sampling methods for silverfish is that the larger adult fish are unlikely to avoid the echosounder. Acoustic surveys also allow relatively wide coverage over the whole water column in a short time period because data are collected while the vessel is steaming at 8-10 knots. The key uncertainties, as with most acoustic surveys, are target identification and target strength. These uncertainties are compounded because silverfish do not have a gas-filled swim-bladder and so are a relatively weak acoustic target. Use of multi-frequency acoustic data helps discriminate silverfish from krill and other associated species, and broadband acoustics has considerable potential in this regard. Acoustic target strength has been derived from scattering models and in situ and ex situ measurements. Adult silverfish exhibit different scattering properties to post-larvae and juveniles. In the Ross Sea, adult silverfish are distributed widely over the shelf and tend to form layers at 100-400 m depth. Juvenile silverfish of 50-80 mm standard length occur shallower and were observed as a weak layer centred at about 80 m depth.</t>
  </si>
  <si>
    <t>[O'Driscoll, Richard L.] Natl Inst Water &amp; Atmospher Res Ltd, Private Bag 14-901, Wellington, New Zealand; [Leonori, Iole; De Felice, Andrea] ISMAR Ist Sci Marine, CNR Consiglio Nazl Ric, Largo Fiera Pesca 1, I-60125 Ancona, Italy; [Macaulay, Gavin J.] Inst Marine Res, POB 1870, N-5817 Bergen, Norway</t>
  </si>
  <si>
    <t>National Institute of Water &amp; Atmospheric Research (NIWA) - New Zealand; Consiglio Nazionale delle Ricerche (CNR); Istituto di Scienze Marine (ISMAR-CNR); Institute of Marine Research - Norway</t>
  </si>
  <si>
    <t>Leonori, I (corresponding author), ISMAR Ist Sci Marine, CNR Consiglio Nazl Ric, Largo Fiera Pesca 1, I-60125 Ancona, Italy.</t>
  </si>
  <si>
    <t>richard.odriscoll@niwa.co.nz; i.leonori@ismar.cnr.it; a.defelice@ismar.cnr.it; gavin.macaulay@imr.no</t>
  </si>
  <si>
    <t>De Felice, Andrea/L-9465-2014; Leonori, Iole/AAD-7901-2020</t>
  </si>
  <si>
    <t>Leonori, Iole/0000-0001-7673-1684</t>
  </si>
  <si>
    <t>10.1007/978-3-319-55893-6_11</t>
  </si>
  <si>
    <t>WOS:000439509000013</t>
  </si>
  <si>
    <t>Koubbi, P; Grant, S; Ramm, D; Vacchi, M; Ghigliotti, L; Pisano, E</t>
  </si>
  <si>
    <t>Koubbi, Philippe; Grant, Susie; Ramm, David; Vacchi, Marino; Ghigliotti, Laura; Pisano, Eva</t>
  </si>
  <si>
    <t>Conservation and Management of Antarctic Silverfish Pleuragramma antarctica Populations and Habitats</t>
  </si>
  <si>
    <t>Conservation; CCAMLR; Antarctic Treaty System; Midtrophic fish; Antarctic fish</t>
  </si>
  <si>
    <t>DUMONT DURVILLE SEA; EARLY-LIFE STAGES; TERRA-NOVA BAY; SPATIAL-DISTRIBUTION; FEEDING ECOLOGY; CLIMATE-CHANGE; SOUTHERN; ICE; ASSEMBLAGES; BEHAVIOR</t>
  </si>
  <si>
    <t>One of the main conservation objectives for marine systems is to identify areas of ecological importance for biodiversity and essential species habitats which can be used as scientific reference areas for monitoring global change in the absence of major human impacts. The Antarctic silverfish, Pleuragramma antarctica is a keystone pelagic species, that has been assessed on the IUCN Red list of threatened species as a species with Least Concern. However, this species is unique as it is placed at one extreme of the notothenioid evolutionary/ecological axis that ranges from benthic to secondary pelagic life style. Its different life stages occur in unique environments such as the platelet ice for eggs, some of the inner shelf canyons for young larvae and at the shelf break with Antarctic krill swarms for juveniles and adults. The winter habitats are not known. In addition to the effects of climate change, a threat to this species is its bycatch in krill fisheries; however it has not been directly harvested since the 1980s. As a midtrophic species, P. antarctica is sensitive to environmental changes and should be monitored in protected scientific reference areas to obtain information on global change. For a midtrophic fish in a supposed wasp-waist ecosystem, strict regulation of bycatch and monitoring should be carried out in parallel with the monitoring of Antarctic krill and ice krill. The designation of protected areas is an important mechanism for preserving the essential habitats of P. antarctica in the Southern Ocean.</t>
  </si>
  <si>
    <t>[Koubbi, Philippe] UPMC Univ Paris 06, Sorbonne Univ, Biol Organismes &amp; Ecosyst Aquat BOREA, UNICAEN,UA,CNRS,IRD,MNHN,UMR 7208, 43 Rue Cuvier, F-75005 Paris, France; [Grant, Susie] British Antarctic Survey, Nat Environm Res Council, Madingley Rd, Cambridge CB3 0ET, England; [Ramm, David] CCAMLR Secretariat, 181 Macquarie St, Hobart, Tas 7000, Australia; [Vacchi, Marino; Ghigliotti, Laura; Pisano, Eva] Inst Marine Sci ISMAR CNR, Via Marini 6, I-16149 Genoa, Italy; [Pisano, Eva] Univ Genoa, Dept Earth Environm &amp; Life Sci DISTAV, Viale Benedetto 15 5, I-16132 Genoa, Italy</t>
  </si>
  <si>
    <t>Centre National de la Recherche Scientifique (CNRS); Institut de Recherche pour le Developpement (IRD); Museum National d'Histoire Naturelle (MNHN); Sorbonne Universite; CNRS - Institute of Ecology &amp; Environment (INEE); Universite de Caen Normandie; UK Research &amp; Innovation (UKRI); Natural Environment Research Council (NERC); NERC British Antarctic Survey; Consiglio Nazionale delle Ricerche (CNR); Istituto di Scienze Marine (ISMAR-CNR); University of Genoa</t>
  </si>
  <si>
    <t>Koubbi, P (corresponding author), UPMC Univ Paris 06, Sorbonne Univ, Biol Organismes &amp; Ecosyst Aquat BOREA, UNICAEN,UA,CNRS,IRD,MNHN,UMR 7208, 43 Rue Cuvier, F-75005 Paris, France.</t>
  </si>
  <si>
    <t>philippe.koubbi@upmc.fr; suan@bas.ac.uk; david.ramm@ccamlr.org; marino.vacchi@ge.ismar.cnr.it; laura.ghigliotti@ge.ismar.cnr.it; pisano@unige.it</t>
  </si>
  <si>
    <t>Ghigliotti, Laura/AAN-6843-2021; Ghigliotti, Laura/J-3076-2012; Koubbi, Philippe/D-5873-2015</t>
  </si>
  <si>
    <t>Ghigliotti, Laura/0000-0003-2139-1381;</t>
  </si>
  <si>
    <t>NERC [bas0100035] Funding Source: UKRI</t>
  </si>
  <si>
    <t>NERC(UK Research &amp; Innovation (UKRI)Natural Environment Research Council (NERC))</t>
  </si>
  <si>
    <t>10.1007/978-3-319-55893-6_13</t>
  </si>
  <si>
    <t>WOS:000439509000015</t>
  </si>
  <si>
    <t>Aldazabal, V</t>
  </si>
  <si>
    <t>Aldazabal, Veronica</t>
  </si>
  <si>
    <t>LEATHER IN EVERY DAY LIFE. RECORDS FROM ORCADAS BASE- 1904</t>
  </si>
  <si>
    <t>REVISTA DE ARQUEOLOGIA HISTORICA ARGENTINA Y LATINOAMERICANA</t>
  </si>
  <si>
    <t>Spanish</t>
  </si>
  <si>
    <t>Antarctica; leathers; daily life</t>
  </si>
  <si>
    <t>In this paper we present the analysis of leather fragments recovered in the excavation of Omond house, a stone shelter built in Orcadas del Sur in 1904, Argentinean Antarctic sector. The objective is to identify them and to increase our knowledge about the process of procurement and use of them by the expeditions that wintered in 1903-1904 carried out by Scottish expeditions and Argentine scientists. Excavations carried out at the Omond house at the Orcadas base (Laurie Island) allowed to recover different types of remains that show the various activities carried out in the area. These testimonies also account about human adaptation to extreme environments. Different kinds of information were available. So complementary ways of approaching it were considered. First, the analysis of raw materials from a sample of leather fragments recovered. On the other hand, photographic and written documents of the participants of these expeditions that allow us to interpret them and to infer aspects of the daily life of the first working groups in the continent. In this particular case we will discuss the characterization and the way in which the leather resource was used.</t>
  </si>
  <si>
    <t>[Aldazabal, Veronica] Consejo Nacl Invest Cient &amp; Tecn, IMHICIHU, Saavedra 15,C1083ACA, Buenos Aires, DF, Argentina</t>
  </si>
  <si>
    <t>Consejo Nacional de Investigaciones Cientificas y Tecnicas (CONICET)</t>
  </si>
  <si>
    <t>Aldazabal, V (corresponding author), Consejo Nacl Invest Cient &amp; Tecn, IMHICIHU, Saavedra 15,C1083ACA, Buenos Aires, DF, Argentina.</t>
  </si>
  <si>
    <t>varalda2@gmail.com</t>
  </si>
  <si>
    <t>SOC ARGENTINA ANTROPOLOGIA</t>
  </si>
  <si>
    <t>BUENOS AIRES</t>
  </si>
  <si>
    <t>MORENO 350, BUENOS AIRES, 00000, ARGENTINA</t>
  </si>
  <si>
    <t>1851-3190</t>
  </si>
  <si>
    <t>2344-9918</t>
  </si>
  <si>
    <t>REV ARQUEOL HIST ARG</t>
  </si>
  <si>
    <t>Rev. Arqueol. Hist. Argent. Latinoam.</t>
  </si>
  <si>
    <t>JAN-JUN</t>
  </si>
  <si>
    <t>Archaeology</t>
  </si>
  <si>
    <t>GL8TW</t>
  </si>
  <si>
    <t>WOS:000437500200003</t>
  </si>
  <si>
    <t>Clarke, A</t>
  </si>
  <si>
    <t>Clarke, Andrew</t>
  </si>
  <si>
    <t>Energy and heat</t>
  </si>
  <si>
    <t>PRINCIPLES OF THERMAL ECOLOGY: TEMPERATURE, ENERGY AND LIFE</t>
  </si>
  <si>
    <t>[Clarke, Andrew] British Antarctic Survey, Cambridge, England; [Clarke, Andrew] Univ East Anglia, Sch Environm Sci, Norwich, Norfolk, England</t>
  </si>
  <si>
    <t>UK Research &amp; Innovation (UKRI); Natural Environment Research Council (NERC); NERC British Antarctic Survey; University of East Anglia</t>
  </si>
  <si>
    <t>Clarke, A (corresponding author), British Antarctic Survey, Cambridge, England.;Clarke, A (corresponding author), Univ East Anglia, Sch Environm Sci, Norwich, Norfolk, England.</t>
  </si>
  <si>
    <t>198 MADISON AVENUE, NEW YORK, NY 10016 USA</t>
  </si>
  <si>
    <t>978-0-19-955167-5; 978-0-19-955166-8</t>
  </si>
  <si>
    <t>10.1093/oso/9780199551668.001.0001</t>
  </si>
  <si>
    <t>Ecology; Physiology</t>
  </si>
  <si>
    <t>Environmental Sciences &amp; Ecology; Physiology</t>
  </si>
  <si>
    <t>BK3FT</t>
  </si>
  <si>
    <t>WOS:000434941300003</t>
  </si>
  <si>
    <t>Temperature and its measurement</t>
  </si>
  <si>
    <t>WOS:000434941300004</t>
  </si>
  <si>
    <t>Energy flow in organisms</t>
  </si>
  <si>
    <t>WOS:000434941300005</t>
  </si>
  <si>
    <t>Water</t>
  </si>
  <si>
    <t>WOS:000434941300006</t>
  </si>
  <si>
    <t>Freezing</t>
  </si>
  <si>
    <t>WOS:000434941300007</t>
  </si>
  <si>
    <t>Temperature and reaction rate</t>
  </si>
  <si>
    <t>WOS:000434941300008</t>
  </si>
  <si>
    <t>Metabolism</t>
  </si>
  <si>
    <t>WOS:000434941300009</t>
  </si>
  <si>
    <t>Temperature regulation</t>
  </si>
  <si>
    <t>WOS:000434941300010</t>
  </si>
  <si>
    <t>Endothermy</t>
  </si>
  <si>
    <t>WOS:000434941300011</t>
  </si>
  <si>
    <t>Torpor and hibernation</t>
  </si>
  <si>
    <t>WOS:000434941300012</t>
  </si>
  <si>
    <t>The Metabolic Theory of Ecology</t>
  </si>
  <si>
    <t>WOS:000434941300013</t>
  </si>
  <si>
    <t>Temperature, growth and size</t>
  </si>
  <si>
    <t>WOS:000434941300014</t>
  </si>
  <si>
    <t>Global temperature and life</t>
  </si>
  <si>
    <t>WOS:000434941300015</t>
  </si>
  <si>
    <t>Temperature and diversity</t>
  </si>
  <si>
    <t>WOS:000434941300016</t>
  </si>
  <si>
    <t>Global climate change and its ecological consequences</t>
  </si>
  <si>
    <t>WOS:000434941300017</t>
  </si>
  <si>
    <t>Ten principles of thermal ecology</t>
  </si>
  <si>
    <t>WOS:000434941300018</t>
  </si>
  <si>
    <t>Hanson, JC</t>
  </si>
  <si>
    <t>Kostelecky, VA</t>
  </si>
  <si>
    <t>Hanson, J. C.</t>
  </si>
  <si>
    <t>Ultra-High Energy Astrophysical Neutrino Detection and the Search for Lorentz-Invariance Violations</t>
  </si>
  <si>
    <t>PROCEEDINGS OF THE SEVENTH MEETING ON CPT AND LORENTZ SYMMETRY</t>
  </si>
  <si>
    <t>7th Meeting on CPT and Lorentz Symmetry (CPT)</t>
  </si>
  <si>
    <t>JUN 20-24, 2016</t>
  </si>
  <si>
    <t>Indiana Univ, Phys Dept, Bloomington, IN</t>
  </si>
  <si>
    <t>Indiana Univ, Phys Dept</t>
  </si>
  <si>
    <t>A growing class of ultra-high energy neutrino observatories based on the Askaryan effect and Antarctic ice is able to search for Lorentz-invariance violation. The ARA, ARIANNA, ANITA, and EVA collaborations have the power to constrain the Standard-Model Extension by measuring the flux and energy distribution of neutrinos created through the GZK process. The future expansion of ARA, at the South Pole, pushes the discovery potential further.</t>
  </si>
  <si>
    <t>[Hanson, J. C.] Ohio State Univ, Ctr Cosmol &amp; AstroParticle Phys, Columbus, OH 43219 USA</t>
  </si>
  <si>
    <t>University System of Ohio; Ohio State University</t>
  </si>
  <si>
    <t>Hanson, JC (corresponding author), Ohio State Univ, Ctr Cosmol &amp; AstroParticle Phys, Columbus, OH 43219 USA.</t>
  </si>
  <si>
    <t>WORLD SCIENTIFIC PUBL CO PTE LTD</t>
  </si>
  <si>
    <t>SINGAPORE</t>
  </si>
  <si>
    <t>PO BOX 128 FARRER RD, SINGAPORE 9128, SINGAPORE</t>
  </si>
  <si>
    <t>978-981-3148-50-5; 978-981-3148-49-9</t>
  </si>
  <si>
    <t>Physics, Mathematical</t>
  </si>
  <si>
    <t>Physics</t>
  </si>
  <si>
    <t>BK2ZF</t>
  </si>
  <si>
    <t>WOS:000434340800047</t>
  </si>
  <si>
    <t>Sinna, OI; Popov, VS; Utevskiy, AY</t>
  </si>
  <si>
    <t>Sinna, O. I.; Popov, V. S.; Utevskiy, A. Yu.</t>
  </si>
  <si>
    <t>Morphometric analysis of the bottom relief of water areas using GIS (on the example of the area in the Ukrainian Antarctic station Academic Vernadsky)</t>
  </si>
  <si>
    <t>VISNYK OF V N KARAZIN KHARKIV NATIONAL UNIVERSITY-SERIES GEOLOGY GEOGRAPHY ECOLOGY</t>
  </si>
  <si>
    <t>Ukrainian</t>
  </si>
  <si>
    <t>[Sinna, O. I.; Utevskiy, A. Yu.] VN Karazin Kharkhiv Natl Univ, Biol Sci, Kharkov, Ukraine; [Sinna, O. I.; Popov, V. S.; Utevskiy, A. Yu.] VN Karazin Kharkhiv Natl Univ, Kharkov, Ukraine</t>
  </si>
  <si>
    <t>Ministry of Education &amp; Science of Ukraine; VN Karazin Kharkiv National University; Ministry of Education &amp; Science of Ukraine; VN Karazin Kharkiv National University</t>
  </si>
  <si>
    <t>Sinna, OI (corresponding author), VN Karazin Kharkhiv Natl Univ, Biol Sci, Kharkov, Ukraine.;Sinna, OI (corresponding author), VN Karazin Kharkhiv Natl Univ, Kharkov, Ukraine.</t>
  </si>
  <si>
    <t>Popov, Vladyslav Sergiyovych/AAX-5889-2020</t>
  </si>
  <si>
    <t>Popov, Vladyslav Sergiyovych/0000-0002-5960-631X; Sinna, Olena/0000-0002-7693-7348</t>
  </si>
  <si>
    <t>V N KARAZIN KHARKIV NATL UNIV</t>
  </si>
  <si>
    <t>KHAROV</t>
  </si>
  <si>
    <t>4, SVOBODY SQ, KHAROV, 61077, UKRAINE</t>
  </si>
  <si>
    <t>2410-7360</t>
  </si>
  <si>
    <t>2411-3913</t>
  </si>
  <si>
    <t>VISN V N KKNU-GEOL G</t>
  </si>
  <si>
    <t>Visn. V N Karazin Kharkiv Natl. Univ.-Ser. Geol Geogr. Ecol.</t>
  </si>
  <si>
    <t>GI6AV</t>
  </si>
  <si>
    <t>WOS:000434452700020</t>
  </si>
  <si>
    <t>Campbell, S; Thorlakson, J; Braund-Allen, JE</t>
  </si>
  <si>
    <t>Kuden, JL; BraundAllen, JE; Carle, DO</t>
  </si>
  <si>
    <t>Campbell, Sandy; Thorlakson, Jessica; Braund-Allen, Julianna E.</t>
  </si>
  <si>
    <t>Polar (Arctic and Antarctic) Sciences Information Literacy</t>
  </si>
  <si>
    <t>AGRICULTURE TO ZOOLOGY: INFORMATION LITERACY IN THE LIFE SCIENCES</t>
  </si>
  <si>
    <t>Chandos Information Professional Series</t>
  </si>
  <si>
    <t>[Campbell, Sandy] Univ Alberta, John W Scott Hlth Sci Lib, Walter C Mackenzie Hlth Sci Ctr 2K3 26, Edmonton, AB T6G 2R7, Canada; [Thorlakson, Jessica] Univ Alberta, Cameron Lib, 1-55 116 St &amp; 85 Ave, Edmonton, AB T6G 2R3, Canada; [Braund-Allen, Julianna E.] Univ Alaska Anchorage, UAA APU Consortium Lib, 3211 Providence Dr, Anchorage, AK 99508 USA; [Braund-Allen, Julianna E.] Univ Alaska Anchorage, ARLIS, 3211 Providence Dr, Anchorage, AK 99508 USA</t>
  </si>
  <si>
    <t>University of Alberta; University of Alberta; University of Alaska System; University of Alaska Anchorage; University of Alaska System; University of Alaska Anchorage</t>
  </si>
  <si>
    <t>Campbell, S (corresponding author), Univ Alberta, John W Scott Hlth Sci Lib, Walter C Mackenzie Hlth Sci Ctr 2K3 26, Edmonton, AB T6G 2R7, Canada.</t>
  </si>
  <si>
    <t>sandy.campbell@ualberta.ca; jthorlak@ualberta.ca; jebraundallen@alaska.edu</t>
  </si>
  <si>
    <t>Thorlakson, Jessica/J-3332-2014; Campbell, Sandy/C-3152-2013</t>
  </si>
  <si>
    <t>Thorlakson, Jessica/0000-0002-2416-5024; Campbell, Sandy/0000-0002-9347-3880</t>
  </si>
  <si>
    <t>BLOOMSBURY PUBL INC</t>
  </si>
  <si>
    <t>50 BEDFORD SQ, LONDON, WC1B 3DP, ENGLAND</t>
  </si>
  <si>
    <t>978-0-08-100672-6; 978-0-08-100664-1</t>
  </si>
  <si>
    <t>CHANDOS INF PROF SER</t>
  </si>
  <si>
    <t>10.1016/B978-0-08-100664-1.00006-5</t>
  </si>
  <si>
    <t>Education &amp; Educational Research; Education, Scientific Disciplines; Information Science &amp; Library Science; Multidisciplinary Sciences</t>
  </si>
  <si>
    <t>Education &amp; Educational Research; Information Science &amp; Library Science; Science &amp; Technology - Other Topics</t>
  </si>
  <si>
    <t>BK2KS</t>
  </si>
  <si>
    <t>WOS:000433057200007</t>
  </si>
  <si>
    <t>Goto, D; Morimoto, S; Aoki, S; Sugawara, S; Ishidoya, S; Inai, Y; Toyoda, S; Honda, H; Hashida, G; Yamanouchi, T; Nakazawa, T</t>
  </si>
  <si>
    <t>Goto, Daisuke; Morimoto, Shinji; Aoki, Shuji; Sugawara, Satoshi; Ishidoya, Shigeyuki; Inai, Yoichi; Toyoda, Sakae; Honda, Hideyuki; Hashida, Gen; Yamanouchi, Takashi; Nakazawa, Takakiyo</t>
  </si>
  <si>
    <t>Vertical Profiles and Temporal Variations of Greenhouse Gases in the Stratosphere over Syowa Station, Antarctica</t>
  </si>
  <si>
    <t>CARBON-DIOXIDE; TRACE GASES; AIR; AGE; CO2; METHANE; SF6; CIRCULATION; SAMPLER; JAPAN</t>
  </si>
  <si>
    <t>Stratospheric air sampling using balloon-borne cryogenic air samplers was conducted over Syowa Station, Antarctica in four austral summers between 1998 and 2013. The CH4 and N2O mole fractions decreased with increasing altitude due to chemical reactions and photodissociation in the stratosphere, and a compact positive correlation between CH4 and N2O was found in their vertical profiles. The vertical profiles of CO2 and SF6 mole fractions showed high values in the lower stratosphere, decreasing gradually with altitude, and then becoming almost constant at altitudes above 18 km. Stratospheric CO2 and SF6 above 18km over Antarctica increased secularly at the respective average rates of 1.82 +/- 0.31 ppm yr(-1) and 0.26 +/- 0.01 ppt yr(-1) during the study period. The CO2 and SF6 mole fractions increased in the Antarctic stratosphere, but were delayed 4.5 +/- 0.5 and 5.6 +/- 0.2 years, respectively, compared to the tropical troposphere. The secular increase in stratospheric CH4 was also detected by classifying the measured mole fractions in terms of the N2O depletion in the stratosphere.</t>
  </si>
  <si>
    <t>[Goto, Daisuke; Hashida, Gen; Yamanouchi, Takashi] Natl Inst Polar Res, 10-3 Midori Cho, Tachikawa, Tokyo 1908518, Japan; [Goto, Daisuke] Grad Univ Adv Studies SOKENDAI, Dept Polar Sci, Tachikawa, Tokyo, Japan; [Morimoto, Shinji; Aoki, Shuji; Inai, Yoichi; Nakazawa, Takakiyo] Tohoku Univ, Ctr Atmospher &amp; Ocean Studies, Sendai, Miyagi, Japan; [Sugawara, Satoshi] Miyagi Univ Educ, Sendai, Miyagi, Japan; [Ishidoya, Shigeyuki] Natl Inst Adv Ind Sci &amp; Technol, Tsukuba, Ibaraki, Japan; [Toyoda, Sakae] Tokyo Inst Technol, Sch Mat &amp; Chem Technol, Dept Chem Sci &amp; Engn, Yokohama, Kanagawa, Japan; [Honda, Hideyuki] Japan Aerosp Explorat Agcy JAXA, ISAS, Sagamihara, Kanagawa, Japan</t>
  </si>
  <si>
    <t>Research Organization of Information &amp; Systems (ROIS); National Institute of Polar Research (NIPR) - Japan; Graduate University for Advanced Studies - Japan; Tohoku University; Miyagi University Education; National Institute of Advanced Industrial Science &amp; Technology (AIST); Tokyo Institute of Technology; Japan Aerospace Exploration Agency (JAXA); Institute of Space &amp; Astronautical Science (ISAS)</t>
  </si>
  <si>
    <t>Goto, D (corresponding author), Natl Inst Polar Res, 10-3 Midori Cho, Tachikawa, Tokyo 1908518, Japan.</t>
  </si>
  <si>
    <t>goto.daisuke@nipr.ac.jp</t>
  </si>
  <si>
    <t>Toyoda, Sakae/J-7151-2013; Inai, Yoichi/V-8396-2019; Morimoto, Shinji/GQR-1817-2022; Ishidoya, Shigeyuki/L-4307-2018</t>
  </si>
  <si>
    <t>Toyoda, Sakae/0000-0003-1624-5910; Inai, Yoichi/0000-0003-1333-8206; Ishidoya, Shigeyuki/0000-0001-7448-2899</t>
  </si>
  <si>
    <t>National Institute of Polar Research (NIPR) under the Ministry of Education, Culture, Sports, Science and Technology (MEXT), Japan; NIPR [24-14, KP-3]; JSPS KAKENHI [21310014]; Grants-in-Aid for Scientific Research [15K05282, 21310014] Funding Source: KAKEN</t>
  </si>
  <si>
    <t>National Institute of Polar Research (NIPR) under the Ministry of Education, Culture, Sports, Science and Technology (MEXT), Japan; NIPR(National Institute of Polar Research (NIPR) - Japan);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</si>
  <si>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the members of the 38-39th, 44-45th, 48-49th, and 53-54th Japanese Antarctic Research Expedition (JARE), who were integral in conducting the balloon-borne air sampling experiments at Syowa. The balloon experiments were supported by the National Institute of Polar Research (NIPR) under the Ministry of Education, Culture, Sports, Science and Technology (MEXT), Japan. We also thank Drs. Gabriele P. Stiller and Florian J. Haenel (Karlsruhe Institute of Technology, Germany) for providing the zonally averaged SF6 data of MIPAS/ENVISAT and their valuable comments on the SF6 age in Antarctica. This study was partly supported by the General Collaboration Projects No. 24-14 and Project Research KP-3 from NIPR and by the JSPS KAKENHI Grant No. 21310014.</t>
  </si>
  <si>
    <t>10.2151/sola.2017-041</t>
  </si>
  <si>
    <t>GG4IJ</t>
  </si>
  <si>
    <t>WOS:000432659700015</t>
  </si>
  <si>
    <t>Li, WH; Zhang, SK; Lei, JT; Zhang, QC; Zhu, CH</t>
  </si>
  <si>
    <t>Sun, J; Liu, J; Yang, Y; Fan, S; Yu, W</t>
  </si>
  <si>
    <t>Li, Wenhao; Zhang, Shengkai; Lei, Jintao; Zhang, Qingchuan; Zhu, Chaohui</t>
  </si>
  <si>
    <t>Preliminary Study on Changes in Temperature and Its Implication on Vertical Displacements of Antarctic GPS Stations</t>
  </si>
  <si>
    <t>CHINA SATELLITE NAVIGATION CONFERENCE (CSNC) 2017 PROCEEDINGS, VOL III</t>
  </si>
  <si>
    <t>Lecture Notes in Electrical Engineering</t>
  </si>
  <si>
    <t>8th China Satellite Navigation Conference (CSNC)</t>
  </si>
  <si>
    <t>MAY 23-25, 2017</t>
  </si>
  <si>
    <t>Shanghai, PEOPLES R CHINA</t>
  </si>
  <si>
    <t>Thermal expansion; Antarctic; Vertical displacement; GPS; Time series</t>
  </si>
  <si>
    <t>POSITION TIME-SERIES</t>
  </si>
  <si>
    <t>GPS is a highly precise tool in horizontal and vertical crustal motion studies. GPS coordinate time series are influenced by orbit error, clock error, and the effects of geophysical signals. Temperature variation is one of the reasons that cause GPS coordinate vertical displacements. Thermal expansion of GPS monument and nearby bedrock could result in vertical displacements in the coordinate time series. The effect of thermal expansion is especially prominent in Antarctica, where the difference of temperature is large. By analyzing 9 GPS stations in Antarctica, we show the effect of thermal expansion of GPS monument and nearby bedrock in vertical direction. The maximum amplitude can reach to 0.24 mm (CAS1) and the mean amplitude is 0.21 mm; the vertical displacements caused by thermal expansion show clear patterns of annul and semi-annul periods, and the amplitudes of the annual period are much larger than that of the semi-annual period.</t>
  </si>
  <si>
    <t>[Li, Wenhao; Zhang, Shengkai; Lei, Jintao; Zhang, Qingchuan; Zhu, Chaohui] Chinese Antarctic Ctr Surveying &amp; Mapping, Wuhan 430079, Hubei, Peoples R China</t>
  </si>
  <si>
    <t>Zhang, SK (corresponding author), Chinese Antarctic Ctr Surveying &amp; Mapping, Wuhan 430079, Hubei, Peoples R China.</t>
  </si>
  <si>
    <t>lwhmly@whu.edu.cn; zskai@whu.edu.cn</t>
  </si>
  <si>
    <t>LEI, Jintao/HHZ-6471-2022</t>
  </si>
  <si>
    <t>State Key Program of National Science of China [41531069]; State Program of National Science of China [41176173]; Chinese Polar Environment Comprehensive Investigation and Assessment Programs (CHINARE)</t>
  </si>
  <si>
    <t>State Key Program of National Science of China(National Natural Science Foundation of China (NSFC)); State Program of National Science of China; Chinese Polar Environment Comprehensive Investigation and Assessment Programs (CHINARE)</t>
  </si>
  <si>
    <t>This work is supported by the State Key Program of National Science of China (41531069), the State Program of National Science of China (41176173), and Chinese Polar Environment Comprehensive Investigation and Assessment Programs (CHINARE2017).</t>
  </si>
  <si>
    <t>233 SPRING STREET, NEW YORK, NY 10013, UNITED STATES</t>
  </si>
  <si>
    <t>1876-1100</t>
  </si>
  <si>
    <t>1876-1119</t>
  </si>
  <si>
    <t>978-981-10-4594-3; 978-981-10-4593-6</t>
  </si>
  <si>
    <t>LECT NOTES ELECTR EN</t>
  </si>
  <si>
    <t>10.1007/978-981-10-4594-3_36</t>
  </si>
  <si>
    <t>Engineering, Aerospace; Remote Sensing</t>
  </si>
  <si>
    <t>Engineering; Remote Sensing</t>
  </si>
  <si>
    <t>BK1SH</t>
  </si>
  <si>
    <t>WOS:000432207800036</t>
  </si>
  <si>
    <t>Suzuki, AC</t>
  </si>
  <si>
    <t>Motokawa, M; Kajihara, H</t>
  </si>
  <si>
    <t>Suzuki, Atsushi C.</t>
  </si>
  <si>
    <t>Tardigrade Research in Japan</t>
  </si>
  <si>
    <t>SPECIES DIVERSITY OF ANIMALS IN JAPAN</t>
  </si>
  <si>
    <t>Diversity and Commonality in Animals</t>
  </si>
  <si>
    <t>Tardigrada; Taxonomy; Checklist; Review; Biogeography; Meiofauna; Terrestrial invertebrates; Freshwater; Marine meiobenthos</t>
  </si>
  <si>
    <t>ANTARCTIC TARDIGRADE; URBAN TARDIGRADES; ARTHROTARDIGRADA HALECHINISCIDAE; RAMAZZOTTIUS-VARIEORNATUS; MARINE TARDIGRADE; LIFE-HISTORY; HETEROTARDIGRADA; MACROBIOTIDAE; EUTARDIGRADA; HOKKAIDO</t>
  </si>
  <si>
    <t>Tardigrades (water bears) are microscopic animals walking slowly with four pairs of legs, comprising the phylum Tardigrada, which is closely related to other ecdysozoans such as Arthropoda and Onychophora. They dwell in diverse habitats such as terrestrial soil, mosses, lichens, and sediments in freshwater and marine environments. Limno-terrestrial tardigrades show characteristic biological properties including anhydrobiosis, in which the animals can tolerate extreme conditions. Freshwater and marine species have been less studied than terrestrial species. However, biodiversity research on Japanese marine tardigrades became active after 2013. In this chapter, studies on tardigrades in Japan are briefly reviewed. A total of 166 species known from Japan are listed.</t>
  </si>
  <si>
    <t>[Suzuki, Atsushi C.] Keio Univ, Dept Biol, 4-1-1 Hiyoshi, Yokohama, Kanagawa 2238521, Japan</t>
  </si>
  <si>
    <t>Keio University</t>
  </si>
  <si>
    <t>Suzuki, AC (corresponding author), Keio Univ, Dept Biol, 4-1-1 Hiyoshi, Yokohama, Kanagawa 2238521, Japan.</t>
  </si>
  <si>
    <t>chu@keio.jp</t>
  </si>
  <si>
    <t>Suzuki, Atsushi C/AAO-9231-2020; Suzuki, Atsushi/E-9704-2014</t>
  </si>
  <si>
    <t>Suzuki, Atsushi/0000-0002-3027-7110</t>
  </si>
  <si>
    <t>SPRINGER JAPAN KK</t>
  </si>
  <si>
    <t>CHIYODA FIRST BLDG E, 3-8-1 NISHI-KANDA CHIYODA-KU, TOKYO, 101-0065, JAPAN</t>
  </si>
  <si>
    <t>2509-5536</t>
  </si>
  <si>
    <t>2509-5544</t>
  </si>
  <si>
    <t>978-4-431-56432-4; 978-4-431-56430-0</t>
  </si>
  <si>
    <t>DIVERS COMMON ANIM</t>
  </si>
  <si>
    <t>10.1007/978-4-431-56432-4_10</t>
  </si>
  <si>
    <t>10.1007/978-4-431-56432-4</t>
  </si>
  <si>
    <t>Biodiversity Conservation; Zoology</t>
  </si>
  <si>
    <t>Biodiversity &amp; Conservation; Zoology</t>
  </si>
  <si>
    <t>BK0AN</t>
  </si>
  <si>
    <t>WOS:000430132000011</t>
  </si>
  <si>
    <t>Glikson, AY</t>
  </si>
  <si>
    <t>Glikson, Andrew Yoram</t>
  </si>
  <si>
    <t>A Republic of Insects and Grasses</t>
  </si>
  <si>
    <t>PLUTOCENE: BLUEPRINTS FOR A POST-ANTHROPOCENE GREENHOUSE EARTH</t>
  </si>
  <si>
    <t>Modern Approaches in Solid Earth Sciences</t>
  </si>
  <si>
    <t>While insights into the nature of the world in the wake of warming by several degrees Celsius and a nuclear war cannot be reached in detail, a number of projections arise from paleoclimate science and from current observations and trends. The increased concentrations of CO2 above 405 ppm and CO(2)e (equivalent CO2 including methane) are tracking toward the stability threshold level of the Greenland and West Antarctic ice sheets and sea levels many meters higher than at present. Given sea levels in the range of 25 +/- 12 m during the Pliocene pre-2.6 million years ago, the world's delta, low river valleys and coastal zones, the focus of much of human agriculture and civilization, will be flooded by sea water. As the Earth warms, the balance between increasing aridity in heated desert regions and enhanced hydrological cycle and precipitation in other regions would result in sharp climate gradients and intense storms. With a plutonium-239 half-life of approximately 20,000 years, the effects of radioactivity would decline. At this stage, large habitats vacated at the onset of the Plutocene due to climate tipping points and high radioactivity would be re-occupied by tropical flora and fauna, notably the Arthropods. Accelerated speciation is observed during rebounds from mass extinctions and pulses of speciation appear sometimes to be associated with climate change.</t>
  </si>
  <si>
    <t>[Glikson, Andrew Yoram] Australian Natl Univ, Sch Archaeol &amp; Anthropol, Canberra, ACT, Australia</t>
  </si>
  <si>
    <t>Australian National University</t>
  </si>
  <si>
    <t>Glikson, AY (corresponding author), Australian Natl Univ, Sch Archaeol &amp; Anthropol, Canberra, ACT, Australia.</t>
  </si>
  <si>
    <t>PO BOX 17, 3300 AA DORDRECHT, NETHERLANDS</t>
  </si>
  <si>
    <t>1876-1682</t>
  </si>
  <si>
    <t>978-3-319-57237-6; 978-3-319-57236-9</t>
  </si>
  <si>
    <t>MOD APPR SOL EARTH S</t>
  </si>
  <si>
    <t>10.1007/978-3-319-57237-6_4</t>
  </si>
  <si>
    <t>10.1007/978-3-319-57237-6</t>
  </si>
  <si>
    <t>Ecology; Environmental Sciences; Meteorology &amp; Atmospheric Sciences</t>
  </si>
  <si>
    <t>BK0CU</t>
  </si>
  <si>
    <t>WOS:000430272000006</t>
  </si>
  <si>
    <t>Zabolotskikh, EV; Zhivotovskaya, MA; Zakhvatkina, NY; Chapron, B</t>
  </si>
  <si>
    <t>Zabolotskikh, E. V.; Zhivotovskaya, M. A.; Zakhvatkina, N. Yu.; Chapron, B.</t>
  </si>
  <si>
    <t>Analysis of AMSR2 89 GHz Measurements over the Arctic Sea Ice in January 2015</t>
  </si>
  <si>
    <t>2017 PROGRESS IN ELECTROMAGNETICS RESEARCH SYMPOSIUM - FALL (PIERS - FALL)</t>
  </si>
  <si>
    <t>Progress in Electromagnetics Research Symposium</t>
  </si>
  <si>
    <t>Progress in Electromagnetics Research Symposium - Fall (PIERS - FALL)</t>
  </si>
  <si>
    <t>NOV 19-22, 2017</t>
  </si>
  <si>
    <t>Singapore, SINGAPORE</t>
  </si>
  <si>
    <t>PASSIVE MICROWAVE; MODEL</t>
  </si>
  <si>
    <t>Variability of the sea ice vertically and horizontally polarized microwave radiation at 89 GHz in January 2015 is studied on the basis of the Advanced Microwave Scanning Radiometer 2 (AMSR2) measurements from GCOM-W1 satellite. Physical modeling of the microwave radiation transfer in the sea-ice-atmosphere system under non-scattering conditions is used to get the functional dependency of the sea ice microwave radiation at 89 GHz on AMSR2 measured brightness and profiles of the atmospheric meteorological parameters. This derived functional dependence is further used to calculate and analyze the brightness temperatures (BTs) of the sea ice microwave radiation. Era-Interim re-analysis data on the profiles of the atmospheric meteorological parameters are explored in the BT calculations. Totally consolidated sea ice areas are selected on the basis of the Sentinel-1 Synthetic Aperture Radar (SAR) image expert analysis. Era-Interim data on the sea ice temperature are also used to downscale the sea ice BTs to the sea ice emissivities at 89 GHz on vertical and horizontal polarization.</t>
  </si>
  <si>
    <t>[Zabolotskikh, E. V.; Zhivotovskaya, M. A.; Zakhvatkina, N. Yu.; Chapron, B.] Russian State Hydrometeorol Univ, Satellite Oceanog Lab, St Petersburg, Russia; [Zakhvatkina, N. Yu.] Arctic &amp; Antarctic Res Inst, St Petersburg, Russia; [Chapron, B.] IFREMER, Dept Oceanog &amp; Ecosyst Dynam, Brest, France</t>
  </si>
  <si>
    <t>Russian State Hydrometeorological University; Arctic &amp; Antarctic Research Institute; Ifremer</t>
  </si>
  <si>
    <t>Zabolotskikh, EV (corresponding author), Russian State Hydrometeorol Univ, Satellite Oceanog Lab, St Petersburg, Russia.</t>
  </si>
  <si>
    <t>Chapron, Bertrand/O-6527-2015; Bashmachnikov, Igor/B-2879-2012</t>
  </si>
  <si>
    <t>Bashmachnikov, Igor/0000-0002-1257-4197</t>
  </si>
  <si>
    <t>Russian Science Foundation [17-77-30019]</t>
  </si>
  <si>
    <t>The work under this project is supported by the Russian Science Foundation through the Project #17-77-30019.</t>
  </si>
  <si>
    <t>1559-9450</t>
  </si>
  <si>
    <t>978-1-5386-1211-8</t>
  </si>
  <si>
    <t>PR ELECTROMAGN RES S</t>
  </si>
  <si>
    <t>Engineering, Electrical &amp; Electronic; Physics, Applied</t>
  </si>
  <si>
    <t>Engineering; Physics</t>
  </si>
  <si>
    <t>BJ8NI</t>
  </si>
  <si>
    <t>WOS:000428518302071</t>
  </si>
  <si>
    <t>Maltseva, OA; Anishin, MM</t>
  </si>
  <si>
    <t>Maltseva, O. A.; Anishin, M. M.</t>
  </si>
  <si>
    <t>Ionospheric Providing of HF Propagation in High Latitudinal Regions</t>
  </si>
  <si>
    <t>2017 PROGRESS IN ELECTROMAGNETICS RESEARCH SYMPOSIUM - SPRING (PIERS)</t>
  </si>
  <si>
    <t>Progress in Electromagnetics Research Symposium - Spring (PIERS)</t>
  </si>
  <si>
    <t>MAY 22-25, 2017</t>
  </si>
  <si>
    <t>St Petersburg, RUSSIA</t>
  </si>
  <si>
    <t>For HF propagation providing, it is necessary to have the information on an ionospheric condition. The paper purpose was the estimation of possibility to use the IRI model in a high-latitude zone according to vertical and oblique sounding. It is shown that the new version IRI2016 of the model provides conformity of the modeling values of foF2 with experimental medians at level of middle-latitude values. Calculations of oblique ionograms were performed by a ray tracing method for two days 26.01.2016 (UT = 11: 20) and 25.02.2016 (UT = 10: 20) to which data were available. The greatest number of paths (17) was 25.02. The following results are obtained for these paths. For the initial IRI model, relative deviations of MUF from observational values MOF were 14.53% and 15.75% for one and two hops. Adaptation of the IRI model to data of current diagnostics has provided 7.93% and 6.68%. As foF2, SPIDR database was used, at absence - data of TEC. These estimates lay in limits for middle-latitude zones. Thus, in this case (quiet geomagnetic conditions) the initial IRI model provides acceptable results. Its adaptation to data of current diagnostics of vertical sounding and measurements of TEC allows increasing accuracy of MUF determination in 2 times.</t>
  </si>
  <si>
    <t>[Maltseva, O. A.] Southern Fed Univ, Inst Phys, Rostov Na Donu, Russia; [Anishin, M. M.] Southern Fed Univ, Dept Phys, Rostov Na Donu, Russia</t>
  </si>
  <si>
    <t>Southern Federal University; Southern Federal University</t>
  </si>
  <si>
    <t>Maltseva, OA (corresponding author), Southern Fed Univ, Inst Phys, Rostov Na Donu, Russia.</t>
  </si>
  <si>
    <t>South Federal University [0110-11/2017-40]</t>
  </si>
  <si>
    <t>South Federal University</t>
  </si>
  <si>
    <t>The authors express their gratitude to the services of Arctic and Antarctic Research Institute (Russia) for ionograms of vertical and oblique sounding, the services of SPIDR and IGS for providing VS and TEC data and for the opportunity of using data via Internet, scientists developing the IRI model. This work was supported by grant No. 0110-11/2017-40 of South Federal University (O. A. Maltseva).</t>
  </si>
  <si>
    <t>978-1-5090-6269-0</t>
  </si>
  <si>
    <t>Engineering, Electrical &amp; Electronic</t>
  </si>
  <si>
    <t>Engineering</t>
  </si>
  <si>
    <t>BJ7RI</t>
  </si>
  <si>
    <t>WOS:000427596701183</t>
  </si>
  <si>
    <t>Kurkin, VI; Zolotukhina, NA; Polekh, NM; Rogov, D; Romanova, E; Chelpanov, M</t>
  </si>
  <si>
    <t>Kurkin, V. I.; Zolotukhina, N. A.; Polekh, N. M.; Rogov, D.; Romanova, E.; Chelpanov, M.</t>
  </si>
  <si>
    <t>Ionospheric Disturbances during 17-19 March 2015 Magnetic Storm over Northern Region of Russia</t>
  </si>
  <si>
    <t>Based on data from the Yekaterinburg radar (YeKB radar), ionospheric stations, located within the radar field of view and 20 degrees eastward of it, as well as from 7 radio paths passing through the region under consideration a complex analysis of ionospheric disturbances during the 17-19 March 2015 magnetic storm have been done. By analyzing data from YeKB radar, vertical and oblique-incidence sounding ionograms, we found that on 17 March during the main and early recovery storm phases, the major contribution to the development of the ionospheric disturbances, observed at corrected geomagnetic latitudes 53-70 degrees, was made by impact ionization of the ionosphere by precipitating magnetospheric particles. It had lead to an increase of foF2 at the stations of vertical sounding, and the appearance of diffuse reflections from the E and F regions and later, intense sporadic layers, alternating with intervals of total absorption as can be seen from riometric data. The main features of this magnetic storm were the large latitude width of auroral precipitation zone and its shifting to equator to geographic latitude similar to 50 degrees. It could be connected with the high variability of interplanetary magnetic field and solar wind impacted on the magnetosphere. During the recovery phase of the storm in the morning at the stations of vertical sounding was recorded only sporadic layers. In daytime values of critical frequency and maximal observed frequency were less then the background values by a factor of 2. Such decreasing was observed in total electron content (TEC) data. Therefore, a simultaneous contraction of the electron density maximum in F-region and reduce of TEC may be due to common cause and the related change in the composition of the neutral atmosphere.</t>
  </si>
  <si>
    <t>[Kurkin, V. I.; Zolotukhina, N. A.; Polekh, N. M.; Romanova, E.; Chelpanov, M.] RAS, SB, Inst Solar Terr Phys, Irkutsk, Russia; [Rogov, D.] Arctic &amp; Antarctic Res Inst, St Petersburg, Russia</t>
  </si>
  <si>
    <t>Russian Academy of Sciences; Irkutsk Science Centre of the Russian Academy of Sciences; Institute of Solar-Terrestrial Physics of the Siberian Branch of the Russian Academy of Sciences; Arctic &amp; Antarctic Research Institute</t>
  </si>
  <si>
    <t>Kurkin, VI (corresponding author), RAS, SB, Inst Solar Terr Phys, Irkutsk, Russia.</t>
  </si>
  <si>
    <t>Kurkin, Vladimir I./F-7629-2014</t>
  </si>
  <si>
    <t>RF President Grant of Public Support for RF Leading Scientific Schools [NSh-6894.2016.5]</t>
  </si>
  <si>
    <t>RF President Grant of Public Support for RF Leading Scientific Schools</t>
  </si>
  <si>
    <t>The study was done under RF President Grant of Public Support for RF Leading Scientific Schools (NSh-6894.2016.5).</t>
  </si>
  <si>
    <t>WOS:000427596701188</t>
  </si>
  <si>
    <t>Przygoda, M</t>
  </si>
  <si>
    <t>Kozina, G; Rotar, LJ; Tomic, D</t>
  </si>
  <si>
    <t>Przygoda, Miroslaw</t>
  </si>
  <si>
    <t>THE ROLE AND IMPORTANCE OF AUSTRALIA IN THE SOUTH PACIFIC REGION</t>
  </si>
  <si>
    <t>ECONOMIC AND SOCIAL DEVELOPMENT</t>
  </si>
  <si>
    <t>International Scientific Conference on Economic and Social Development</t>
  </si>
  <si>
    <t>19th International Scientific Conference on Economic and Social Development</t>
  </si>
  <si>
    <t>FEB 09-10, 2017</t>
  </si>
  <si>
    <t>Melbourne, AUSTRALIA</t>
  </si>
  <si>
    <t>Asia; Australia; Pacific; region; success</t>
  </si>
  <si>
    <t>Australia is a country comprising the mainland of the Australian continent and the island of Tasmania. The country also includes numerous smaller islands in the Pacific and Indian Ocean. Australia is the sixth-largest country in the world by total area. It also has the world's 12th-largest economy and, fifth-highest per capita income. On 1 January 1901, a federation of six separate British self-governing states was formed after a decade of planning, consultation and voting. This established the Commonwealth of Australia as a dominion of the British Empire. In 1931 the status of the dominions was made equal to that of Great Britain, which is considered the symbolic date of Australia gaining full independence. Before World War II and in the course of it, the Commonwealth of Australia was closely tied to the government in London. However, the fall of the British Empire in the Asia Pacific made Australian authorities rethink their existence in the new reality. In the late 80s, Australia's formal ties with London were further loosened, as planned. Since that time the role and significance of the continent has been growing. A vibrant economy and favourable location drive the country's growing importance, which the government in Canberra strongly focuses on. Economic success and effective policies have made Australia become one of the crucial elements of sustainable balance in the South Pacific region. However, the country's political and economic influence goes far beyond its borders. Australia's importance to and influence on neighbouring countries is clearly visible across East and Southeast Asia, the Indian Ocean basin, and the Antarctic. Therefore it is worth to take a closer look at the drivers of the huge success of this unique country and its inhabitants.</t>
  </si>
  <si>
    <t>[Przygoda, Miroslaw] Univ Warsaw, Fac Management, Warsaw, Poland</t>
  </si>
  <si>
    <t>University of Warsaw</t>
  </si>
  <si>
    <t>Przygoda, M (corresponding author), Univ Warsaw, Fac Management, Warsaw, Poland.</t>
  </si>
  <si>
    <t>miroslawprzygoda@wp.pl</t>
  </si>
  <si>
    <t>VARAZDIN DEVELOPMENT &amp; ENTREPRENEURSHIP AGENCY</t>
  </si>
  <si>
    <t>VARAZDIN</t>
  </si>
  <si>
    <t>MIHANOVICEVA 4, VARAZDIN, 00000, CROATIA</t>
  </si>
  <si>
    <t>1849-6903</t>
  </si>
  <si>
    <t>1849-7535</t>
  </si>
  <si>
    <t>EC SOC DEVELOP</t>
  </si>
  <si>
    <t>Business; Economics; Management; Regional &amp; Urban Planning; Social Sciences, Interdisciplinary</t>
  </si>
  <si>
    <t>Conference Proceedings Citation Index - Social Science &amp; Humanities (CPCI-SSH)</t>
  </si>
  <si>
    <t>Business &amp; Economics; Public Administration; Social Sciences - Other Topics</t>
  </si>
  <si>
    <t>BJ8SW</t>
  </si>
  <si>
    <t>WOS:000428762800007</t>
  </si>
  <si>
    <t>Farzadnia, S; Nimmagadda, RD; McRae, C</t>
  </si>
  <si>
    <t>Farzadnia, Sahar; Nimmagadda, Rama D.; McRae, Christopher</t>
  </si>
  <si>
    <t>A comparative structural study of nitrogen-rich fulvic acids from various Antarctic lakes</t>
  </si>
  <si>
    <t>ENVIRONMENTAL CHEMISTRY</t>
  </si>
  <si>
    <t>AQUATIC HUMIC SUBSTANCES; DISSOLVED ORGANIC-MATTER; X-RAY PHOTOELECTRON; NUCLEAR-MAGNETIC-RESONANCE; SOLID-STATE NMR; VESTFOLD HILLS; C-13 NMR; MASS-SPECTROMETRY; FUNCTIONAL-GROUPS; EAST ANTARCTICA</t>
  </si>
  <si>
    <t>We comprehensively examined fulvic acids isolated from three lakes in Vestfold Hills, eastern Antarctica and microbial reference fulvic acid from Pony Lake located in western Antarctica. These fulvic acids were compared in terms of their structural similarities and differences by means of elemental analysis, cross polarisation magic-angle spinning (CP-MAS) C-13 NMR spectroscopy. X-ray photoelectron spectroscopy (XPS) and tetramethylammonium hydroxide (TMAH thermochemolysis coupled to gas chromatography mass spectrometry (GC-MS). The results indicate that these Antarctic fulvic acids show notable differences in chemical composition and structure; in particular XPS demonstrates that the distribution of nitrogen-containing compounds in the nitrogen-rich Antarctic fulvic acids differ significantly from each other. The dissimilarities are also highlighted in terms of quantity and quality of their nitrogenous constituents. For instance, Organic Lake Fulvic Acid (OLFA) contains around 10 times lower amide groups (pyrimidine-peptide N) than Pendant Lake Fulvic Acid (PNFA). It also shows 1.5 times less quaternary amine than Mossel Lake Fulvic Acid (MLFA) and PNEA. According to CP-MAS C-13 NMR experiments the carbohydrate content in Vestfold hills fulvic acid is higher than that of Pony Lake Fulvic Acid (PLFA), suggesting that dissolved organic matter (DOM) from Vestfold Hills Lakes is immature. TMAH-GC-MS demonstrated that Antarctic fulvic acids are enriched in heterocyclic non-aromatic nitrogen containing components such as pyrimidine structures, with the exception of OLFA. Furthermore, tricyclic terpenoids (dehydroabietic acid) were detected in two out of four fulvic acids tabulated using TMAH-GC-MS. Although diterpenes are commonly associated with plants and fungi, their occurrence in Antarctic fulvic acids could be justified due to their diverse origins from cyanobacteria to aerosols.</t>
  </si>
  <si>
    <t>[Farzadnia, Sahar; Nimmagadda, Rama D.; McRae, Christopher] Macquarie Univ, Dept Mol Sci, Sydney, NSW 2109, Australia</t>
  </si>
  <si>
    <t>Macquarie University</t>
  </si>
  <si>
    <t>Farzadnia, S (corresponding author), Macquarie Univ, Dept Mol Sci, Sydney, NSW 2109, Australia.</t>
  </si>
  <si>
    <t>sfarzadnia@gmail.com</t>
  </si>
  <si>
    <t>Australian Antarctic Division (AAD) [2552]; Australian Antarctic Research Expedition [2552]</t>
  </si>
  <si>
    <t>Australian Antarctic Division (AAD); Australian Antarctic Research Expedition</t>
  </si>
  <si>
    <t>The authors are grateful to the Australian Antarctic Division (AAD) and the Australian Antarctic Research Expedition for supporting this study (project No. 2552). They thank Dr James Hook at the NMR Facility, Mark Wainwright Analytical Centre, University of New South Wales for his assistance in obtaining solid-state NMR data. We also thank Dr Bill Bin Gong at the Solid State and Elemental Analysis Unit, Mark Wainwright Analytical Centre, Surface Analysis Laboratory, University of New South Wales for guidance on sample preparation and XPS analysis of samples.</t>
  </si>
  <si>
    <t>1448-2517</t>
  </si>
  <si>
    <t>1449-8979</t>
  </si>
  <si>
    <t>ENVIRON CHEM</t>
  </si>
  <si>
    <t>Environ. Chem.</t>
  </si>
  <si>
    <t>10.1071/EN17095</t>
  </si>
  <si>
    <t>Chemistry, Analytical; Environmental Sciences</t>
  </si>
  <si>
    <t>Chemistry; Environmental Sciences &amp; Ecology</t>
  </si>
  <si>
    <t>GA5PO</t>
  </si>
  <si>
    <t>WOS:000428386200005</t>
  </si>
  <si>
    <t>Maltseva, OA; Mozhaeva, NS</t>
  </si>
  <si>
    <t>Maltseva, O. A.; Mozhaeva, N. S.</t>
  </si>
  <si>
    <t>Features of Behaviour of Parameters of the Ionosphere of High Latitudes in Moderate Solar Activity</t>
  </si>
  <si>
    <t>2017 RADIATION AND SCATTERING OF ELECTROMAGNETIC WAVES (RSEMW)</t>
  </si>
  <si>
    <t>Conference on Radiation and Scattering of Electromagnetic Waves (RSEMW)</t>
  </si>
  <si>
    <t>JUN 26-30, 2017</t>
  </si>
  <si>
    <t>RUSSIA</t>
  </si>
  <si>
    <t>ionosphere; high latitudes; total electron content; disturbances</t>
  </si>
  <si>
    <t>MODEL; IRI</t>
  </si>
  <si>
    <t>The region of high-latitude areas draws the large attention. In Russia, Arctic and Antarctic Research institute restored a network of high-latitude ionosondes, confirming importance of knowledge of the critical frequency foF2 and the maximum height hmF2 of the ionosphere to provide conditions of radio-wave propagation in this region. However, there are gaps in ionosonde data often enough owing to many reasons (natural and technical). In these cases it is necessary to involve other sources of the information. In the present paper, such sources are empirical models of the ionosphere and measurement of the total electron content TEC. The purpose of this paper is a comparison of experimental values of foF2 and hmF2 with the model IRI2016 according to Russian high-latitude ionospheric stations and an estimation of possibilities to use the total electron content to provide information about ionospheric conditions. It was obtained, that deviations of model values from medians of parameters are at level of middle-latitude magnitudes, for instant values of foF2 deviations can reach 30 %. The usage of TEC allows reducing this estimation in 2-3 times. The basic attention is found for a situation during disturbances. It is shown that TEC allows to estimate zones of disturbances and to specify which stations get to these zones.</t>
  </si>
  <si>
    <t>[Maltseva, O. A.] South Fed Univ, Inst Phys Res, Rostov Na Donu, Russia; [Mozhaeva, N. S.] AO OKTB Vektor, Bataysk, Russia</t>
  </si>
  <si>
    <t>Southern Federal University</t>
  </si>
  <si>
    <t>Maltseva, OA (corresponding author), South Fed Univ, Inst Phys Res, Rostov Na Donu, Russia.</t>
  </si>
  <si>
    <t>mal@ip.rsu.ru; mozh_75@mail.ru</t>
  </si>
  <si>
    <t>SFU [0110-11/2017-40]</t>
  </si>
  <si>
    <t>SFU</t>
  </si>
  <si>
    <t>This work was supported by Grant SFU No 0110-11/2017-40.</t>
  </si>
  <si>
    <t>978-1-5386-2782-2</t>
  </si>
  <si>
    <t>Engineering, Electrical &amp; Electronic; Physics, Applied; Telecommunications</t>
  </si>
  <si>
    <t>Engineering; Physics; Telecommunications</t>
  </si>
  <si>
    <t>BJ7OD</t>
  </si>
  <si>
    <t>WOS:000427458600034</t>
  </si>
  <si>
    <t>Bouffaut, L; Dreo, R; Labat, V; Boudraa, A; Barruol, G</t>
  </si>
  <si>
    <t>Bouffaut, Lea; Dreo, Richard; Labat, Valerie; Boudraa, Abdel; Barruol, Guilhem</t>
  </si>
  <si>
    <t>Antarctic Blue Whale Calls Detection Based on an Improved Version of the Stochastic Matched Filter</t>
  </si>
  <si>
    <t>2017 25TH EUROPEAN SIGNAL PROCESSING CONFERENCE (EUSIPCO)</t>
  </si>
  <si>
    <t>European Signal Processing Conference</t>
  </si>
  <si>
    <t>25th European Signal Processing Conference (EUSIPCO)</t>
  </si>
  <si>
    <t>AUG 28-SEP 02, 2017</t>
  </si>
  <si>
    <t>GREECE</t>
  </si>
  <si>
    <t>INDIAN-OCEAN; PACIFIC</t>
  </si>
  <si>
    <t>As a first step to Antarctic Blue Whale monitoring, a new method based on a passive application of the Stochastic Matched Filter (SMF) is developed. To perform Z-call detection in noisy environment, improvements on the classical SMF requirements are proposed. The signal's reference is adjusted, the background noise estimation is reevaluated to avoid operator's selection, and the time-dependent Signal to Noise Ratio (SNR) estimation is revised by time-frequency analysis. To highlight the SMF's robustness against noise, it is applied on a Ocean Bottom Seismometers hydrophone-recorded data and compared to the classical Matched Filter: the output's SNR is maximized and the false alarm drastically decreased.</t>
  </si>
  <si>
    <t>[Bouffaut, Lea; Dreo, Richard; Labat, Valerie; Boudraa, Abdel] Naval Acad Res Inst IREnav, F-29240 Brest, France; [Barruol, Guilhem] Univ Reunion, Sorbonne Paris Diderot, Lab GeoSci Reunion, Inst Phys Globe Paris,CNRS,UMR 7154, F-97744 St Denis, Reunion, France</t>
  </si>
  <si>
    <t>Universite Paris Cite; Centre National de la Recherche Scientifique (CNRS); CNRS - National Institute for Earth Sciences &amp; Astronomy (INSU); University of La Reunion</t>
  </si>
  <si>
    <t>Bouffaut, L (corresponding author), Naval Acad Res Inst IREnav, F-29240 Brest, France.</t>
  </si>
  <si>
    <t>lea.bouffaut@ecole-navale.fr</t>
  </si>
  <si>
    <t>BARRUOL, Guilhem/AAN-4611-2021; BOUDRAA, Abdel-Ouahab/P-6414-2019; Barruol, guilhem/M-8677-2019</t>
  </si>
  <si>
    <t>BOUDRAA, Abdel-Ouahab/0000-0002-1864-2859; Barruol, guilhem/0000-0002-4049-2375; Dreo, Richard/0000-0002-7951-9088</t>
  </si>
  <si>
    <t>ANR (Agence Nationale de la Recherche) in France [ANR-11-BS56-0013]; DFG (Deutsche Forschungsgemeinschaft) in Germany; Agence Nationale de la Recherche (ANR) [ANR-11-BS56-0013] Funding Source: Agence Nationale de la Recherche (ANR)</t>
  </si>
  <si>
    <t>ANR (Agence Nationale de la Recherche) in France(Agence Nationale de la Recherche (ANR)); DFG (Deutsche Forschungsgemeinschaft) in Germany(German Research Foundation (DFG)); Agence Nationale de la Recherche (ANR)(Agence Nationale de la Recherche (ANR))</t>
  </si>
  <si>
    <t>The RHUM-RUM project [17],[18] was funded by ANR (Agence Nationale de la Recherche) in France (project ANR-11-BS56-0013), and by DFG (Deutsche Forschungsgemeinschaft) in Germany.</t>
  </si>
  <si>
    <t>2076-1465</t>
  </si>
  <si>
    <t>978-0-9928-6267-1</t>
  </si>
  <si>
    <t>EUR SIGNAL PR CONF</t>
  </si>
  <si>
    <t>Engineering, Electrical &amp; Electronic; Telecommunications</t>
  </si>
  <si>
    <t>Engineering; Telecommunications</t>
  </si>
  <si>
    <t>BJ6ZZ</t>
  </si>
  <si>
    <t>WOS:000426986000468</t>
  </si>
  <si>
    <t>Demchev, D; Volkov, V; Kazakov, E; Sandven, S</t>
  </si>
  <si>
    <t>Demchev, Denis; Volkov, Vladimir; Kazakov, Eduard; Sandven, Stein</t>
  </si>
  <si>
    <t>EATURE TRACKING FOR SEA ICE DRIFT RETRIEVAL FROM SAR IMAGES</t>
  </si>
  <si>
    <t>IEEE International Geoscience and Remote Sensing Symposium (IGARSS)</t>
  </si>
  <si>
    <t>feature tracking; sea ice drift; synthetic aperture radar; a-kaze; sentinel-1</t>
  </si>
  <si>
    <t>A feature tracking techniques for sea ice drift retrieval from a pair of sequential satellite synthetic aperture radar (SAR) images are discussed. The Scale Invariant Feature Transform (SIFT), its alternative called ORB and A-KAZE features are selected for the intercomparison. The experimental results obtained for dual polarized Sentinel-1 C-SAR Extended Wide Swath mode data showed high relevance of feature tracking using nonlinear scale-spaces: A-KAZE. The approach exploits the benefits of nonlinear multi-scale image representations using A-KAZE features, which is a method that detects and describes image features in an anisotropic scale space that preserves important object boundaries while adaptively removing noise and small image details. It found that feature tracking using nonlinear scale-spaces on SAR images is preferable compared to other existing feature tracking alternatives that make use of Gaussian or linear scale spaces.</t>
  </si>
  <si>
    <t>[Demchev, Denis; Volkov, Vladimir; Kazakov, Eduard] Nansen Int Environm &amp; Remote Sensing Ctr, St Petersburg, Russia; [Demchev, Denis] Arctic &amp; Antarctic Res Inst, St Petersburg, Russia; [Kazakov, Eduard] St Petersburg State Univ, St Petersburg, Russia; [Sandven, Stein] Nansen Environm &amp; Remote Sensing Ctr, Bergen, Norway</t>
  </si>
  <si>
    <t>Nansen Environmental &amp; Remote Sensing Center (NERSC); Arctic &amp; Antarctic Research Institute; Saint Petersburg State University; Nansen Environmental &amp; Remote Sensing Center (NERSC)</t>
  </si>
  <si>
    <t>Demchev, D (corresponding author), Nansen Int Environm &amp; Remote Sensing Ctr, St Petersburg, Russia.;Demchev, D (corresponding author), Arctic &amp; Antarctic Res Inst, St Petersburg, Russia.</t>
  </si>
  <si>
    <t>Demchev, Denis/K-5354-2016; Demchev, Denis/AAI-2822-2020; Kazakov, Eduard/F-9596-2015</t>
  </si>
  <si>
    <t>Demchev, Denis/0000-0001-6907-1729; Demchev, Denis/0000-0001-6907-1729; Sandven, Stein/0000-0002-8023-5779; Kazakov, Eduard/0000-0001-7942-302X</t>
  </si>
  <si>
    <t>Russian Ministry of Education [RFMEF161815X0005]</t>
  </si>
  <si>
    <t>Russian Ministry of Education(Ministry of Education and Science, Russian Federation)</t>
  </si>
  <si>
    <t>This paper has been partially supported by the Russian Ministry of Education under project RFMEF161815X0005</t>
  </si>
  <si>
    <t>WOS:000426954600086</t>
  </si>
  <si>
    <t>Zakharov, I; Puestow, T; Fleming, A; Deepakumara, J; Power, D</t>
  </si>
  <si>
    <t>Zakharov, Igor; Puestow, Thomas; Fleming, Andrew; Deepakumara, Janaka; Power, Desmond</t>
  </si>
  <si>
    <t>DETECTION AND DISCRIMINATION OF ICEBERGS AND SHIPS USING SATELLITE ALTIMETRY</t>
  </si>
  <si>
    <t>iceberg detection; ship-iceberg discrimination; satellite altimetry; automated classification</t>
  </si>
  <si>
    <t>CLASSIFICATION ALGORITHMS</t>
  </si>
  <si>
    <t>Recent research has confirmed that satellite altimetry can be used for detecting icebergs. In an effort to validate the altimetry-based approach, this study used 105 samples of icebergs contained in both satellite altimeter data and ENVISAT-ASAR scenes for the Weddell Sea area. The probability of detecting icebergs larger than 150 m waterline-length was 47%. The problem of discriminating ships and icebergs based on altimeter measurements was addressed using an ensemble of automated classifiers. A total of ten features were defined from the altimetry signal to be used as predictor variables in supervised classification. The classifier ensemble comprised discriminant functions, k-nearest neighbor, neural networks, support vector machines, and decision tree analysis. Several algorithms successfully classified objects as ships or icebergs with an accuracy exceeding 85%.</t>
  </si>
  <si>
    <t>[Zakharov, Igor; Puestow, Thomas; Deepakumara, Janaka; Power, Desmond] C CORE St Johns, St John, NF, Canada; [Fleming, Andrew] British Antarctic Survey, Cambridge, England</t>
  </si>
  <si>
    <t>UK Research &amp; Innovation (UKRI); Natural Environment Research Council (NERC); NERC British Antarctic Survey</t>
  </si>
  <si>
    <t>Zakharov, I (corresponding author), C CORE St Johns, St John, NF, Canada.</t>
  </si>
  <si>
    <t>WOS:000426954601009</t>
  </si>
  <si>
    <t>Zakharov, I; Power, D; Howell, M; Warren, S</t>
  </si>
  <si>
    <t>Zakharov, Igor; Power, Desmond; Howell, Mark; Warren, Sherry</t>
  </si>
  <si>
    <t>IMPROVED DETECTION OF ICEBERGS IN SEA ICE WITH RADARSAT-2 POLARIMETRIC DATA</t>
  </si>
  <si>
    <t>SAR; RADARSAT-2; icebergs; polarimetric data; sea ice</t>
  </si>
  <si>
    <t>Information on icebergs and ice islands is important for climate science and for various marine operations in Arctic and Antarctic. This work investigates capabilities of RADARSAT-2 polarimetric data for detection of icebergs in sea ice. Several iceberg detectors were analyzed with the full polarimetric data acquired in Fine Quad and Fine Quad Wide modes. The results of iceberg detection were validated with the information extracted from very high and medium resolution electro-optical satellite data including stereo datasets. It was demonstrated that the accuracy of iceberg detection depends on polarimetric bands, parameters of detection algorithm and sea ice types. The novelty of the work also includes a demonstration of detection characteristics including false alarm rates. Improvement of detection results for icebergs in pack ice was achieved using Pauli decomposition components, span and advancing detection algorithm.</t>
  </si>
  <si>
    <t>[Zakharov, Igor; Power, Desmond; Howell, Mark; Warren, Sherry] C CORE, St John, NF, Canada</t>
  </si>
  <si>
    <t>Zakharov, I (corresponding author), C CORE, St John, NF, Canada.</t>
  </si>
  <si>
    <t>Canadian Space Agency (CSA); Research and Development Corporation of Newfoundland and Labrador (RDC)</t>
  </si>
  <si>
    <t>Canadian Space Agency (CSA)(Canadian Space Agency); Research and Development Corporation of Newfoundland and Labrador (RDC)</t>
  </si>
  <si>
    <t>This work was supported by the Canadian Space Agency (CSA) and the Research and Development Corporation of Newfoundland and Labrador (RDC).</t>
  </si>
  <si>
    <t>WOS:000426954602104</t>
  </si>
  <si>
    <t>Leduc-Leballeur, M; Picard, G; Macelloni, G; Brogioni, M</t>
  </si>
  <si>
    <t>Leduc-Leballeur, Marion; Picard, Ghislain; Macelloni, Giovanni; Brogioni, Marco</t>
  </si>
  <si>
    <t>IEEE NS AND HM: SNOWMELT IN ANTARCTICA AS DERIVED FROM SMOS OBSERVATIONS</t>
  </si>
  <si>
    <t>Cryosphere; Microwave</t>
  </si>
  <si>
    <t>MICROWAVE RADIOMETERS; SENSORS</t>
  </si>
  <si>
    <t>In Antarctica, the coastal and ice-shelves areas are affected by snowmelt during the austral summer. The length and extend of this melting period are key parameters in the study of climate and its interannual variations in these regions. Melting events have a significant impact on the microwave emissivity of the surface. Thus, satellite microwave observations can be use in order to provide useful information over the whole Antarctic coast and ice shelves. Several studies exploited the 19- and 37-GHz long time series to retrieve snowmelt events. Due to the large penetration depth at L-band in regard of higher microwave frequencies, SMOS observations (1.4-GHz) could give additional information. In this study, the algorithms developed in these previous works are used to detect melt from the SMOS brightness temperature at horizontal polarization. Snowmelt product is obtained from July 2010 and June 2015 with SMOS observations.</t>
  </si>
  <si>
    <t>[Leduc-Leballeur, Marion; Macelloni, Giovanni; Brogioni, Marco] IFAC CNR, Inst Appl Phys, Sesto Fiorentino, Italy; [Leduc-Leballeur, Marion; Picard, Ghislain] CNRS, LGGE UMR5183, Grenoble, France; [Leduc-Leballeur, Marion; Picard, Ghislain] Univ Grenoble Alpes, LGGE UMR5183, Grenoble, France</t>
  </si>
  <si>
    <t>Consiglio Nazionale delle Ricerche (CNR); Istituto di Fisiologia Clinica (IFC-CNR); Istituto di Fisica Applicata Nello Carrara (IFAC-CNR); Communaute Universite Grenoble Alpes; Universite Grenoble Alpes (UGA); Centre National de la Recherche Scientifique (CNRS); Communaute Universite Grenoble Alpes; Universite Grenoble Alpes (UGA)</t>
  </si>
  <si>
    <t>Leduc-Leballeur, M (corresponding author), IFAC CNR, Inst Appl Phys, Sesto Fiorentino, Italy.;Leduc-Leballeur, M (corresponding author), CNRS, LGGE UMR5183, Grenoble, France.;Leduc-Leballeur, M (corresponding author), Univ Grenoble Alpes, LGGE UMR5183, Grenoble, France.</t>
  </si>
  <si>
    <t>Leduc-Leballeur, Marion/AAK-9880-2021; Macelloni, Giovanni/B-7518-2015; Picard, Ghislain/D-4246-2013; Brogioni, Marco/Q-6583-2019</t>
  </si>
  <si>
    <t>Leduc-Leballeur, Marion/0000-0001-7579-7024; Picard, Ghislain/0000-0003-1475-5853; Brogioni, Marco/0000-0001-6232-6020; MACELLONI, GIOVANNI/0000-0002-9738-7939</t>
  </si>
  <si>
    <t>WOS:000426954602243</t>
  </si>
  <si>
    <t>Sanamzadeh, M; Tsang, L; Johnson, JT</t>
  </si>
  <si>
    <t>Sanamzadeh, Mohammadreza; Tsang, Leung; Johnson, Joel T.</t>
  </si>
  <si>
    <t>A PARTIAL COHERENT MODEL OF BRIGHTNESS TEMPERATURES OF POLAR ICE SHEETS AT L BAND INCORPORATING MULTI-LAYER ROUGHNESS EFFECTS BASED ON SPM2 THEORY</t>
  </si>
  <si>
    <t>Brightness Temperature; Rough surface; Scattering and emission; Layered media</t>
  </si>
  <si>
    <t>Effect of roughness on forward physical model for Brightness Temperature of Antarctic ice sheets is presented. The Antarctic ice sheet which is characterized by layers of ice with permittivity fluctuations in addition to random rough interfaces. In order to investigate effect of roughness on brightness temperature, we only consider top 20 layers of ice sheets rough and all other layers with flat interfaces. The comparison between the results of the model and ESA's soil moisture ocean salinity (SMOS) brightness temperature show that the influence of roughness can significantly increase horizontally polarized thermal emission while leaving vertically polarized emissions relatively unaffected.</t>
  </si>
  <si>
    <t>[Sanamzadeh, Mohammadreza; Tsang, Leung] Univ Michigan, Dept Elect Engn &amp; Comp Sci, Ann Arbor, MI 48109 USA; [Johnson, Joel T.] Ohio State Univ, Dept Elect Engn &amp; Comp Sci, Columbus, OH 43210 USA</t>
  </si>
  <si>
    <t>University of Michigan System; University of Michigan; University System of Ohio; Ohio State University</t>
  </si>
  <si>
    <t>Sanamzadeh, M (corresponding author), Univ Michigan, Dept Elect Engn &amp; Comp Sci, Ann Arbor, MI 48109 USA.</t>
  </si>
  <si>
    <t>WOS:000426954602244</t>
  </si>
  <si>
    <t>Malyala, SK; Li, JL; Adhikari, M; Morales, FR</t>
  </si>
  <si>
    <t>Malyala, Santhosh Kumar; Li, Jilu; Adhikari, Manjish; Morales, Fernando Rodriguez</t>
  </si>
  <si>
    <t>ESTIMATION OF ICE BASAL REFLECTIVITY OF BYRD GLACIER USING RES DATA</t>
  </si>
  <si>
    <t>Byrd Glacier; basal conditions; radio echo sounding</t>
  </si>
  <si>
    <t>ANTARCTIC SUBGLACIAL LAKES; WEST ANTARCTICA; INVENTORY; ZONE</t>
  </si>
  <si>
    <t>Ice basal conditions determine the ice flow dynamics and are needed for the accurate modeling of ice sheets. In this paper, a large volume of data, collected over Antarctica's Byrd Glacier in 2011-2012 with multichannel radar, is analyzed to infer the basal conditions. The analysis of received radio echo sounding data includes power loss corrections for spherical spreading and roughness of the ice-surface and ice-bed interfaces, and the estimate of relative englacial attenuation and basal reflectivity values. From the estimated relative basal reflectivity values, basal conditions are inferred, and are validated using geophysical features from radar images, abruptness and coherence index values. The identified locations of high basal reflectivity values provide new insights on the subglacial hydrological network of Byrd Glacier.</t>
  </si>
  <si>
    <t>[Malyala, Santhosh Kumar; Li, Jilu; Adhikari, Manjish; Morales, Fernando Rodriguez] Univ Kansas, Ctr Remote Sensing Ice Sheets CReSIS, Lawrence, KS 66045 USA</t>
  </si>
  <si>
    <t>University of Kansas</t>
  </si>
  <si>
    <t>Malyala, SK (corresponding author), Univ Kansas, Ctr Remote Sensing Ice Sheets CReSIS, Lawrence, KS 66045 USA.</t>
  </si>
  <si>
    <t>NASA [NNX14AL99G]; NSF [ANT-0424589]; NASA [NNX14AL99G, 679835] Funding Source: Federal RePORTER</t>
  </si>
  <si>
    <t>NASA(National Aeronautics &amp; Space Administration (NASA)); NSF(National Science Foundation (NSF)); NASA(National Aeronautics &amp; Space Administration (NASA))</t>
  </si>
  <si>
    <t>This work is supported by NASA Grant # NNX14AL99G. The Byrd Glacier survey was funded by NSF grant ANT-0424589. We gratefully acknowledge the contributions of staff, faculty and students at CReSIS, in particular Dr. S. Gogineni, whose technical contributions and support made this work possible.</t>
  </si>
  <si>
    <t>WOS:000426954602245</t>
  </si>
  <si>
    <t>Escobar, I; Cárdenas, C; López-Martínez, C; Floriciou, D; Johnson, E</t>
  </si>
  <si>
    <t>Escobar, I.; Cardenas, C.; Lopez-Martinez, C.; Floriciou, D.; Johnson, E.</t>
  </si>
  <si>
    <t>POLARIMETRIC TECHNIQUES TO KNOW THE CARACTERISTICS OF ANTARCTIC SEA ICE</t>
  </si>
  <si>
    <t>Entropy; Sea Ice; SAR; Antarctic</t>
  </si>
  <si>
    <t>The present work is oriented to analyze the backscattering signal generated by the X-band, when it is interacting with sea ice, located in the vicinity of Fildes Bay, King George Island (Southland Shetland Islands), from Antarctic. Radar images captured by TerraSAR-X satellite StripMap mode were used, whose emitted signal was polarized in Dual mode (HH-VV). The images were processed using the software Polsar-Pro, with the objective of establishing Polarimetric Decomposition and Shannon Entropy, in order to determine the predominant mechanisms of dispersion and to corroborate with information obtained in situ. The results demonstrated that both techniques are complementary and individually allow detecting and characterizing the presence of sea ice in this Antarctic zone.</t>
  </si>
  <si>
    <t>[Cardenas, C.] Univ Magallanes UMAG, Antarctic &amp; Subantarctic Program Ctr, Punta Arenas, Chile; [Johnson, E.] German Space Agcy DLR, Cologne, Germany; [Escobar, I.; Johnson, E.] Chilean Navy Meteorol Serv, Valparaiso, Chile; [Lopez-Martinez, C.] Univ Politecn Cataluna, Barcelona, Spain</t>
  </si>
  <si>
    <t>Helmholtz Association; German Aerospace Centre (DLR); Universitat Politecnica de Catalunya</t>
  </si>
  <si>
    <t>Escobar, I (corresponding author), Chilean Navy Meteorol Serv, Valparaiso, Chile.</t>
  </si>
  <si>
    <t>Johnson, Erling/AAC-4783-2021</t>
  </si>
  <si>
    <t>Cardenas, Carlos/0000-0003-1011-643X</t>
  </si>
  <si>
    <t>German Space Agency (DLR). OCE Project [1681]</t>
  </si>
  <si>
    <t>German Space Agency (DLR). OCE Project(Helmholtz AssociationGerman Aerospace Centre (DLR))</t>
  </si>
  <si>
    <t>German Space Agency (DLR). OCE Project 1681 (Floricioiu D. and Cardenas C., Lehner S.)</t>
  </si>
  <si>
    <t>WOS:000426954603027</t>
  </si>
  <si>
    <t>Zhang, YM; Cheng, X</t>
  </si>
  <si>
    <t>Zhang, Yanmei; Cheng, Xiao</t>
  </si>
  <si>
    <t>ANALYSIS OF THE IMAGERIES FROM A CHINESE CUBE SATELLITE FOR POLAR OBSERVATIONS</t>
  </si>
  <si>
    <t>Nano Satellite; CubeSat; Antarctic Observation; Glacier Observation</t>
  </si>
  <si>
    <t>The research for the global climate changes call for high quality satellite data and imageries regarding Polar Regions. In recent years, the development of immerging Earth-Observation micro/nano satellite technology provides new data source for polar region observations. The STU-2A is a newly-developed nano satellite specializing in polar region observation activities. It is a 3U CubeSat 2.9kg with a size of 30x10x10 cm and carrying an earth observation camera, and was launched on Sept. 25th, 2015 and be deployed in a 470 x 485km, 97.3-degree inclination Sun Synchronous Orbit (SSO). During the Antarctic summer of 2015/16, it has obtained images covering different ocean and coastal regions including Amundsen Sea, Ross Sea and Vincennes Bay. These images were used to analyze the change of ice sheet and sea ice and have played a role in the navigation task of the Xuelong vessel, a Chinese polar research ship. This satellite provides 100m resolution visible-light true color images, better than the MODIS data, which can only reach a maximum resolution of 250m. As the camera was specially designed for the polar region which has an environment of low solar elevation and high surface reflectance, it eliminates the oversaturation problem of the MODIS sensors and can provide high quality images. Based on data analysis and assessment, it is confirmed that this satellite data can meet the demand of glacier and sea ice observation. This paper will discuss the Cubesat design configuration, the payload camera design, and present its application in Antarctic glacier and sea ice observation.</t>
  </si>
  <si>
    <t>[Zhang, Yanmei] China Earthquake Adm, Inst Earthquake Sci, Beijing 100036, Peoples R China; [Cheng, Xiao] Beijing Normal Univ, Coll Global Change &amp; Earth Syst Sci, Beijing 100875, Peoples R China</t>
  </si>
  <si>
    <t>China Earthquake Administration; Beijing Normal University</t>
  </si>
  <si>
    <t>Zhang, YM (corresponding author), China Earthquake Adm, Inst Earthquake Sci, Beijing 100036, Peoples R China.</t>
  </si>
  <si>
    <t>ymzhang163@163.com; xcheng@bnu.edu.cn</t>
  </si>
  <si>
    <t>WOS:000426954603158</t>
  </si>
  <si>
    <t>Milillo, P; Rignot, E; Mouginot, J; Scheuchl, B; Li, X; Salzer, J</t>
  </si>
  <si>
    <t>Milillo, Pietro; Rignot, Eric; Mouginot, Jeremie; Scheuchl, Bernd; Li, Xin; Salzer, Jacqueline</t>
  </si>
  <si>
    <t>ANTARCTIC ICE SHEET GROUNDING LINE MIGRATION MONITORING USING COSMO-SKYMED VERY SHORT REPEAT-TIME SAR INTERFEROMETRY</t>
  </si>
  <si>
    <t>Pine Island Glacier; InSAR; Grounding line</t>
  </si>
  <si>
    <t>WEST ANTARCTICA</t>
  </si>
  <si>
    <t>We use data from the second generation of SAR systems e.g. the Italian COSMO-SkyMed constellation and the German TanDEM-X formation to monitor the characteristics of grounding line migration using short repeat-time interferometry and accurate InSAR DEM on Pine Island glacier (PIG), West Antarctica. Prior attempts of grounding lines mapping have been limited because few space-borne SAR missions offer the short-term repeat pass capability required to map the differential vertical displacement of floating ice at tidal frequencies with sufficient detail to resolve grounding line boundaries in areas of fast ice deformation.</t>
  </si>
  <si>
    <t>[Milillo, Pietro; Rignot, Eric] CALTECH, NASA, Jet Prop Lab, Pasadena, CA 91109 USA; [Rignot, Eric; Mouginot, Jeremie; Scheuchl, Bernd; Li, Xin] Univ Calif Irvine, Dept Earth Syst Sci, Irvine, CA 92697 USA; [Salzer, Jacqueline] GFZ German Res Ctr Geosci Phys Earthquakes &amp; Volc, D-14473 Potsdam, Germany</t>
  </si>
  <si>
    <t>National Aeronautics &amp; Space Administration (NASA); NASA Jet Propulsion Laboratory (JPL); California Institute of Technology; University of California System; University of California Irvine; Helmholtz Association; Helmholtz-Center Potsdam GFZ German Research Center for Geosciences</t>
  </si>
  <si>
    <t>Milillo, P (corresponding author), CALTECH, NASA, Jet Prop Lab, Pasadena, CA 91109 USA.</t>
  </si>
  <si>
    <t>Milillo, Pietro/H-6691-2019; Rignot, Eric/A-4560-2014; Mouginot, Jeremie/G-7045-2015</t>
  </si>
  <si>
    <t>Milillo, Pietro/0000-0002-1171-3976; Rignot, Eric/0000-0002-3366-0481; Mouginot, Jeremie/0000-0001-9155-5455</t>
  </si>
  <si>
    <t>WOS:000426954603167</t>
  </si>
  <si>
    <t>Budge, J; Long, D</t>
  </si>
  <si>
    <t>Budge, Jeff; Long, David</t>
  </si>
  <si>
    <t>ESTIMATING SIZES AND ROTATION ANGLES OF ANTARCTIC ICEBERGS UTILIZING SCATTEROMETER DATA</t>
  </si>
  <si>
    <t>iceberg; rotation; size; scatterometer</t>
  </si>
  <si>
    <t>A reliable method of automatically estimating Antarctic iceberg contours and sizes from satellite data is desirable to help better understand patterns in iceberg formation and behavior. Starting from scatterometer images, this paper develops a method of using the relatively constant backscatter values across the surface of an iceberg to derive a contour of its shape. Contours are then used to find an angle of rotation between images taken on successive days. This method produces size estimates that are within 10% of the area given by the National Ice Center (NIC).</t>
  </si>
  <si>
    <t>[Budge, Jeff; Long, David] Brigham Young Univ, Microwave Earth Remote Sensing Lab, Provo, UT 84604 USA</t>
  </si>
  <si>
    <t>Brigham Young University</t>
  </si>
  <si>
    <t>Long, D (corresponding author), Brigham Young Univ, Microwave Earth Remote Sensing Lab, Provo, UT 84604 USA.</t>
  </si>
  <si>
    <t>long@ee.byu.edu</t>
  </si>
  <si>
    <t>WOS:000426954603170</t>
  </si>
  <si>
    <t>Liang, AL; Han, G; Ma, X; Xiang, CZ; Zheng, YX; Zhang, T; Xu, H; Gong, W</t>
  </si>
  <si>
    <t>Liang, Ailin; Han, Ge; Ma, Xin; Xiang, Chengzhi; Zheng, Yuxin; Zhang, Teng; Xu, Hao; Gong, Wei</t>
  </si>
  <si>
    <t>DEVELOPMENT OF DIFFERENTIAL ABSORPTION LIDAR SYSTEM AT 1.57 μm FOR SENSING CARBON DIOXIDE IN CHINA</t>
  </si>
  <si>
    <t>DIAL; CO2; Lidar</t>
  </si>
  <si>
    <t>CO2; LASER</t>
  </si>
  <si>
    <t>To facilitate understanding of the relationship between the most significant greenhouse gas carbon dioxide and human activities, we have developed a differential absorption lidar (DIAL) detection system at 1,57 mu m. The goal of this lidar system is to detect the temporal and spatial distribution of atmospheric carbon dioxide gas from 0,3 km to 3 km in the atmosphere, Beginning in 2009, the system was initially completed in 2013. Since then, we have been constantly experimenting and repeated instrumentation improvements. From July 2015 to the present, we carried out vertical and horizontal measurement experiments in the urban area of Wuhan, Hubei Province and the suburb of Huainan, Anhui Province, China. This article presents a fast and optimized inversion algorithm to improve the speed and accuracy. Experimental results show that the DIAL system and inversion algorithm are stable and reliable.</t>
  </si>
  <si>
    <t>[Liang, Ailin; Xiang, Chengzhi; Xu, Hao; Gong, Wei] Wuhan Univ, State Key Lab Informat Engn Surveying Mapping &amp; R, 129 Luoyu Rd, Wuhan 430079, Hubei, Peoples R China; [Han, Ge] Wuhan Univ, Int Sch Software, 129 Luoyu Rd, Wuhan 430079, Hubei, Peoples R China; [Ma, Xin] Wuhan Univ, Elect Informat Sch, 129 Luoyu Rd, Wuhan 430079, Hubei, Peoples R China; [Zheng, Yuxin] Wuhan Univ, Sch Geodesy &amp; Geomat, 129 Luoyu Rd, Wuhan 430079, Hubei, Peoples R China; [Zhang, Teng] Wuhan Univ, Chinese Antarctic Ctr Surveying &amp; Mapping, 129 Luoyu Rd, Wuhan 430079, Hubei, Peoples R China; [Gong, Wei] Collaborat Innovat Ctr Geospatial Technol, 129 Luoyu Rd, Wuhan 430079, Hubei, Peoples R China</t>
  </si>
  <si>
    <t>Wuhan University; Wuhan University; Wuhan University; Wuhan University; Wuhan University</t>
  </si>
  <si>
    <t>Liang, AL; Gong, W (corresponding author), Wuhan Univ, State Key Lab Informat Engn Surveying Mapping &amp; R, 129 Luoyu Rd, Wuhan 430079, Hubei, Peoples R China.;Gong, W (corresponding author), Collaborat Innovat Ctr Geospatial Technol, 129 Luoyu Rd, Wuhan 430079, Hubei, Peoples R China.</t>
  </si>
  <si>
    <t>zheng, yuxin/IUP-3624-2023</t>
  </si>
  <si>
    <t>zheng, yuxin/0000-0002-2336-2560</t>
  </si>
  <si>
    <t>WOS:000426954605065</t>
  </si>
  <si>
    <t>Ye, HL; Guo, HD; Liu, G</t>
  </si>
  <si>
    <t>Ye, Hanlin; Guo, Huadong; Liu, Guang</t>
  </si>
  <si>
    <t>OBSERVATION PARAMETERS DESIGN OF MOON-BASED EARTH OBSERVATION SENSORS FOR MONITORING THREE-POLAR REGIONS</t>
  </si>
  <si>
    <t>Moon-based observation platform; Three-polar regions; parameter design</t>
  </si>
  <si>
    <t>More and more attention has been paid to taking the Earth as a whole for researching. Though space-borne and airborne platform have acquired various data from the Earth, the existing Earth observation system lack the ability of long-term continuous observation at a global scale. Three-polar regions include the Arctic, Antarctic and Tibet Plateau, which characterized by its large scale and need long-term observation. This will need large-scale, constant and long-term dynamic Earth observation system. Here we established a new platform, Moon-based Earth observation platform, which focuses on the observation of global scale scientific phenomena, turning out to be an ideal platform to study Three-polar regions environment comparison research. In this paper, we propose the Moon-based observation platform, and discuss the system parameters performance briefly and next focus on the potential applications of Three-polar regions.</t>
  </si>
  <si>
    <t>[Ye, Hanlin; Guo, Huadong; Liu, Guang] Chinese Acad Sci, Inst Remote Sensing &amp; Digital Earth, Beijing, Peoples R China; [Ye, Hanlin] Univ Chinese Acad Sci, Beijing, Peoples R China</t>
  </si>
  <si>
    <t>Chinese Academy of Sciences; The Institute of Remote Sensing &amp; Digital Earth, CAS; Chinese Academy of Sciences; University of Chinese Academy of Sciences, CAS</t>
  </si>
  <si>
    <t>Liu, G (corresponding author), Chinese Acad Sci, Inst Remote Sensing &amp; Digital Earth, Beijing, Peoples R China.</t>
  </si>
  <si>
    <t>liuguang@radi.ac.cn</t>
  </si>
  <si>
    <t>National Natural Science Foundation of China [41590850, 60972141]</t>
  </si>
  <si>
    <t>National Natural Science Foundation of China(National Natural Science Foundation of China (NSFC))</t>
  </si>
  <si>
    <t>This work was supported in part by the National Natural Science Foundation of China under Grants 41590850 and 60972141.</t>
  </si>
  <si>
    <t>WOS:000426954605190</t>
  </si>
  <si>
    <t>Williams, AJ; Polzin, KL</t>
  </si>
  <si>
    <t>Williams, Albert J.; Polzin, Kurt L.</t>
  </si>
  <si>
    <t>Absolute Acoustic Travel-Time Measurements for Deep-Sea Vertical Heat Flux Estimates</t>
  </si>
  <si>
    <t>vertical heat flux; acoustic travel-time temperature measurement; acoustic travel-time current measurement; abyssal mixing of Antarctic Bottom Water</t>
  </si>
  <si>
    <t>OCEAN</t>
  </si>
  <si>
    <t>Correlation of vertical velocity fluctuations with temperature fluctuations from a stationary sensor can provide estimates of vertical heat flux. A sensor that makes simultaneous measurements of 3 axes of velocity while measuring the acoustic travel time between transducers permits this correlation to be made. The speed of sound, determined primarily by temperature, can be measured with the same acoustic transmission that is used to measure fluid velocity in a differential travel-time measurement to obtain the correlation of vertical velocity with temperature (speed of sound) fluctuations and thus determine heat flux.</t>
  </si>
  <si>
    <t>[Williams, Albert J.; Polzin, Kurt L.] Woods Hole Oceanog Inst, Woods Hole, MA 02543 USA</t>
  </si>
  <si>
    <t>Woods Hole Oceanographic Institution</t>
  </si>
  <si>
    <t>Williams, AJ (corresponding author), Woods Hole Oceanog Inst, Woods Hole, MA 02543 USA.</t>
  </si>
  <si>
    <t>awilliams@whoi.edu</t>
  </si>
  <si>
    <t>WOS:000426997000004</t>
  </si>
  <si>
    <t>Bezuglov, DA; Zvezdina, MY; Cherckesova, LV; Shalamov, GN; Prokopenko, NN; Shokova, JA; Sinyavsky, GP; Akishin, BA; Porksheyan, VM</t>
  </si>
  <si>
    <t>Bezuglov, Dmitry A.; Zvezdina, Marina Yu.; Cherckesova, Larissa V.; Shalamov, George N.; Prokopenko, Nikolay N.; Shokova, Julia A.; Sinyavsky, Gennady P.; Akishin, Boris A.; Porksheyan, Vitaly M.</t>
  </si>
  <si>
    <t>Possibilities of Nonlinear Parametric Zonal Systems Application on the Base of Passive Magnetophotonic Structures at Low Temperatures</t>
  </si>
  <si>
    <t>2017 IEEE EAST-WEST DESIGN &amp; TEST SYMPOSIUM (EWDTS)</t>
  </si>
  <si>
    <t>East-West Design &amp; Test Symposium</t>
  </si>
  <si>
    <t>2017 IEEE East-West Design &amp; Test Symposium (EWDTS)</t>
  </si>
  <si>
    <t>SEP 29-OCT 02, 2017</t>
  </si>
  <si>
    <t>Novi Sad, SERBIA</t>
  </si>
  <si>
    <t>In this paper the possibilities of passive magnetophotonic nanostructures application in low temperature conditions of Arctic and Antarctic regions, near cosmic space and physics of high energies conditions are considered. Carried out examinations have shown that, in dependence on used magnetic materials, their crystallo-graphic structure, topology of arrangement (1D or 2D), technology of using, concentration and distribution inside crystal structure and many other factors, is possibly to create such ferromagnetic structure that is able to function successfully at low temperatures and influence of ionized radiation. Such climatic conditions are peculiar to Arctic and Antarctic regions, temperature circumstances of near cosmic space and to operating conditions in the physics of high energies. Passive magnetooptical structures are intended for the work in extremal conditions.</t>
  </si>
  <si>
    <t>[Bezuglov, Dmitry A.] Russian Customs Acad, Rostov On Don Branch, Lubercy, Russia; [Zvezdina, Marina Yu.; Cherckesova, Larissa V.; Prokopenko, Nikolay N.; Shokova, Julia A.; Akishin, Boris A.; Porksheyan, Vitaly M.] Don State Tech Univ, Rostov Na Donu, Russia; [Shalamov, George N.] Rostov Res Inst Radio Commun, Rostov Na Donu, Russia; [Sinyavsky, Gennady P.] Southern Fed Univ, Rostov Na Donu, Russia</t>
  </si>
  <si>
    <t>Don State Technical University; Southern Federal University</t>
  </si>
  <si>
    <t>Bezuglov, DA (corresponding author), Russian Customs Acad, Rostov On Don Branch, Lubercy, Russia.</t>
  </si>
  <si>
    <t>bezuglovda@mail.ru; zvezdina_m@mail.ru; chia2002@inbox.ru; sha179gh@mail.ru; prokopenko@sssu.ru; jshokova@mail.ru; sinyavsky@sfedu.ru; akiboralex@mail.ru; spu-40@donstu.ru</t>
  </si>
  <si>
    <t>Bezuglov, Dmitriy A./A-5038-2014; Shokova, Julia/HOH-7833-2023; Prokopenko, Nikolai/I-6599-2013</t>
  </si>
  <si>
    <t>Prokopenko, Nikolai/0000-0001-8291-1753; BEZUGLOV, DMITRIY/0000-0001-9991-4707; Shokova, Julia/0000-0002-2884-8121</t>
  </si>
  <si>
    <t>Russian Science Foundation [16-19-00122]</t>
  </si>
  <si>
    <t>Research is carried out at expense of Grant of Russian Science Foundation (project No16-19-00122).</t>
  </si>
  <si>
    <t>2373-826X</t>
  </si>
  <si>
    <t>2472-761X</t>
  </si>
  <si>
    <t>978-1-5386-3299-4</t>
  </si>
  <si>
    <t>E-W DESIGN TEST</t>
  </si>
  <si>
    <t>BJ6NT</t>
  </si>
  <si>
    <t>WOS:000426878200131</t>
  </si>
  <si>
    <t>Afanasieva, L; Minochkin, D; Kravchuk, S</t>
  </si>
  <si>
    <t>Afanasieva, Liana; Minochkin, Dmytro; Kravchuk, Serhii</t>
  </si>
  <si>
    <t>PROVIDING TELECOMMUNICATION SERVICES TO ANTARCTIC STATIONS</t>
  </si>
  <si>
    <t>2017 SECOND INTERNATIONAL CONFERENCE ON INFORMATION AND TELECOMMUNICATION TECHNOLOGIES AND RADIO ELECTRONICS (UKRMICO)</t>
  </si>
  <si>
    <t>2nd International Conference on Information and Telecommunication Technologies and Radio Electronics (UkrMiCo)</t>
  </si>
  <si>
    <t>SEP 11-15, 2017</t>
  </si>
  <si>
    <t>Odessa, UKRAINE</t>
  </si>
  <si>
    <t>telecommunication services; Antarctic continent; troposcatter radiorelay systems</t>
  </si>
  <si>
    <t>Today the continent of Antarctica is the only uninhabited and undeveloped continent on Earth. Currently meteorological, oceanographic and geological scientific reseaches are conducted on the continent supporting by state target programs of many countries, including Ukraine. Therefore, the need of communication in the Antarctic is growing fast with the high rates of scientific activities on the continent. Providing high-quality telecommunication services with high bandwidth will allow timely and precisely exchange of scientific information for further processing and research. The paper presents an analysis of the current state of telecommunications in Antarctica and possible ways to improve their on Ukrainian Antarctic station, especially in the broadband Internet.</t>
  </si>
  <si>
    <t>[Afanasieva, Liana; Minochkin, Dmytro; Kravchuk, Serhii] Igor Sikorsky Kyiv Polytech Inst, Kiev, Ukraine</t>
  </si>
  <si>
    <t>Ministry of Education &amp; Science of Ukraine; Igor Sikorsky Kyiv Polytechnic Institute</t>
  </si>
  <si>
    <t>Afanasieva, L (corresponding author), Igor Sikorsky Kyiv Polytech Inst, Kiev, Ukraine.</t>
  </si>
  <si>
    <t>liana.afanasyeva@gmail.com; dmytro.minochkin@gmail.com; sakravchuk@ukr.net</t>
  </si>
  <si>
    <t>Afanasieva, Liana/K-2603-2017</t>
  </si>
  <si>
    <t>Minochkin, Dmytro/0000-0003-4988-7098</t>
  </si>
  <si>
    <t>978-1-5386-1056-5</t>
  </si>
  <si>
    <t>BJ6TB</t>
  </si>
  <si>
    <t>WOS:000426943900061</t>
  </si>
  <si>
    <t>Domuschieva-Rogleva, G; Iancheva, TS</t>
  </si>
  <si>
    <t>Domuschieva-Rogleva, Galina; Iancheva, Tatiana S.</t>
  </si>
  <si>
    <t>Coping strategies for the participants in the Antarctic expedition</t>
  </si>
  <si>
    <t>REVISTA DE PSICOLOGIA DEL DEPORTE</t>
  </si>
  <si>
    <t>Sensation seeking; security need; highly risky activities</t>
  </si>
  <si>
    <t>PERSONALITY; SELF; ENVIRONMENTS</t>
  </si>
  <si>
    <t>The XXV Bulgarian Antarctic expedition on the Livingston isles, which included scientists and alpinists, began in November 2016. The aim of the present research is to study security need and sensation seeking and to find a relation with the participants' preferred coping strategies in highly risky activities in an extreme climatic and social environment. Subject of the study were 21 participants in the Antarctic expedition, mean age 27 and 70. We have used: Security need scale; Scale for assessment of Psychic Instability and Sensation Seeking Scale and the Bulgarian adaptation of Coping Orientations to Problems Experienced scale - COPE 1. Low levels of Security need are established. The leading subscales of the Sensation Seeking Scale are those of sensation seeking, followed by dysfunctional impulsiveness. Functional impulsiveness is characterized with the lowest values. The cognitive engagement coping strategies are the main ones, whereas cognitive and emotional disengagement strategies are the least used. The results from the regression analysis show that the high levels of sensation seeking influence negatively the use of the strategic behavioral disengagement. The present study adds to the understanding the role of security need and sensation seeking being a motivational power of human behavior, which is in the base of the desire to participate in difficult and challenging missions in extreme conditions in highly risky activities.</t>
  </si>
  <si>
    <t>[Domuschieva-Rogleva, Galina; Iancheva, Tatiana S.] Natl Sports Acad, Studentski Grad, Sofia 1700, Bulgaria</t>
  </si>
  <si>
    <t>National Sports Academy - Bulgaria</t>
  </si>
  <si>
    <t>Domuschieva-Rogleva, G (corresponding author), Natl Sports Acad, Studentski Grad, Sofia 1700, Bulgaria.</t>
  </si>
  <si>
    <t>galinarogleva@abv.bg</t>
  </si>
  <si>
    <t>Iancheva, Tatiana/AAT-9078-2020</t>
  </si>
  <si>
    <t>Iancheva, Tatiana/0000-0001-9718-6056</t>
  </si>
  <si>
    <t>UNIV ILLES BALEARS</t>
  </si>
  <si>
    <t>PALMA</t>
  </si>
  <si>
    <t>SERVEI PUBLICACIONS INTERCANVI CIENTIFIC CAS JAI, CAMPUS UNIV, CARRETERA VALLDEMOSSA, K M 7 5, PALMA, ILLES BALEARS 07122, SPAIN</t>
  </si>
  <si>
    <t>1132-239X</t>
  </si>
  <si>
    <t>REV PSICOL DEPORTE</t>
  </si>
  <si>
    <t>Rev. Psicol. Deporte</t>
  </si>
  <si>
    <t>Psychology, Applied</t>
  </si>
  <si>
    <t>Psychology</t>
  </si>
  <si>
    <t>FY5PV</t>
  </si>
  <si>
    <t>WOS:000426887300009</t>
  </si>
  <si>
    <t>Wang, LZ; Macri, LM; Ma, B; Wang, LF; Ashley, MCB; Cui, X; Du, FJ; Fu, JN; Feng, LL; Gong, X; Hu, Y; Li, G; Li, XY; Li, ZY; Lawrence, JS; Luong-Van, D; Pennypacker, CR; Shang, Z; Storey, JWV; Yang, H; Yuan, X; York, DG; Zhou, X; Zhu, ZH; Zhu, ZX; Zhou, JL</t>
  </si>
  <si>
    <t>Catelan, M; Gieren, W</t>
  </si>
  <si>
    <t>Wang, Lingzhi; Macri, L. M.; Ma, B.; Wang, L. F.; Ashley, M. C. B.; Cui, X.; Du, F. J.; Fu, J. N.; Feng, L. L.; Gong, X.; Hu, Y.; Li, G.; Li, X. Y.; Li, Z. Y.; Lawrence, J. S.; Luong-Van, D.; Pennypacker, C. R.; Shang, Z.; Storey, J. W. V.; Yang, H.; Yuan, X.; York, D. G.; Zhou, X.; Zhu, Z. H.; Zhu, Z. X.; Zhou, J. L.</t>
  </si>
  <si>
    <t>Stellar variability from Dome A, Antarctica</t>
  </si>
  <si>
    <t>WIDE-FIELD VARIABILITY SURVEYS: A 21ST CENTURY PERSPECTIVE</t>
  </si>
  <si>
    <t>EPJ Web of Conferences</t>
  </si>
  <si>
    <t>22nd Los Alamos Stellar Pulsation Conference</t>
  </si>
  <si>
    <t>NOV 28-DEC 02, 2016</t>
  </si>
  <si>
    <t>San Pedro de Atacama, CHILE</t>
  </si>
  <si>
    <t>VARIABLE-STARS; PHOTOMETRY</t>
  </si>
  <si>
    <t>The Antarctic plateau is one of the best observing sites on the surface of the Earth thanks to its extremely cold, dry, stable and transparent atmosphere conditions. Various astronomical activities are underway there and the Chinese Center for Antarctic Astronomy (CCAA) is dedicated to developing Antarctic astronomy at the highest point, Dome A or the Chinese Kunlun station. So far a large number of images have been collected from a 14.5-cm quad-telescope called the Chinese Small Telescope AR-ray (CSTAR) and the first two of a trio of 50-cm Antarctic Survey Telescopes (AST3-1 and AST3-2).</t>
  </si>
  <si>
    <t>[Wang, Lingzhi; Ma, B.; Hu, Y.; Zhou, X.] Chinese Acad Sci, Key Lab Opt Astron, Natl Astron Observ, Beijing 100012, Peoples R China; [Wang, Lingzhi] Chinese Acad Sci, South Amer Ctr Astron, China Chile Joint Ctr Astron, Camino El Observ 1515, Santiago, Chile; [Wang, Lingzhi; Ma, B.; Wang, L. F.; Cui, X.; Du, F. J.; Feng, L. L.; Gong, X.; Hu, Y.; Li, X. Y.; Li, Z. Y.; Shang, Z.; Yuan, X.; Zhou, X.; Zhu, Z. X.] Chinese Ctr Antarct Astron, Nanjing 210008, Jiangsu, Peoples R China; [Macri, L. M.; Wang, L. F.] Texas A&amp;M Univ, Mitchell Inst Fundamental Phys &amp; Astron, Dept Phys &amp; Astron, College Stn, TX 77843 USA; [Wang, L. F.; Feng, L. L.; Zhu, Z. H.] Chinese Acad Sci, Purple Mt Observ, Nanjing 210008, Jiangsu, Peoples R China; [Ashley, M. C. B.; Lawrence, J. S.; Luong-Van, D.; Storey, J. W. V.] Univ New South Wales, Sch Phys, Sydney, NSW 2052, Australia; [Cui, X.; Du, F. J.; Gong, X.; Li, X. Y.; Li, Z. Y.; Yuan, X.] Nanjing Inst Astron Opt &amp; Technol, Nanjing 210042, Jiangsu, Peoples R China; [Fu, J. N.; Li, G.; Zhu, Z. H.] Beijing Normal Univ, Dept Astron, Beijing 100875, Peoples R China; [Lawrence, J. S.] Australian Astron Observ, Sydney, NSW 1710, Australia; [Pennypacker, C. R.] Lawrence Berkeley Natl Lab, Ctr Astrophys, Berkeley, CA USA; [Shang, Z.] Tianjin Normal Univ, Tianjin 300074, Peoples R China; [Yang, H.] Polar Res Inst China, Shanghai 200136, Peoples R China; [York, D. G.] Univ Chicago, Dept Astron &amp; Astrophys, Chicago, IL 60637 USA; [York, D. G.] Univ Chicago, Enrico Fermi Inst, Chicago, IL 60637 USA; [Zhou, J. L.] Nanjing Univ, Sch Astron &amp; Space Sci, Nanjing 210093, Jiangsu, Peoples R China; [Zhou, J. L.] Nanjing Univ, Key Lab Modern Astron &amp; Astrophys, Minist Educ, Nanjing 210093, Jiangsu, Peoples R China</t>
  </si>
  <si>
    <t>Chinese Academy of Sciences; National Astronomical Observatory, CAS; Texas A&amp;M University System; Texas A&amp;M University College Station; Purple Mountain Observatory, CAS; Chinese Academy of Sciences; Nanjing Institute of Astronomical Optics &amp; Technology, NAOC, CAS; University of New South Wales Sydney; Chinese Academy of Sciences; Nanjing Institute of Astronomical Optics &amp; Technology, NAOC, CAS; Beijing Normal University; United States Department of Energy (DOE); Lawrence Berkeley National Laboratory; Tianjin Normal University; Polar Research Institute of China; University of Chicago; University of Chicago; Nanjing University; Nanjing University</t>
  </si>
  <si>
    <t>Wang, LZ (corresponding author), Chinese Acad Sci, Key Lab Opt Astron, Natl Astron Observ, Beijing 100012, Peoples R China.;Wang, LZ (corresponding author), Chinese Acad Sci, South Amer Ctr Astron, China Chile Joint Ctr Astron, Camino El Observ 1515, Santiago, Chile.;Wang, LZ (corresponding author), Chinese Ctr Antarct Astron, Nanjing 210008, Jiangsu, Peoples R China.</t>
  </si>
  <si>
    <t>wanglingzhi@bao.ac.cn</t>
  </si>
  <si>
    <t>Ashley, Michael/0000-0003-1412-2028; Wang, Lingzhi/0000-0002-1094-3817; Lawrence, Jon/0000-0002-6998-6993</t>
  </si>
  <si>
    <t>NSFC [11303041]; 973 Program [2013CB834901, 2013CB834900, 2013CB834903, CHINARE2016-02-03-05]; Chinese Academy of Sciences (CAS)</t>
  </si>
  <si>
    <t>NSFC(National Natural Science Foundation of China (NSFC)); 973 Program(National Basic Research Program of China); Chinese Academy of Sciences (CAS)(Chinese Academy of Sciences)</t>
  </si>
  <si>
    <t>We thank NSFC grant 11303041, 973 Program (through grant Nos. 2013CB834901, 2013CB834900, 2013CB834903), CHINARE2016-02-03-05, the great efforts made by the 24-32th Dome A expedition teams, who provided invaluable assistance to the astronomers that set up and maintained the AST3 and the PLATO-A system, and the Chinese Academy of Sciences (CAS), through a grant to the CAS South America Center for Astronomy (CASSACA) in Santiago, Chile.</t>
  </si>
  <si>
    <t>E D P SCIENCES</t>
  </si>
  <si>
    <t>CEDEX A</t>
  </si>
  <si>
    <t>17 AVE DU HOGGAR PARC D ACTIVITES COUTABOEUF BP 112, F-91944 CEDEX A, FRANCE</t>
  </si>
  <si>
    <t>2100-014X</t>
  </si>
  <si>
    <t>978-2-7598-9024-8</t>
  </si>
  <si>
    <t>EPJ WEB CONF</t>
  </si>
  <si>
    <t>10.1051/epjconf/201715202010</t>
  </si>
  <si>
    <t>BJ6EZ</t>
  </si>
  <si>
    <t>WOS:000426610100037</t>
  </si>
  <si>
    <t>Sopher, A; Shoop, S</t>
  </si>
  <si>
    <t>Zufelt, JE</t>
  </si>
  <si>
    <t>Sopher, Ariana; Shoop, Sally</t>
  </si>
  <si>
    <t>Stress Analysis of the Phoenix Compacted Snow Runway to Support Wheeled Aircraft</t>
  </si>
  <si>
    <t>CONGRESS ON TECHNICAL ADVANCEMENT 2017: COLD REGIONS ENGINEERING</t>
  </si>
  <si>
    <t>17th International Conference on Cold Regions Engineering at the 1st Congress on Technical Advancement</t>
  </si>
  <si>
    <t>SEP 10-13, 2017</t>
  </si>
  <si>
    <t>Duluth, MN</t>
  </si>
  <si>
    <t>Landing wheeled aircraft on snow runways is uncommon and minimally documented. This report describes the modeling used to evaluate design and construction of the new compacted-snow Phoenix runway in Antarctica for the first wheeled C17 aircraft landing. Snow density from the target design and snow density of the as-built Phoenix runway structure were used to determine basic elastic parameters for use in Layered Elastic Analysis Formulation (LEAF). LEAF is part of a software package developed by the Federal Aviation Administration (FAA) that allows for forward calculation of runway stress, strain, displacement, and associated principal stress and strain based on design aircraft loading. Stress responses for the Phoenix runway were modeled for the C17, A319, and B757 aircraft. Two construction vehicles were also modeled for comparison. Results show the comparison of the stress profiles and effect of subgrade stiffness on stresses in the layers just above the subgrade. This is the first time the model was used for a snow runway and it provided valuable insight for design, construction and runway performance for the first landing of the C17 on compacted snow. The model is flexible enough for simulating additional aircraft that might use the runway in the future. The successful construction and use of the new compacted-snow Phoenix runway is significant and demonstrates the heaviest wheeled aircraft (C17) operating on a compacted snow runway, ever.</t>
  </si>
  <si>
    <t>[Sopher, Ariana; Shoop, Sally] Cold Reg Res &amp; Engn Lab, 72 Lyme Rd, Hanover, NH 03755 USA</t>
  </si>
  <si>
    <t>United States Department of Defense; United States Army; U.S. Army Corps of Engineers; U.S. Army Engineer Research &amp; Development Center (ERDC); Cold Regions Research &amp; Engineering Laboratory (CRREL)</t>
  </si>
  <si>
    <t>Sopher, A (corresponding author), Cold Reg Res &amp; Engn Lab, 72 Lyme Rd, Hanover, NH 03755 USA.</t>
  </si>
  <si>
    <t>Ariana.M.Sopher@erdc.dren.mil; sally.a.shoop@erdc.dren.mil</t>
  </si>
  <si>
    <t>Army Terrestrial Environmental Modeling and Intelligence System - Geospatial Remote Assessment for Ingress Locations (ARTEMIS-GRAIL) project; National Science Foundation (NSF), U.S. Antarctic Program (USAF), Division of Polar Programs (PLR)</t>
  </si>
  <si>
    <t>Army Terrestrial Environmental Modeling and Intelligence System - Geospatial Remote Assessment for Ingress Locations (ARTEMIS-GRAIL) project; National Science Foundation (NSF), U.S. Antarctic Program (USAF), Division of Polar Programs (PLR)(National Science Foundation (NSF)NSF - Directorate for Geosciences (GEO))</t>
  </si>
  <si>
    <t>The density data measured on the Phoenix runway and used for the analysis was collected by Jack Green, ASC, and George Blaisdell and Terry Melendy, CRREL. David Brill, the Program Manager of Airport Pavement and Technology at FAA, provided very helpful feedback on the FAA software. Wendy Wieder, Cindy Voigt, and Zhaohui (Joey) Yang provided helpful review comments. The work was funded by the National Science Foundation (NSF), U.S. Antarctic Program (USAF), Division of Polar Programs (PLR) under technical monitors Margaret Knuth and George Blaisdell; and the Army Terrestrial Environmental Modeling and Intelligence System - Geospatial Remote Assessment for Ingress Locations (ARTEMIS-GRAIL) project under technical monitors Randy Hill and John Eylander. The authors are extremely grateful for these contributions.</t>
  </si>
  <si>
    <t>AMER SOC CIVIL ENGINEERS</t>
  </si>
  <si>
    <t>UNITED ENGINEERING CENTER, 345 E 47TH ST, NEW YORK, NY 10017-2398 USA</t>
  </si>
  <si>
    <t>978-0-7844-8101-1</t>
  </si>
  <si>
    <t>Construction &amp; Building Technology; Engineering, Civil; Materials Science, Multidisciplinary</t>
  </si>
  <si>
    <t>Construction &amp; Building Technology; Engineering; Materials Science</t>
  </si>
  <si>
    <t>BJ6LE</t>
  </si>
  <si>
    <t>WOS:000426801800016</t>
  </si>
  <si>
    <t>Szymczak, E</t>
  </si>
  <si>
    <t>IOP</t>
  </si>
  <si>
    <t>Szymczak, Ewa</t>
  </si>
  <si>
    <t>Particle Size Characteristics of Fluvial Suspended Sediment in Proglacial Streams, King George Island, South Shetland Island</t>
  </si>
  <si>
    <t>WORLD MULTIDISCIPLINARY EARTH SCIENCES SYMPOSIUM (WMESS 2017)</t>
  </si>
  <si>
    <t>IOP Conference Series-Earth and Environmental Science</t>
  </si>
  <si>
    <t>3rd World Multidisciplinary Earth Sciences Symposium (WMESS)</t>
  </si>
  <si>
    <t>Prague, CZECH REPUBLIC</t>
  </si>
  <si>
    <t>In this study, the characterization of particle size distribution of suspended sediment that is transported by streams (Ornithologist Creek, Ecology Glacier Creeks, Petrified Forest Creek, Czech Creek, Vanishing Creek, Italian Creek) in the area of the Arctowski Polish Antarctic Station is presented. During the first period of the summer season, the aforementioned streams are supplied by the melting snow fields, while later on, by thawing permafrost. The water samples were collected from the streams at monthly intervals during the Antarctic summer season (January - March) of 2016. The particle size distribution was measured in the laboratory with a LISST-25X laser diffraction particle size analyser. According to Sequoia Scientific Inc., LISST-25X can measure particle sizes (Sauter Mean Diameter) between 2.50 and 500 mu m. The results of particle size measurements were analysed in relation to flow velocity (0.18-0.89 m/s), the cross-sectional parameters of the streams, suspended sediment concentration (0.06-167.22 mg/dm(3)) and the content of particulate organic matter (9.8-84.85%). Overall, the mean particle size ranged from 28.8 to 136 mu m. The grain size of well-sorted sediments ranged from 0.076 to 0.57, with the skewness and kurtosis values varying from -0.1 to 0.4, and from 0.67 to 1.3, respectively. Based on the particle size characteristics of suspended sediment, the streams were divided into two groups. For most of the streams, the sediment was very well sorted, while fine sand and very fine sand were dominant fractions displaying symmetric and platykurtic distributions, respectively. Only in two streams, the suspended sediment consisted of silt-size grains, well or moderately well sorted, with coarse-skewness and mostly mesokurtic distribution. The C-M chart suggested that the transportation processes of suspended sediment included the suspended mode only. The grain-size distribution of suspended sediment was mainly influenced by the stream runoff, surface sediment type and biological processes.</t>
  </si>
  <si>
    <t>[Szymczak, Ewa] Univ Gdansk, Inst Oceanog, Fac Oceanog &amp; Geog, Dept Marine Geol, Marszalka Pilsudskiego Alley 46, PL-81378 Gdynia, Poland</t>
  </si>
  <si>
    <t>Fahrenheit Universities; University of Gdansk</t>
  </si>
  <si>
    <t>Szymczak, E (corresponding author), Univ Gdansk, Inst Oceanog, Fac Oceanog &amp; Geog, Dept Marine Geol, Marszalka Pilsudskiego Alley 46, PL-81378 Gdynia, Poland.</t>
  </si>
  <si>
    <t>ewa.szymczak@ug.edu.pl</t>
  </si>
  <si>
    <t>Szymczak, Ewa/G-4251-2011</t>
  </si>
  <si>
    <t>Szymczak, Ewa/0000-0002-6169-2464</t>
  </si>
  <si>
    <t>IOP PUBLISHING LTD</t>
  </si>
  <si>
    <t>BRISTOL</t>
  </si>
  <si>
    <t>DIRAC HOUSE, TEMPLE BACK, BRISTOL BS1 6BE, ENGLAND</t>
  </si>
  <si>
    <t>1755-1307</t>
  </si>
  <si>
    <t>IOP C SER EARTH ENV</t>
  </si>
  <si>
    <t>IOP Conf. Ser. Earth Envir. Sci.</t>
  </si>
  <si>
    <t>10.1088/1755-1315/95/2/022015</t>
  </si>
  <si>
    <t>BJ6JN</t>
  </si>
  <si>
    <t>WOS:000426768500015</t>
  </si>
  <si>
    <t>Feldmann, M; Walter, F; Böhm, R</t>
  </si>
  <si>
    <t>Feldmann, Marius; Walter, Felix; Boehm, Ricardo</t>
  </si>
  <si>
    <t>Routing in Ring Road Networks: Leveraging a Spot of Maximum Knowledge</t>
  </si>
  <si>
    <t>2017 IEEE INTERNATIONAL CONFERENCE ON WIRELESS FOR SPACE AND EXTREME ENVIRONMENTS (WISEE)</t>
  </si>
  <si>
    <t>International Conference on Wireless for Space and Extreme Environments</t>
  </si>
  <si>
    <t>IEEE International Conference on Wireless for Space and Extreme Environments (WiSEE)</t>
  </si>
  <si>
    <t>OCT 10-12, 2017</t>
  </si>
  <si>
    <t>Montreal, CANADA</t>
  </si>
  <si>
    <t>The so-called Ring Road approach promises low-cost world-wide communication leveraging low earth orbit satellites. Currently, only few analyses have been conducted which focus on routing in this type of delay- and disruption-tolerant networks. In this contribution we present a novel routing approach. The approach focuses on a solid trade-off between topological and scheduling knowledge in single nodes and the overall routing performance with regard to earliest delivery times. The characteristics of the approach have been analyzed based on several randomly deployed Ring Road scenarios. Furthermore, the approach has been compared to a regular shortest-path routing approach within a realistic simulation setup based on a Ring Road scenario interconnecting ground stations at Arctic and Antarctic locations.</t>
  </si>
  <si>
    <t>[Feldmann, Marius; Walter, Felix; Boehm, Ricardo] Tech Univ Dresden, Fac Comp Sci, Dresden, Germany</t>
  </si>
  <si>
    <t>Technische Universitat Dresden</t>
  </si>
  <si>
    <t>Feldmann, M (corresponding author), Tech Univ Dresden, Fac Comp Sci, Dresden, Germany.</t>
  </si>
  <si>
    <t>mail@marius-feldmann.de; felix.walter@tu-dresden.de; ricardo.boehm@hotmail.com</t>
  </si>
  <si>
    <t>Walter, Felix/0000-0002-4724-8092</t>
  </si>
  <si>
    <t>2380-7636</t>
  </si>
  <si>
    <t>978-1-5386-3318-2</t>
  </si>
  <si>
    <t>INT CONF WIREL SPAC</t>
  </si>
  <si>
    <t>Engineering, Aerospace; Engineering, Electrical &amp; Electronic; Telecommunications</t>
  </si>
  <si>
    <t>BJ6JH</t>
  </si>
  <si>
    <t>WOS:000426731600012</t>
  </si>
  <si>
    <t>Amiri, A; Brennan, PV; Lok, LB</t>
  </si>
  <si>
    <t>Amiri, Amin; Brennan, Paul V.; Lok, Lai Bun</t>
  </si>
  <si>
    <t>Development of a UHF Transponder for Geological Monitoring of Boreholes Drilled through Ice Sheets using phase-sensitive FMCW Radar</t>
  </si>
  <si>
    <t>2017 IEEE MTT-S INTERNATIONAL MICROWAVE SYMPOSIUM (IMS)</t>
  </si>
  <si>
    <t>IEEE MTT-S International Microwave Symposium</t>
  </si>
  <si>
    <t>IEEE-Microwave-Theory-and-Techniques-Society International Microwave Symposium (IMS) / Session on Women in Microwaves (WIM)</t>
  </si>
  <si>
    <t>JUN 04-09, 2017</t>
  </si>
  <si>
    <t>Honolulu, HI</t>
  </si>
  <si>
    <t>frequency modulated continuous wave (FMCW) radar; transponder; folded crossed plate monopole; ultrawide-band (UWB) antenna</t>
  </si>
  <si>
    <t>This paper presents an active UHF transponder designed for geological monitoring of boreholes drilled through ice sheets. It forms part of a phase-sensitive frequency modulated continuous wave (FMCW) radar system to measure the horizontal position of a borehole with depth. To distinguish the transponder response from stationary clutter, the transponder modulates the received signal before re-transmission to the surface radars. The transponder operates from 292 to 492 MHz with a gain around 18 dB. The transponder employs two novel antennas optimized for deployment within a 15 cm diameter borehole. The simulation and indoor laboratory measurement results of the transponder design are presented.</t>
  </si>
  <si>
    <t>[Amiri, Amin; Brennan, Paul V.; Lok, Lai Bun] UCL, Dept Elect &amp; Elect Engn, London, England</t>
  </si>
  <si>
    <t>University of London; University College London</t>
  </si>
  <si>
    <t>Amiri, A (corresponding author), UCL, Dept Elect &amp; Elect Engn, London, England.</t>
  </si>
  <si>
    <t>Lok, Lai Bun/0000-0002-0033-9173</t>
  </si>
  <si>
    <t>UK Natural Environment Research Council [NE/P003281/1]; NERC [NE/P003281/1] Funding Source: UKRI</t>
  </si>
  <si>
    <t>UK Natural Environment Research Council(UK Research &amp; Innovation (UKRI)Natural Environment Research Council (NERC)); NERC(UK Research &amp; Innovation (UKRI)Natural Environment Research Council (NERC))</t>
  </si>
  <si>
    <t>This work was funded by the UK Natural Environment Research Council (Grant Number NE/P003281/1). We thank Drs Keith Nicholls and Hugh Corr of the British Antarctic Survey for their technical support of this research.</t>
  </si>
  <si>
    <t>0149-645X</t>
  </si>
  <si>
    <t>2576-7216</t>
  </si>
  <si>
    <t>978-1-5090-6360-4</t>
  </si>
  <si>
    <t>IEEE MTT S INT MICR</t>
  </si>
  <si>
    <t>BJ4OD</t>
  </si>
  <si>
    <t>Green Submitted, Green Accepted</t>
  </si>
  <si>
    <t>WOS:000425241500470</t>
  </si>
  <si>
    <t>Chen, S; Huang, HL; Li, XY; Li, LZ; Liu, J; Qu, TC; Song, XF</t>
  </si>
  <si>
    <t>Xiao, J; Ke, G; Lunev, S</t>
  </si>
  <si>
    <t>Chen, Shuai; Huang, Hongliang; Li, Xueying; Li, Lingzhi; Liu, Jian; Qu, Taichun; Song, Xuefeng</t>
  </si>
  <si>
    <t>Effects of Cold Storage Environment Change on Antarctic Krill (Euphausia superba) Quality Center</t>
  </si>
  <si>
    <t>PROCEEDINGS OF THE 2017 INTERNATIONAL CONFERENCE ON MATERIAL SCIENCE, ENERGY AND ENVIRONMENTAL ENGINEERING (MSEEE 2017)</t>
  </si>
  <si>
    <t>AER-Advances in Engineering Research</t>
  </si>
  <si>
    <t>International Conference on Material Science, Energy and Environmental Engineering (MSEEE)</t>
  </si>
  <si>
    <t>AUG 26-27, 2017</t>
  </si>
  <si>
    <t>Xian, PEOPLES R CHINA</t>
  </si>
  <si>
    <t>Antarctic krill; quality; Ambient temperature</t>
  </si>
  <si>
    <t>In order to deal with the quality of Antarctic krill during the storage and transportation process caused by the failure of the supply system and the freezing equipment in the process of storage and circulation in the form of frozen products, the project team changed the refrigerated environment to the Antarctic The effect of krill quality was studied. When the ambient temperature increased from -20 degrees C to -12 degrees C, -7 degrees C, -3 degrees C, -1.5 degrees C, 0 degrees C, 1 degrees C, 2.5 degrees C, 4 degrees C, 6 degrees C, 8 degrees C, 12.5 degrees C, 16 degrees C, the Antarctic krill samples for sensory evaluation, pH value, the meat rate and soup turbidity and other quality indicators of the determination. The results show that when the ambient temperature from -20.degrees C up to -1.5 degrees C process, the Antarctic krill soup after cooking is more clear, little change in turbidity, pH quickly increased from 7.60 to 7.85 Antarctic krill muscle elasticity began to change Poor, the sensory quality has begun to change from good to change; when the temperature from -1.5 degrees C to 4 degrees C, the pH value slowly increased, there is a certain fluctuation, may be due to differences in the composition of the various components of the decision, Antarctic krill soup after the soup turbidity quickly increased from 0.5 to 0.7Brix maximum, sensory quality is still at a moderate level; when the temperature rose to 16 degrees C, the pH has risen to 8.05, Antarctic krill Sensory quality from the change into a bad, this time the Antarctic krill has been unable to eat, only as a feed or other use.</t>
  </si>
  <si>
    <t>[Huang, Hongliang] Minist Agr, Key Lab Ocean &amp; Polar Fisheries, Shanghai 200090, Peoples R China; Chinese Acad Fishery Sci, East China Sea Fisheries Res Inst, Shanghai 200090, Peoples R China</t>
  </si>
  <si>
    <t>Ministry of Agriculture &amp; Rural Affairs; Chinese Academy of Fishery Sciences; East China Sea Fisheries Research Institute, CAFS</t>
  </si>
  <si>
    <t>Huang, HL (corresponding author), Minist Agr, Key Lab Ocean &amp; Polar Fisheries, Shanghai 200090, Peoples R China.</t>
  </si>
  <si>
    <t>ecshhl@163.com</t>
  </si>
  <si>
    <t>Li, Lingzhi/K-9055-2016</t>
  </si>
  <si>
    <t>Special Fund for Agro-scientific Research in the Public Interest of China [201203018]; Special Scientific Research Funds for Central Non-profit Institutes (East China Sea Fisheries Research Institute) [2016T02]; Chinese Polar Environment Comprehensive Investigation and Assessment Program - State Oceanic Administration of China [CHINARE2016-01-05-07]</t>
  </si>
  <si>
    <t>Special Fund for Agro-scientific Research in the Public Interest of China; Special Scientific Research Funds for Central Non-profit Institutes (East China Sea Fisheries Research Institute); Chinese Polar Environment Comprehensive Investigation and Assessment Program - State Oceanic Administration of China</t>
  </si>
  <si>
    <t>This work was financially supported by the Special Fund for Agro-scientific Research in the Public Interest of China (No. 201203018), Project NO. 2016T02 Supported by Special Scientific Research Funds for Central Non-profit Institutes (East China Sea Fisheries Research Institute), Chinese Polar Environment Comprehensive Investigation and Assessment Program (Grant no. CHINARE2016-01-05-07) funded by the State Oceanic Administration of China.</t>
  </si>
  <si>
    <t>ATLANTIS PRESS</t>
  </si>
  <si>
    <t>PARIS</t>
  </si>
  <si>
    <t>29 AVENUE LAVMIERE, PARIS, 75019, FRANCE</t>
  </si>
  <si>
    <t>2352-5401</t>
  </si>
  <si>
    <t>978-94-6252-377-7</t>
  </si>
  <si>
    <t>AER ADV ENG RES</t>
  </si>
  <si>
    <t>Energy &amp; Fuels; Engineering, Environmental; Materials Science, Multidisciplinary</t>
  </si>
  <si>
    <t>Energy &amp; Fuels; Engineering; Materials Science</t>
  </si>
  <si>
    <t>BJ6HE</t>
  </si>
  <si>
    <t>WOS:000426684400029</t>
  </si>
  <si>
    <t>Cheng, WF; Zhu, JG; Zhang, SS</t>
  </si>
  <si>
    <t>Yucheng, G</t>
  </si>
  <si>
    <t>Cheng, Wenfang; Zhu, Jiangang; Zhang, Shesheng</t>
  </si>
  <si>
    <t>Study on Water Depth Observation at Chinese CTD Stations in Antarctica Based on Large Deviation Theory</t>
  </si>
  <si>
    <t>2017 16TH INTERNATIONAL SYMPOSIUM ON DISTRIBUTED COMPUTING AND APPLICATIONS TO BUSINESS, ENGINEERING AND SCIENCE (DCABES)</t>
  </si>
  <si>
    <t>International Symposium on Distributed Computing and Applications to Business Engineering &amp; Science</t>
  </si>
  <si>
    <t>16th International Symposium on Distributed Computing and Applications to Business, Engineering and Science (DCABES)</t>
  </si>
  <si>
    <t>OCT 13-19, 2017</t>
  </si>
  <si>
    <t>Anyang, PEOPLES R CHINA</t>
  </si>
  <si>
    <t>Antarctica; observation; time series; large deviation theory; depth difference</t>
  </si>
  <si>
    <t>Antarctic marine environment research is of practical significance because Antarctic marine environment monitoring, control and protection are the important tasks both at home and abroad. In this paper, the large deviation mathematical model of the maximum seawater observation depth at Chinese CTD stations in Antarctica is established, the large deviation calculation principle of maximum seawater observation depth at CTD stations in Antarctica is given, and the optimization algorithm of maximum observation depth of seawater at CTD stations is proposed, the examples are analyzed and calculated, the conclusions suggest that (1) The adverse Antarctic environmental conditions have a significant impact on the measurement accuracy, the deeper the sea water is, the greater the impact will be. (2) The eigenvalue of the high precision observation data can be extracted with a smaller number of measurement times in shallow water. (3) It needs multiple measurements to get a certain accuracy of the eigenvalue in deep water.</t>
  </si>
  <si>
    <t>[Cheng, Wenfang; Zhu, Jiangang] Polar Res Inst China, Shanghai 200136, Peoples R China; [Zhang, Shesheng] Wuhan Univ Technol, Wuhan 430070, Hubei, Peoples R China</t>
  </si>
  <si>
    <t>Polar Research Institute of China; Wuhan University of Technology</t>
  </si>
  <si>
    <t>Cheng, WF (corresponding author), Polar Res Inst China, Shanghai 200136, Peoples R China.</t>
  </si>
  <si>
    <t>chenwenfang@pric.org.cn; sheshengz@qq.com</t>
  </si>
  <si>
    <t>Public Science And Technology Research Funds of Ocean [201405031]</t>
  </si>
  <si>
    <t>Public Science And Technology Research Funds of Ocean</t>
  </si>
  <si>
    <t>This work is supported by Public Science And Technology Research Funds of Ocean (No. 201405031).</t>
  </si>
  <si>
    <t>2379-3724</t>
  </si>
  <si>
    <t>978-1-5386-2162-2</t>
  </si>
  <si>
    <t>INT SYMP DISTR COMPU</t>
  </si>
  <si>
    <t>10.1109/DCABES.2017.33</t>
  </si>
  <si>
    <t>Computer Science, Interdisciplinary Applications; Computer Science, Theory &amp; Methods</t>
  </si>
  <si>
    <t>Computer Science</t>
  </si>
  <si>
    <t>BJ6AT</t>
  </si>
  <si>
    <t>WOS:000426448700027</t>
  </si>
  <si>
    <t>Reed, JA</t>
  </si>
  <si>
    <t>Reed, Jacob A.</t>
  </si>
  <si>
    <t>Cold War Treaties in a New World: The Inevitable End of the Outer Space and Antarctic Treaty Systems</t>
  </si>
  <si>
    <t>AIR &amp; SPACE LAW</t>
  </si>
  <si>
    <t>The Outer Space Treaty regime faces significant obstacles as Member States push against the rules governing military activities and economic exploration in space. These obstacles could lead to the ultimate collapse of the Outer Space Treaty system. While significant, these issues are not unique - the Antarctic Treaty System faces several of the same issues with the same potential result. This article presents a thematic comparison of the treaties and their respective rules, including their treatment of military activities, the appropriation of territory, transparency and mutual observation, and dispute settlement. The article culminates in an analysis of the obstacles facing both treaty systems and the geopolitical scenarios that could destroy one or both treaty regimes in the near future. These obstacles include military conflict and competing territorial claims, as well as growing private interest in the economic possibilities available in both outer space and Antarctica. By comparing the two treaty systems, analysts can better understand the fault lines of these treaties and how lessons learned from one treaty can be used to better analyse the other. Thus in alternate uproar and sad peace, Amazed were those Titans utterly.(1)</t>
  </si>
  <si>
    <t>[Reed, Jacob A.] Georgetown Univ, Law Ctr, Washington, DC 20057 USA; [Reed, Jacob A.] US Cryptol Natl Intelligence Officer Africa, Bloomsburg, PA 17839 USA</t>
  </si>
  <si>
    <t>Georgetown University</t>
  </si>
  <si>
    <t>Reed, JA (corresponding author), Georgetown Univ, Law Ctr, Washington, DC 20057 USA.;Reed, JA (corresponding author), US Cryptol Natl Intelligence Officer Africa, Bloomsburg, PA 17839 USA.</t>
  </si>
  <si>
    <t>jar303@law.georgetown.edu</t>
  </si>
  <si>
    <t>KLUWER LAW INT</t>
  </si>
  <si>
    <t>ALPHEN AAN DEN RIJN</t>
  </si>
  <si>
    <t>ZUIDPOOLSINGEL 2, PO BOX 316, 2400 AH ALPHEN AAN DEN RIJN, NETHERLANDS</t>
  </si>
  <si>
    <t>0927-3379</t>
  </si>
  <si>
    <t>1875-8339</t>
  </si>
  <si>
    <t>AIR SPACE LAW</t>
  </si>
  <si>
    <t>Air Space Law</t>
  </si>
  <si>
    <t>4-5</t>
  </si>
  <si>
    <t>Law</t>
  </si>
  <si>
    <t>Government &amp; Law</t>
  </si>
  <si>
    <t>FX6CM</t>
  </si>
  <si>
    <t>WOS:000426169900005</t>
  </si>
  <si>
    <t>Gong, CL; Zhang, WQ; Zhang, SM; Fan, W; Luo, LC; Hu, Y</t>
  </si>
  <si>
    <t>Jiang, Y; Gong, H; Chen, W; Li, J</t>
  </si>
  <si>
    <t>Gong, Cailan; Zhang, Wenqi; Zhang, Shengmao; Fan, Wei; Luo, Licheng; Hu, Yong</t>
  </si>
  <si>
    <t>Sea ice features extraction near the South Shetland Islands with Sentinel-1 SAR data</t>
  </si>
  <si>
    <t>AOPC 2017: OPTICAL SENSING AND IMAGING TECHNOLOGY AND APPLICATIONS</t>
  </si>
  <si>
    <t>Annual Conference of the Chinese-Society-for-Optical-Engineering (CSOE) on Applied Optics and Photonics China (AOPC) - Optical Sensing and Imaging Technology and Applications</t>
  </si>
  <si>
    <t>JUN 04-06, 2017</t>
  </si>
  <si>
    <t>Beijing, PEOPLES R CHINA</t>
  </si>
  <si>
    <t>SAR imaging preprocessing; Sentinel-1; Sea ice feature extraction; South Shetland Islands adjacent sea area</t>
  </si>
  <si>
    <t>SYNTHETIC-APERTURE RADAR</t>
  </si>
  <si>
    <t>Antarctic sea ice is a sensitive factor to global climate changing. Study the sea ice changing laws is useful to choose the safe routes for the scientific investigation and merchant ships. South Shetland Islands adjacent sea is an important krill fishing area, it could be beneficial to choose the suitable days and routes to know the sea ice distribution and moving features in fishing seasons in advance. SAR data has the advantage of better penetrating ability than visible and infrared bands remote sensing data, they are more suitable to detect Antarctic sea ice than optical remote sensing data. A series of imagery pre-processing steps were carried out, including heat noise removing, radiometric calibration, speckle filtering, geo-coding, projection transformation, subarea clipping. Threshold method was carried out to detect sea ice, and 24 sea ice distribution maps were gotten from December 2015 to February 2016. Then sea ice concentration were calculated based on the sea ice extraction results maps, and sea ice changing law were analyzed in the South Shetland Islands adjacent sea area. Multi-polarization SAR data is more beneficial to improve the sea ice detection accuracy in the Antarctic sea area.</t>
  </si>
  <si>
    <t>[Zhang, Shengmao; Fan, Wei] Chinese Acad Fishery Sci, East China Sea Fisheries Res Inst, Shanghai 200090, Peoples R China; [Gong, Cailan; Zhang, Wenqi; Luo, Licheng; Hu, Yong] Shanghai Inst Tech Phys, CAS Key Lab Infrared Syst Detect &amp; Imaging Techn, Shanghai 200083, Peoples R China; [Zhang, Wenqi; Luo, Licheng] Univ Chinese Acad Sci, Beijing 100049, Peoples R China</t>
  </si>
  <si>
    <t>Chinese Academy of Fishery Sciences; East China Sea Fisheries Research Institute, CAFS; Shanghai Institute of Technical Physics, CAS; Chinese Academy of Sciences; Chinese Academy of Sciences; University of Chinese Academy of Sciences, CAS</t>
  </si>
  <si>
    <t>Gong, CL (corresponding author), Shanghai Inst Tech Phys, CAS Key Lab Infrared Syst Detect &amp; Imaging Techn, Shanghai 200083, Peoples R China.</t>
  </si>
  <si>
    <t>gclsxw@163.com; 841302701@qq.com; ryshengmao@126.com; fanwee@126.com; whullc@163.com; huyong@mail.sitp.ac.cn</t>
  </si>
  <si>
    <t>zhang, shengmao/A-3630-2011</t>
  </si>
  <si>
    <t>Chinese Ministry of Agriculture [201203018]; Antarctic marine biological resources development and utilization special project</t>
  </si>
  <si>
    <t>Chinese Ministry of Agriculture(Ministry of Agriculture &amp; Rural Affairs); Antarctic marine biological resources development and utilization special project</t>
  </si>
  <si>
    <t>This work was funded by the Chinese Ministry of Agriculture nonprofit industry research and special project No. 201203018, and the Antarctic marine biological resources development and utilization special project from 2010 to 2017.</t>
  </si>
  <si>
    <t>978-1-5106-1406-2; 978-1-5106-1405-5</t>
  </si>
  <si>
    <t>UNSP 104620T</t>
  </si>
  <si>
    <t>10.1117/12.2282826</t>
  </si>
  <si>
    <t>Remote Sensing; Optics; Imaging Science &amp; Photographic Technology</t>
  </si>
  <si>
    <t>BJ4UM</t>
  </si>
  <si>
    <t>WOS:000425515000028</t>
  </si>
  <si>
    <t>Damsgaard, A; Cabrales-Vargas, A; Suckale, J; Goren, L</t>
  </si>
  <si>
    <t>Vandamme, M; Dangla, P; Pereira, JM; Ghabezloo, S</t>
  </si>
  <si>
    <t>Damsgaard, A.; Cabrales-Vargas, A.; Suckale, J.; Goren, L.</t>
  </si>
  <si>
    <t>The coupled dynamics of meltwater percolation and granular deformation in the sediment layer underlying parts of the big ice sheets</t>
  </si>
  <si>
    <t>POROMECHANICS VI: PROCEEDINGS OF THE SIXTH BIOT CONFERENCE ON POROMECHANICS</t>
  </si>
  <si>
    <t>6th Biot Conference on Poromechanics</t>
  </si>
  <si>
    <t>JUL 09-13, 2017</t>
  </si>
  <si>
    <t>Paris, FRANCE</t>
  </si>
  <si>
    <t>WEST ANTARCTICA; STREAM B; FLOW; WIDESPREAD; MARGINS</t>
  </si>
  <si>
    <t>Ice streams are corridors of fast flowing ice that drain the interiors of the large Antarctic and Greenlandic ice sheets. The abrupt transition from the fast flowing ice of the streams to the almost stagnant ice to their side occurs along narrow shear margins, which experience intense internal deformation. This deformation can lead to warming and weakening of the ice, which makes shear margins prone to migration. Previous studies have suggested that efficient drainage of meltwater at the interface between the ice and the underlying weak sediment layer might control the stability of shear margins. However, weak sediment deformation is expected to be tightly coupled to meltwater drainage, and therefore the feedbacks between them are likely of great importance for ice stream stability, while they remain little understood. Here, we use a 3D model to capture the dynamic interactions between meltwater percolation and granular deformation. We solve for the granular mechanics using a discrete element algorithm, and compute the flow in the deforming porous media on a superimposed Eulerian grid. The model intends to represent the upper portion of the weak and unconsolidated sediment layer directly beneath the ice in the shear margin. We use it to study (1) how spatial variations in the shearing velocity affect meltwater percolation, and (2) to what degree the till grains are stable in the presence of horizontal gradients in water pressure. Our simulation results show that horizontal variations in shear velocity enhance the local porosity and permeability, leading to a potentially significant increase in the horizontal water transmissivity. Results further demonstrate that grain stability depends on the magnitude of the horizontal pressure gradient, and cascading events of grain mobilization precede bulk instability flows.</t>
  </si>
  <si>
    <t>[Damsgaard, A.] Univ Calif San Diego, Scripps Inst Oceanog, Inst Geophys &amp; Planetary Phys, 9500 Gilman Dr, La Jolla, CA 92093 USA; [Cabrales-Vargas, A.; Suckale, J.] Stanford Univ, Dept Geophys, Stanford, CA 94305 USA; [Cabrales-Vargas, A.; Suckale, J.] Stanford Univ, Inst Computat &amp; Math Engn, Stanford, CA 94305 USA; [Goren, L.] Ben Gurion Univ Negev, Geol &amp; Environm Sci, Beer Sheva, Israel</t>
  </si>
  <si>
    <t>University of California System; University of California San Diego; Scripps Institution of Oceanography; Stanford University; Stanford University; Ben Gurion University</t>
  </si>
  <si>
    <t>Damsgaard, A (corresponding author), Univ Calif San Diego, Scripps Inst Oceanog, Inst Geophys &amp; Planetary Phys, 9500 Gilman Dr, La Jolla, CA 92093 USA.</t>
  </si>
  <si>
    <t>adamsgaard@ucsd.edu</t>
  </si>
  <si>
    <t>Damsgaard, Anders/ABA-3996-2021</t>
  </si>
  <si>
    <t>Damsgaard, Anders/0000-0002-9284-1709</t>
  </si>
  <si>
    <t>978-0-7844-8077-9</t>
  </si>
  <si>
    <t>Engineering, Multidisciplinary; Materials Science, Multidisciplinary; Physics, Applied</t>
  </si>
  <si>
    <t>Engineering; Materials Science; Physics</t>
  </si>
  <si>
    <t>BJ5RL</t>
  </si>
  <si>
    <t>WOS:000426216300024</t>
  </si>
  <si>
    <t>Iliev, DM; Mitev, MG; Gourev, VN</t>
  </si>
  <si>
    <t>Iliev, Dian Milchev; Mitev, Mityo Georgiev; Gourev, Vassil Nikolov</t>
  </si>
  <si>
    <t>Design of Strain Gauge Anemometer for Work in Antarctic Conditions</t>
  </si>
  <si>
    <t>2017 XXVI INTERNATIONAL SCIENTIFIC CONFERENCE ELECTRONICS (ET)</t>
  </si>
  <si>
    <t>26th International Scientific Conference on Electronics (ET)</t>
  </si>
  <si>
    <t>SEP 13-15, 2017</t>
  </si>
  <si>
    <t>Sozopol, BULGARIA</t>
  </si>
  <si>
    <t>Strain Gauge Anemometer; Wind Speed; Wind Direction; Weather Station; Ultra-Low Power Management; Self-Monitoring; Dynamically Reconfigurable; Global Warming; Data Acquisition.</t>
  </si>
  <si>
    <t>This paper describes the design of anemometric device based on strain gauge sensors. The device relies on an ultra-low power micro architecture and adaptive power distribution mechanism. It is dynamically reconfigurable for working in real time transfer slave mode; and ultra-low power, fully autonomous, self-monitoring, long-term measurement mode. For convenience the collected data of the environmental parameters could be initially analyzed and visualized by specialized master system and end-user software tools.</t>
  </si>
  <si>
    <t>[Iliev, Dian Milchev; Mitev, Mityo Georgiev] Tech Univ Sofia, Dept Elect &amp; Elect Technol, Fac Elect Engn &amp; Technol, 8 Kl Ohridski Blvd, Sofia 1000, Bulgaria; [Gourev, Vassil Nikolov] Sofia Univ St Kliment Ohridski, Fac Phys, 5 J Bouchier Blvd, Sofia 1164, Bulgaria</t>
  </si>
  <si>
    <t>Technical University Sofia; University of Sofia</t>
  </si>
  <si>
    <t>Iliev, DM (corresponding author), Tech Univ Sofia, Dept Elect &amp; Elect Technol, Fac Elect Engn &amp; Technol, 8 Kl Ohridski Blvd, Sofia 1000, Bulgaria.</t>
  </si>
  <si>
    <t>d.m.iliev@gmail.com; mitev@ecad.tu-sofia.bg; gourev@phys.uni-sofia.bg</t>
  </si>
  <si>
    <t>Bulgarian National Science Fund [02/11/2014]</t>
  </si>
  <si>
    <t>Bulgarian National Science Fund(National Science Fund of Bulgaria)</t>
  </si>
  <si>
    <t>The present research is supported by the Bulgarian National Science Fund under Contract 02/11/2014.</t>
  </si>
  <si>
    <t>978-1-5386-1753-3</t>
  </si>
  <si>
    <t>Computer Science, Theory &amp; Methods; Engineering, Electrical &amp; Electronic</t>
  </si>
  <si>
    <t>Computer Science; Engineering</t>
  </si>
  <si>
    <t>BJ5FX</t>
  </si>
  <si>
    <t>WOS:000425865800019</t>
  </si>
  <si>
    <t>Rice, J; Marschoff, E</t>
  </si>
  <si>
    <t>Inniss, L; Simcock, A</t>
  </si>
  <si>
    <t>United Nat</t>
  </si>
  <si>
    <t>Rice, Jake; Marschoff, Enrique</t>
  </si>
  <si>
    <t>High-Latitude Ice and the Biodiversity Dependent on it</t>
  </si>
  <si>
    <t>FIRST GLOBAL INTEGRATED MARINE ASSESSMENT: WORLD OCEAN ASSESSMENT I</t>
  </si>
  <si>
    <t>GULL PAGOPHILA-EBURNEA; ANTARCTIC SEA-ICE; LIFE; PHYTOPLANKTON; DYNAMICS; NITROGEN; SHELF</t>
  </si>
  <si>
    <t>978-1-316-64915-2; 978-1-316-51001-8</t>
  </si>
  <si>
    <t>10.1017/9781108186148</t>
  </si>
  <si>
    <t>Biodiversity Conservation; Environmental Sciences; Environmental Studies; Marine &amp; Freshwater Biology; Oceanography</t>
  </si>
  <si>
    <t>Biodiversity &amp; Conservation; Environmental Sciences &amp; Ecology; Marine &amp; Freshwater Biology; Oceanography</t>
  </si>
  <si>
    <t>BJ4HH</t>
  </si>
  <si>
    <t>WOS:000425033100056</t>
  </si>
  <si>
    <t>Rojas-Zamorano, C; Maier, E; Arigony-Neto, J; Espinoza, J; Jaña, R; González, I</t>
  </si>
  <si>
    <t>Rojas-Zamorano, C.; Maier, E.; Arigony-Neto, J.; Espinoza, J.; Jana, R.; Gonzalez, I.</t>
  </si>
  <si>
    <t>Analysis of snow surface dynamics in the Darwin mountain through satellite images optical and its relationship with data climate (2004-2016)</t>
  </si>
  <si>
    <t>2017 FIRST IEEE INTERNATIONAL SYMPOSIUM OF GEOSCIENCE AND REMOTE SENSING (GRSS-CHILE)</t>
  </si>
  <si>
    <t>Portuguese</t>
  </si>
  <si>
    <t>1st IEEE International Symposium on Geoscience and Remote Sensing (GRSS-CHILE)</t>
  </si>
  <si>
    <t>JUN 15-16, 2017</t>
  </si>
  <si>
    <t>Univ Austral, Valdivia, CHILE</t>
  </si>
  <si>
    <t>Univ Austral</t>
  </si>
  <si>
    <t>Climate reanalysis data; Darwin mountain; remote sensing; snow surface</t>
  </si>
  <si>
    <t>The characterization of snow surface is essential to understand the Cryosphere dynamics of the Southern Patagonia of Chile. It becomes more important when we consider that is an area of difficult access due to its geography and extreme climatic conditions. Through the processing of orbitals images from sensors TM and OLI/TIRS, present on LANDSAT 5 and 8, respectively, and their subsequent classification by an algorithm of Maximum Likelihood Supervised Classification (CSMV) and an application of the threshold to Normalized-Difference Snow Index (NDSI), were obtained for each category binary maps with classes 1 (snow) and 0 (not snow). Images were vectorized and then areas corresponding to the snow cover, in square kilometers (2), were calculated. The variation of snow cover was correlated to precipitation and temperature data (reanalysis II NCEP/NCAR) and with Oceanic Nino Index and Antarctic Oscillation Index. The variation of snow cover indicates a decline over the study period (June 2004 to June 2016), what could be associated with global warming or remote influence, for example, ENSO and Antarctic Oscillation. But there is no homogeneous pattern of cause and consequence between snow cover variations and remote phenomenon's occurrence.</t>
  </si>
  <si>
    <t>[Rojas-Zamorano, C.; Maier, E.] Univ Fed Rio Grande FURG, Inst Ciencias Humanas &amp; Informacao, Rio Grande, Brazil; [Arigony-Neto, J.] Univ Fed Rio Grande FURG, Inst Oceanog, Rio Grande, Brazil; [Espinoza, J.] Inst Fed Educ Ciencia &amp; Tecnol Rio Grande Sul IFR, Bento Goncalves, Brazil; [Jana, R.] Inst Antartico Chileno INACH, Punta Arenas, Chile; [Gonzalez, I.] Ctr Estudios Cuaternario CEQUA, Rio Grande, Brazil</t>
  </si>
  <si>
    <t>Universidade Federal do Rio Grande; Universidade Federal do Rio Grande</t>
  </si>
  <si>
    <t>Rojas-Zamorano, C (corresponding author), Univ Fed Rio Grande FURG, Inst Ciencias Humanas &amp; Informacao, Rio Grande, Brazil.</t>
  </si>
  <si>
    <t>Jaña, Ricardo A/D-7543-2013; Jaña, Ricardo/AAR-1225-2020</t>
  </si>
  <si>
    <t>Jaña, Ricardo/0000-0003-3319-1168</t>
  </si>
  <si>
    <t>978-1-5386-0740-4</t>
  </si>
  <si>
    <t>BJ4NH</t>
  </si>
  <si>
    <t>WOS:000425214700004</t>
  </si>
  <si>
    <t>Ugalde, F; Marangunic, C; Casassa, G</t>
  </si>
  <si>
    <t>Ugalde, Felipe; Marangunic, Cedomir; Casassa, Gino</t>
  </si>
  <si>
    <t>Ice thickness changes at Aparejo Glacier in central Chile from interferometric satellite data</t>
  </si>
  <si>
    <t>Glacier; satellite interferometry; GNSS (Global Navigation Satellite System); Digital Elevation Model (DEM)</t>
  </si>
  <si>
    <t>We present ice thickness changes at Aparejo Glacier after its catastrophic slide in the Yeso River valley, central Chile (S 33 degrees 33,62'/W 70 degrees 00,11'), which took place on March 1st, 1980. The glacier has subsequently recovered partially by natural regeneration. Using available ALOS PALSAR and SRTM data, an estimation of thickness changes on the glacier has been computed, comparing the satellite information with a ground GNSS dataset. An average glacier thinning of -0.6 m/y was obtained when comparing the ALOS PALSAR-SRTM dataset for the period 2008-2000, while an average of -0,3 m/y resulted for the GNSS-ALOS comparison for the period 2015-2000. The ice thickness loss obtained for the entire glacier allows us to estimate as very unlikely the risk associated to a new catastrophic slide. The use of open-access interferometric satellite data is a robust means for understanding the present state of mountain glaciers.</t>
  </si>
  <si>
    <t>[Ugalde, Felipe; Marangunic, Cedomir; Casassa, Gino] Geoestudios, San Jose De Maipo, Chile; [Casassa, Gino] Univ Magallanes, Direct Antarctic Program, Punta Arenas, Chile; [Casassa, Gino] Univ Magallanes, Direct Subantarctic Program, Punta Arenas, Chile</t>
  </si>
  <si>
    <t>Universidad de Magallanes; Universidad de Magallanes</t>
  </si>
  <si>
    <t>Ugalde, F (corresponding author), Geoestudios, San Jose De Maipo, Chile.</t>
  </si>
  <si>
    <t>fugalde@geoestudios.cl; cmarangunic@geoestudios.cl; gino.casassa@gmail.com</t>
  </si>
  <si>
    <t>Casassa, Gino/AAX-6142-2020</t>
  </si>
  <si>
    <t>Geoestudios; FONDECYT [1161130]</t>
  </si>
  <si>
    <t>Geoestudios; FONDECYT(Comision Nacional de Investigacion Cientifica y Tecnologica (CONICYT)CONICYT FONDECYT)</t>
  </si>
  <si>
    <t>This work was supported by Geoestudios and FONDECYT Project 1161130.</t>
  </si>
  <si>
    <t>WOS:000425214700017</t>
  </si>
  <si>
    <t>Petlicki, M</t>
  </si>
  <si>
    <t>Petlicki, Michal</t>
  </si>
  <si>
    <t>Inferring Subglacial Topography of the Emerald Icefalls (King George Island, Antarctica) from Ice Surface Terrestrial Laser Scanning</t>
  </si>
  <si>
    <t>Antarctica; cryosphere; glaciology; ice thickness; LiDAR; Terrestrial Laser Scanning</t>
  </si>
  <si>
    <t>MASS-BALANCE; LIVINGSTON ISLAND; GLACIER; CAP; THICKNESS; VOLUME; PENINSULA; GEOMETRY; VELOCITY; GPR</t>
  </si>
  <si>
    <t>Information about ice thickness and subglacial topography is critical for ice dynamics modelling and, consequently, for better understanding of current response of glaciers to climatic forcing. While there is a great progress in measurements of glacial surface, ice thickness measurements have limited coverage and are usually heavily interpolated. Still, there are some areas where typical remote sensing techniques fail because of adverse climatic conditions, mainly persistent cloud cover, and very steep topography. A perfect example of such feature are icefalls dominating landscapes of the maritime Antarctic. In order to close that gap, a simple method based on repeated terrestrial laser scanning of the ice surface is proposed. Based on such measurements, inverse Shallow Ice Approximation ice flow modelling was applied to infer the subglacial topography of the Emerald Icefalls, King George Island. The icefalls were surveyed twice within 8 day period, allowing to perform feature tracking analysis and, hence, to derive surface ice flow velocity field. The measured flow velocities are spatially highly variable, suggesting the existence of four separated trunks. The estimated ice depths are low with the mean value of 30.3 +/- 8.3 m. Therefore, as suggested by previous studies, the overall ice flux of Emerald Icefalls is low despite relatively high surface ice flow velocities.</t>
  </si>
  <si>
    <t>[Petlicki, Michal] Ctr Estudios Cient, Valdivia, Chile; [Petlicki, Michal] Polish Acad Sci, Inst Geophys, Warsaw, Poland</t>
  </si>
  <si>
    <t>Polish Academy of Sciences; Institute of Geophysics of the Polish Academy of Sciences</t>
  </si>
  <si>
    <t>Petlicki, M (corresponding author), Ctr Estudios Cient, Valdivia, Chile.;Petlicki, M (corresponding author), Polish Acad Sci, Inst Geophys, Warsaw, Poland.</t>
  </si>
  <si>
    <t>michal@cecs.cl</t>
  </si>
  <si>
    <t>Petlicki, Michal/GPC-5755-2022; Petlicki, Michal/H-7901-2016</t>
  </si>
  <si>
    <t>Petlicki, Michal/0000-0003-3383-2586</t>
  </si>
  <si>
    <t>Base Finance program of CONICYT, Chile</t>
  </si>
  <si>
    <t>The author would like to thank R.J. Bialik and the staff of the H. Arctowski Polish Antarctic Station for support during field work on King George Island. CECs is funded by the Base Finance program of CONICYT, Chile.</t>
  </si>
  <si>
    <t>WOS:000425214700018</t>
  </si>
  <si>
    <t>Peralta, C; Beriain, E; Iglesias, C; Marangunic, C; Marangunic, A; Casassa, G</t>
  </si>
  <si>
    <t>Peralta, Cristian; Beriain, Eneko; Iglesias, Claudio; Marangunic, Cedomir; Marangunic, Andres; Casassa, Gino</t>
  </si>
  <si>
    <t>Ground topography validation of a high-resolution DEM and orthophotos obtained with a commercial UAS</t>
  </si>
  <si>
    <t>Drone; GNSS (Global Navigation Satellite System); Unmanned Aircraft System (UAS); Digital Elevation; Model (DEM)</t>
  </si>
  <si>
    <t>A commercial Unmanned Aircraft System (UAS) flying at a height above ground of 135 m has been deployed over a 0.5 x 1 km village area at the foothills of the central Andes of Chile in order to obtain a 3D survey map of the area. A high resolution Digital Elevation Model (DEM) was derived from a total of 273 aerial photos by means of the structure from motion software Pix4D. The DEM was georeferenced based on the absolute coordinates of 6 Ground Reference Points (GRPs). Comparison of the DEM elevations with a precise kinematic dual-frequency GNSS ground survey yields a mean height difference of 12 cm and a standard deviation of 5 cm. Planimetric precision of the orthophoto mosaic is in average 1 cm when compared to ground measurements obtained with a tape measure on small-scale landmarks. Comparison of the 3D coordinates of the orthophotos and the DEM with 4 Ground Control Points shows that the horizontal accuracy is better than 5 cm and the vertical accuracy is better than 12 cm. The results confirm that accurate topographic information can be derived from aerial photographs obtained with a drone equipped with a GNSS receiver.</t>
  </si>
  <si>
    <t>[Peralta, Cristian; Beriain, Eneko; Iglesias, Claudio; Marangunic, Cedomir; Marangunic, Andres; Casassa, Gino] Geoestudios, San Jose De Maipo, Chile; [Casassa, Gino] Univ Magallanes, Direct Antarctic Program, Punta Arenas, Chile; [Casassa, Gino] Univ Magallanes, Direct Subantarctic Program, Punta Arenas, Chile</t>
  </si>
  <si>
    <t>Peralta, C (corresponding author), Geoestudios, San Jose De Maipo, Chile.</t>
  </si>
  <si>
    <t>cperalta@geoestudios.cl; eberiain@geoestudios.cl; ciglesias@geoestudios.cl; cmarangunic@geoestudios.cl; amarangunic@geoestudios.cl; gino.casassa@gmail.com</t>
  </si>
  <si>
    <t>Geoestudios</t>
  </si>
  <si>
    <t>This work was supported by Geoestudios.</t>
  </si>
  <si>
    <t>WOS:000425214700021</t>
  </si>
  <si>
    <t>Casassa, LP; Knop, F; Carrasco, J; Casassa, G</t>
  </si>
  <si>
    <t>Casassa, Linus P.; Knop, Frederik; Carrasco, Jorge; Casassa, Gino</t>
  </si>
  <si>
    <t>A low-cost UAS for monitoring vertical wind distribution</t>
  </si>
  <si>
    <t>Drone; GNSS (Global Navigation Satellite System); Unmanned Aircraft System (UAS); pitot; wind</t>
  </si>
  <si>
    <t>A low-cost Unmanned Aircraft System (UAS) has been developed based on commercial off-the-shelf components. The UAS includes a foam flying wing of expanded polypropylene with a 1.8 m wing-span and a total mass of 4 kg. It includes lithium polymer batteries which power a single propeller, resulting in a minimum airborne autonomy of 1 h. Experiments have been performed with a pitot tube to measure wind speed and wind direction on a vertical profile from 100 m a.s.l. to 3500 m a.s.l. A spiral pattern with a 100 m radius was followed on the ascent and descent. Results have been compared with radiosonde data obtained at Santo Domingo station located 80 km to the south. Wind data show a precision better than 1 m/s during the slower ascent stage and results are consistent with radiosonde data obtained 3 hours later at Santo Domingo station.</t>
  </si>
  <si>
    <t>[Casassa, Linus P.; Knop, Frederik] Univ Santiago, Dept Phys, Santiago, Chile; [Carrasco, Jorge; Casassa, Gino] Univ Magallanes, Direct Antarctic Program, Punta Arenas, Chile; [Carrasco, Jorge; Casassa, Gino] Univ Magallanes, Direct Subantarctic Program, Punta Arenas, Chile; [Casassa, Gino] Geoestudios, San Jose De Maipo, Chile</t>
  </si>
  <si>
    <t>Universidad de Santiago de Chile; Universidad de Magallanes; Universidad de Magallanes</t>
  </si>
  <si>
    <t>Casassa, LP (corresponding author), Univ Santiago, Dept Phys, Santiago, Chile.</t>
  </si>
  <si>
    <t>lcasassa@gmail.com; freknop@gmail.com; jorcar59@gmail.com; gino.casassa@gmail.com</t>
  </si>
  <si>
    <t>Carrasco, Jorge/ACG-6766-2022; Carrasco, Jorge/AAC-4799-2021; Casassa, Gino/AAX-6142-2020</t>
  </si>
  <si>
    <t>Carrasco, Jorge/0000-0003-2154-5483; Carrasco, Jorge/0000-0003-2154-5483;</t>
  </si>
  <si>
    <t>FONDEF [ID15I10623]; FONDECYT [1161130]; [Anillo ACT-1410]</t>
  </si>
  <si>
    <t>FONDEF; FONDECYT(Comision Nacional de Investigacion Cientifica y Tecnologica (CONICYT)CONICYT FONDECYT);</t>
  </si>
  <si>
    <t>This work was supported by FONDEF project ID15I10623, FONDECYT project 1161130 and Anillo ACT-1410.</t>
  </si>
  <si>
    <t>WOS:000425214700022</t>
  </si>
  <si>
    <t>Carvallo, R; Llanos, P; Noceti, R; Casassa, G</t>
  </si>
  <si>
    <t>Carvallo, Ruben; Llanos, Pablo; Noceti, Rodrigo; Casassa, Gino</t>
  </si>
  <si>
    <t>Real-time transmission of time-lapse imagery of glaciers in the southern Andes</t>
  </si>
  <si>
    <t>Time-lapse camera; digital photograph; glacier; transmission; Wi-Fi; Raspberry</t>
  </si>
  <si>
    <t>Time-lapse cameras provide valuable imagery for the study of the environment and ecosystems. In the case of glaciers, they can be used to monitor Glacial Lake Outburst Floods (GLOFs), ice calving of tidewater and freshwater fronts, ice velocity, glacier albedo and geometric changes. Custom-made time-lapse cameras from off-the-shelf components have been installed at glacier fronts in Fuego-Patagonia and central Chile for monitoring of albedo, velocity and ice calving. Time-lapse images are generally of high resolution and constitute large data sets which are normally used in post-processing mode, retrieving the imagery in the field every few months or even at a yearly time interval. Real-time availability of the imagery is of high interest in special cases such as early-warning systems, monitoring of large changes which require urgent field measurements, and also for detection of lapse-rate camera failure. We present here a low-cost data transmission system which allows to transmit in real-time full resolution images in a few seconds via 2 GHz and 5 GHz Wi-Fi, with a bandwidth of 80 Mbps. The camera is controlled by a Raspberry Pi single-board computer which is also used to store and transmit the photographs. Technical characteristics are presented, including successful laboratory experiments and future field deployment issues.</t>
  </si>
  <si>
    <t>[Carvallo, Ruben; Llanos, Pablo; Noceti, Rodrigo] Univ Magallanes, Dept Elect, Punta Arenas, Chile; [Casassa, Gino] Geoestudios, San Jose De Maipo, Chile; [Casassa, Gino] Univ Magallanes, Direct Antarctic Program, Punta Arenas, Chile; [Casassa, Gino] Univ Magallanes, Direct Subantarctic Program, Punta Arenas, Chile</t>
  </si>
  <si>
    <t>Universidad de Magallanes; Universidad de Magallanes; Universidad de Magallanes</t>
  </si>
  <si>
    <t>Carvallo, R (corresponding author), Univ Magallanes, Dept Elect, Punta Arenas, Chile.</t>
  </si>
  <si>
    <t>ruben.carvallo@umag.cl; pablo.llanos@live.com; rodrigo.noceti@umag.cl; gino.casassa@gmail.com</t>
  </si>
  <si>
    <t>FONDEF [ID15I10623]; GABY-VASA [CONICYT-BMBF20140052]; FONDECYT [1161130]; Anillo [ACT-1410]</t>
  </si>
  <si>
    <t>FONDEF; GABY-VASA; FONDECYT(Comision Nacional de Investigacion Cientifica y Tecnologica (CONICYT)CONICYT FONDECYT); Anillo(Comision Nacional de Investigacion Cientifica y Tecnologica (CONICYT)CONICYT PIA/ANILLOS)</t>
  </si>
  <si>
    <t>This work was supported by FONDEF project ID15I10623, GABY-VASA project CONICYT-BMBF20140052, FONDECYT project 1161130 and Anillo ACT-1410.</t>
  </si>
  <si>
    <t>WOS:000425214700023</t>
  </si>
  <si>
    <t>Semenets, ES; Svistov, PF; Talash, AS</t>
  </si>
  <si>
    <t>Semenets, Elena S.; Svistov, Petr F.; Talash, Aleksandr S.</t>
  </si>
  <si>
    <t>CHEMICAL COMPOSITION OF ATMOSPHERIC PRECIPITATION IN RUSSIAN SUBARCTIC</t>
  </si>
  <si>
    <t>BULLETIN OF THE TOMSK POLYTECHNIC UNIVERSITY-GEO ASSETS ENGINEERING</t>
  </si>
  <si>
    <t>Natural conditions; precipitation; chemical composition; acidity; envonrment; wet fallout; regional background</t>
  </si>
  <si>
    <t>The relevance of studying chemical composition of atmospheric precipitation is caused by the need to control migration and transformation of pollutants that define the surface load. The aim of the work is to summarize the measurement results of the major and minor ions of precipitation chemical composition in the Russian Polar region in 2007-2015, including the results obtained in the cooperative program of the Arctic and Antarctic Research Institute and the Voeikov Main geophysical observatory at the ice station in 2007-2008. The research methods: theoretical analysis, data comparison. The results. The authors have observed the increased content of heavy metals in precipitation in the Central Arctic. The heavy metal content reached up to 12 % of sum of ions. The maximum acidity was pH=4,7. The received values of heavy metals concentration (except nickel) in the atmospheric precipitation of the ice station didn't exceed background concentrations. The summary. The reasons of the increased content of heavy metals in the atmospheric precipitation remain almost uncertain. it is necessary to organize according to the special program regular observations of acidity and chemical composition of atmospheric precipitation on the water area of the Arctic Ocean. At the same time it is necessary to expand the list of the analyzed components in atmospheric precipitation, included heavy metals in it.</t>
  </si>
  <si>
    <t>[Semenets, Elena S.; Svistov, Petr F.] Voeikov Main Geophys Observ, 7 Karbysheva St, St Petersburg 194021, Russia; [Talash, Aleksandr S.] Natl Crisis Management Ctr, 1 Vatutina St, Moscow 109012, Russia</t>
  </si>
  <si>
    <t>Semenets, ES (corresponding author), Voeikov Main Geophys Observ, 7 Karbysheva St, St Petersburg 194021, Russia.</t>
  </si>
  <si>
    <t>elena573s@yandex.ru; svistov.pf@gmail.com; aleksandr.talash@gmail.com</t>
  </si>
  <si>
    <t>TOMSK POLYTECHNIC UNIV, PUBLISHING HOUSE</t>
  </si>
  <si>
    <t>TOMSK</t>
  </si>
  <si>
    <t>30, LENIN AVE, TOMSK, 634050, RUSSIA</t>
  </si>
  <si>
    <t>2500-1019</t>
  </si>
  <si>
    <t>2413-1830</t>
  </si>
  <si>
    <t>BULL TOMSK POLYTECH</t>
  </si>
  <si>
    <t>Bull. Tomsk Polytech. Univ.-Geo Assets Eng.</t>
  </si>
  <si>
    <t>Engineering, Geological</t>
  </si>
  <si>
    <t>FW8YH</t>
  </si>
  <si>
    <t>WOS:000425622400003</t>
  </si>
  <si>
    <t>de Mello, RM; Leckie, RM; Fraass, AJ; Thomas, E</t>
  </si>
  <si>
    <t>Kaminski, MA; Alegret, L</t>
  </si>
  <si>
    <t>de Mello, Renata Moura; Leckie, R. Mark; Fraass, Andrew J.; Thomas, Ellen</t>
  </si>
  <si>
    <t>Upper Maastrichtian - Eocene benthic foraminiferal biofacies of the Brazilian margin, western South Atlantic</t>
  </si>
  <si>
    <t>PROCEEDINGS OF THE NINTH INTERNATIONAL WORKSHOP ON AGGLUTINATED FORAMINIFERA</t>
  </si>
  <si>
    <t>Grzybowski Foundation Special Publication</t>
  </si>
  <si>
    <t>9th International Workshop on Agglutinated Foraminifera</t>
  </si>
  <si>
    <t>SEP 03-07, 2012</t>
  </si>
  <si>
    <t>Univ Zaragoza, Zaragoza, SPAIN</t>
  </si>
  <si>
    <t>Univ Zaragoza</t>
  </si>
  <si>
    <t>DEEP-SEA; LATE PALEOCENE; NEW-JERSEY; PLANKTONIC-FORAMINIFERA; ANTARCTIC GLACIATION; HEAT-TRANSPORT; OCEAN; WATER; PALEOGENE; CLIMATE</t>
  </si>
  <si>
    <t>Benthic foraminiferal biofacies were delimited for the upper Maastichtian through upper Eocene of five Brazilian marginal basins (Sergipe-Alagoas, Mucuri, Campos, Santos and Pelotas) and two DSDP Sites 356 and 20C of the western South Atlantic. The biofacies were determined based on the benthic foraminiferal assemblages and associated parameters, including percentage of planktic foraminifera (% planktics), lithology, and percentage of radiolarians (% rads). The biofacies show basin-to-basin differences, and are primarily distinguished by the agglutinated/calcareous taxon percentage and the dominant three or four species. Biofacies A is composed of 100% calcareous taxa and dominates in the Eocene. Biofacies B has up to 10% agglutinated taxa and occurs from the middle Paleocene through the upper Eocene. Biofacies C has 11% to 25% agglutinated taxa and is present from the upper Maastrichtian through the upper Eocene. Biofacies D contains a balanced percentage of calcareous and agglutinated taxa (similar to 50% each), and is always associated with Biofacies E in the marginal basins. Biofacies E is dominated by agglutinated taxa, especially tubular forms (Bathysiphon, Nothia, Rhizammina, Psammosiphonella). This biofacies correlates with the so- called flysch-type biofacies of Berggren and Gradstein (1981), and occurs exclusively in the marginal basins from the Maastrichtian through upper Eocene, although it dominates in the Paleocene. The biofacies distribution reveals distinct environmental settings as the Brazilian margin built outwards in response to tectonic activity and increased terrigenous input. The biofacies record a deep-water setting close to or below the calcite compensation depth (CCD) during the Maastrichtian-Paleocene along the entire eastern Brazilian margin. Progradation of the shelf and shoaling of the slope during the Eocene probably is the principal reason for the abrupt change from agglutinant-rich biofacies (E and D) to calcareous-rich biofacies (A, B, and C) in the early Eocene. The Campos Basin continued to record abyssal to lower bathyal conditions while the Sergipe-Alagoas and Mucuri basins shoaled to neritic palaeodepths by the late Eocene. Changes in relative sea level, including a global sea level fall in the late Paleocene followed by global sea level rise in the early Eocene, as well as changes in the position of the CCD along the Brazilian margin affected the development of foraminiferal biofacies in the marginal basins. The distal DSDP sites were at greater palaeodepths than the sites in the marginal basins, but were not below the CCD during the Maastrichtian Eocene and biofacies were dominantly calcareous. We conclude that the CCD was shallower along the productive Brazilian continental than in the pelagic areas due to the greater flux of organic matter.</t>
  </si>
  <si>
    <t>[de Mello, Renata Moura; Leckie, R. Mark] PETROBRAS Res &amp; Dev Ctr, Av Horacio Macedo 950, BR-21941915 Rio De Janeiro, RJ, Brazil; [de Mello, Renata Moura] Univ Massachusetts, Dept Geosci, 611 N Pleasant St, Amherst, MA 01003 USA; [Fraass, Andrew J.] Smithsonian Inst, Natl Museum Nat Hist, Dept Paleobiol, Washington, DC 20560 USA; [Thomas, Ellen] Yale Univ, Dept Geol &amp; Geophys, New Haven, CT 06520 USA</t>
  </si>
  <si>
    <t>Petrobras; University of Massachusetts System; University of Massachusetts Amherst; Smithsonian Institution; Smithsonian National Museum of Natural History; Yale University</t>
  </si>
  <si>
    <t>de Mello, RM (corresponding author), PETROBRAS Res &amp; Dev Ctr, Av Horacio Macedo 950, BR-21941915 Rio De Janeiro, RJ, Brazil.;de Mello, RM (corresponding author), Univ Massachusetts, Dept Geosci, 611 N Pleasant St, Amherst, MA 01003 USA.</t>
  </si>
  <si>
    <t>renatamouramello@yahoo.com.br; mleck-ie@geo.umass.edu; Fraas-sA@si.edu; ellen.thomas@yale.edu</t>
  </si>
  <si>
    <t>Thomas, Ellen/E-5573-2011; de Mello, Renata/HTN-7567-2023; Thomas, Ellen/JVO-1734-2024</t>
  </si>
  <si>
    <t>de Mello, Renata/0009-0003-8142-3522; Thomas, Ellen/0000-0002-7141-9904; Fraass, Andrew/0000-0002-2007-3616</t>
  </si>
  <si>
    <t>GRZYBOWSKI FOUNDATION</t>
  </si>
  <si>
    <t>KRAKOW</t>
  </si>
  <si>
    <t>C/O M A GASINSKI, INST NAUK GEOLOGICZNYCH, UNIWERSYTET JAGIELLONSKI, OLEANDRY 2A, KRAKOW, 30-063, POLAND</t>
  </si>
  <si>
    <t>978-83-941956-1-8</t>
  </si>
  <si>
    <t>GRZYB FOUND SPEC PUB</t>
  </si>
  <si>
    <t>Grzyb. Found. Spec. Publ.</t>
  </si>
  <si>
    <t>BJ4JD</t>
  </si>
  <si>
    <t>WOS:000425069400012</t>
  </si>
  <si>
    <t>Tan, A; Eccleston, K; Platt, I; Woodhead, I; Rack, W; McCulloch, J</t>
  </si>
  <si>
    <t>Tan, Adrian; Eccleston, Kim; Platt, Ian; Woodhead, Ian; Rack, Wolfgang; McCulloch, Josh</t>
  </si>
  <si>
    <t>The Design of a UAV Mounted Snow Depth Radar Results of Measurements on Antarctic Sea Ice</t>
  </si>
  <si>
    <t>2017 IEEE CONFERENCE ON ANTENNA MEASUREMENTS &amp; APPLICATIONS (CAMA)</t>
  </si>
  <si>
    <t>IEEE Conference on Antenna Measurements &amp; Applications</t>
  </si>
  <si>
    <t>IEEE Conference on Antenna Measurements and Applications (CAMA)</t>
  </si>
  <si>
    <t>DEC 04-06, 2017</t>
  </si>
  <si>
    <t>Tsukuba, JAPAN</t>
  </si>
  <si>
    <t>snow depth; sea ice; Antarctica; radar; permittivity; TDR; waveguide</t>
  </si>
  <si>
    <t>WATER</t>
  </si>
  <si>
    <t>During the Antarctic summer of 2016, a series of experiments were undertaken on sea ice at McMurdo Sound to establish the design parameters for a UAV borne snow depth radar. These experiments comprised radar depth measurement at various locations, and measurement of the relative permittivity of snow. The radar design for future UAV mounting is dictated on one hand by dimensional and weight constraints and on the other by frequency range for resolution and loss. Radar measurements show that a compromise between the two requirements leads to an antenna operating over the range 1.5 - 4.5 GHz.</t>
  </si>
  <si>
    <t>[Tan, Adrian; Eccleston, Kim; Platt, Ian; Woodhead, Ian] Lincoln Univ, Lincoln Agritech Ltd, Christchurch, New Zealand; [Rack, Wolfgang; McCulloch, Josh] Univ Canterbury, SERC, Gateway Antarctica, Christchurch, New Zealand</t>
  </si>
  <si>
    <t>Lincoln University - New Zealand; University of Canterbury</t>
  </si>
  <si>
    <t>Tan, A (corresponding author), Lincoln Univ, Lincoln Agritech Ltd, Christchurch, New Zealand.</t>
  </si>
  <si>
    <t>adrian.tan@lincolnagritech.co.nz</t>
  </si>
  <si>
    <t>Rack, Wolfgang/U-8898-2017</t>
  </si>
  <si>
    <t>Rack, Wolfgang/0000-0003-2447-377X; Woodhead, Ian/0000-0002-0282-9811; Eccleston, Kimberley/0000-0003-0113-4265</t>
  </si>
  <si>
    <t>2474-1760</t>
  </si>
  <si>
    <t>978-1-5090-5028-4</t>
  </si>
  <si>
    <t>IEEE C ANTENNA MEAS</t>
  </si>
  <si>
    <t>BJ4OS</t>
  </si>
  <si>
    <t>WOS:000425256200090</t>
  </si>
  <si>
    <t>Witkowski, J; Sims, PA; Williams, DM</t>
  </si>
  <si>
    <t>Witkowski, Jakub; Sims, Patricia A.; Williams, David M.</t>
  </si>
  <si>
    <t>Typification of Eocene-Oligocene diatom taxa proposed by Grove &amp; Sturt (1886-1887) from the Oamaru Diatomite</t>
  </si>
  <si>
    <t>DIATOM RESEARCH</t>
  </si>
  <si>
    <t>Oamaru Diatomite; Eocene-Oligocene; fossil diatoms; Edmund Grove; Gerald Sturt; taxonomy; typification</t>
  </si>
  <si>
    <t>VALVE STRUCTURE; NEW-ZEALAND; GEN. NOV; MARINE; GENERA; OCEAN; SIMS; BACILLARIOPHYCEAE; TRANSITION; ATLANTIC</t>
  </si>
  <si>
    <t>The so-called Oamaru Diatomite dates from approximately the Eocene-Oligocene Transition (approximate to 34 million years ago), which is widely regarded as one of the most important climatic events of the entire Cenozoic era due to global cooling and the onset of continental-scale Antarctic glaciations. It also represents one of the richest fossil diatom deposits ever known and was first made famous owing to a series of diatom papers by Grove &amp; Sturt. Based primarily on the collection of Sturt, supplemented by slides mounted by Grove, all curated in The Natural History Museum, we consider all 108 diatom taxa from the Oamaru Diatomite that were proposed in these seminal papers by Grove &amp; Sturt and designate type specimens for 87 taxa that were not typified by previous workers, and for which nomenclatural types could be established. Light photomicrographs of all specimens interpreted as types are presented next to reproductions of the line drawings from Grove &amp; Sturt publications to aid future workers on the Oamaru Diatomite, and on diatom evolution across this critical climatic phase of the Palaeogene period.</t>
  </si>
  <si>
    <t>[Witkowski, Jakub] Univ Szczecin, Fac Geosci, Stratig &amp; Earth Hist Lab, Geol &amp; Palaeogeog Unit, Szczecin, Poland; [Sims, Patricia A.; Williams, David M.] Nat Hist Museum, Dept Life Sci, London, England</t>
  </si>
  <si>
    <t>University of Szczecin; Natural History Museum London</t>
  </si>
  <si>
    <t>Witkowski, J (corresponding author), Univ Szczecin, Fac Geosci, Stratig &amp; Earth Hist Lab, Geol &amp; Palaeogeog Unit, Szczecin, Poland.</t>
  </si>
  <si>
    <t>jakub.witkowski@usz.edu.pl</t>
  </si>
  <si>
    <t>Witkowski, Jakub/HMD-6743-2023</t>
  </si>
  <si>
    <t>Witkowski, Jakub/0000-0002-5635-7880</t>
  </si>
  <si>
    <t>European Commission Synthesys grant [GB-TAF3498]</t>
  </si>
  <si>
    <t>European Commission Synthesys grant</t>
  </si>
  <si>
    <t>This work was supported by a European Commission Synthesys grant no. GB-TAF3498.</t>
  </si>
  <si>
    <t>0269-249X</t>
  </si>
  <si>
    <t>2159-8347</t>
  </si>
  <si>
    <t>DIATOM RES</t>
  </si>
  <si>
    <t>Diatom Res.</t>
  </si>
  <si>
    <t>10.1080/0269249X.2017.1395366</t>
  </si>
  <si>
    <t>FW9WI</t>
  </si>
  <si>
    <t>WOS:000425688400001</t>
  </si>
  <si>
    <t>Díaz, SCG; Escobar, FJG</t>
  </si>
  <si>
    <t>Gonzalez Diaz, Soledad Carmina; Garrido Escobar, Francisco Javier</t>
  </si>
  <si>
    <t>A re-reading of the chronology of the incas of the Antarctic Miscellany of Miguel Cabello Valboa (1586)</t>
  </si>
  <si>
    <t>COLONIAL LATIN AMERICAN REVIEW</t>
  </si>
  <si>
    <t>INKA</t>
  </si>
  <si>
    <t>[Gonzalez Diaz, Soledad Carmina] Univ Bernardo OHiggins, Ctr Estudios Hist, Santiago, Chile; [Garrido Escobar, Francisco Javier] Museo Nacl Hist Nat, Santiago, Chile</t>
  </si>
  <si>
    <t>Universidad Bernardo O'Higgins</t>
  </si>
  <si>
    <t>Díaz, SCG (corresponding author), Univ Bernardo OHiggins, Ctr Estudios Hist, Santiago, Chile.</t>
  </si>
  <si>
    <t>1060-9164</t>
  </si>
  <si>
    <t>1466-1802</t>
  </si>
  <si>
    <t>COLON LAT AM REV</t>
  </si>
  <si>
    <t>Colon. Lat. Am. Rev.</t>
  </si>
  <si>
    <t>10.1080/10609164.2017.1402230</t>
  </si>
  <si>
    <t>History</t>
  </si>
  <si>
    <t>Arts &amp; Humanities Citation Index (A&amp;HCI)</t>
  </si>
  <si>
    <t>FV1RR</t>
  </si>
  <si>
    <t>WOS:000424342700002</t>
  </si>
  <si>
    <t>Gorshkov, AG; Kustova, OV; Dzyuba, EV; Zakharova, YR; Shishlyannikov, SM; Khutoryanskiy, VA</t>
  </si>
  <si>
    <t>Gorshkov, A. G.; Kustova, O. V.; Dzyuba, E. V.; Zakharova, Yu. R.; Shishlyannikov, S. M.; Khutoryanskiy, V. A.</t>
  </si>
  <si>
    <t>Polychlorinated Biphenyls in Lake Baikal Ecosystem</t>
  </si>
  <si>
    <t>CHEMISTRY FOR SUSTAINABLE DEVELOPMENT</t>
  </si>
  <si>
    <t>PCB; Lake Baikal; monitoring; environmental indicators</t>
  </si>
  <si>
    <t>PERSISTENT ORGANOCHLORINE RESIDUES; DEEP-WATER RENEWAL; ORGANIC POLLUTANTS; TEMPORAL TRENDS; PCBS; FISH; ACCUMULATION; SEDIMENTS; RUSSIA; SOILS</t>
  </si>
  <si>
    <t>The paper gives assessment of the content of polychlorinated biphenyls (PCB) in the upper water layer (5 m) and deep water levels (900-1500 m) of Lake Baikal at the current stage. The total concentrations of PCB congeners (PCB content from 24 to 34 congeners) are varied in a range of 1.4-7.2 ng/dm(3). Domination of tri-, tetra-and pentachlorinated biphenyls in a series of PCB homologs has been observed, which points out at long-range atmospheric transport as a major source of PCB. PCB content in the upper water layer of Lake Baikal is comparable or significantly lower in comparison with that of water in continental world lakes but higher in comparison with Arctic and Antarctic lakes. Commercial fish species omul (C. migratorius Georgi, 1775) were proposed as a biomonitor of PCB in the Baikal ecosystem. By the accumulation level of seven indicator PCB congeners (Nos. 28, 52, 101, 118, 138, 153 and 180 by IUPAC) in omul and bulltrout (Salmo trutta) from highland lakes of South and Central Europe, the amounts of bioavailable PCB in water of these lakes are comparable between each other. The results of approbation of the method for determination of indicator PCB congeners in water and omul samples using Gas Chromatography-Tandem Mass Spectrometry (GC-MS/MS) and isotopically labelled internal standards may form the basis of the modern system of monitoring of persistent organic pollutants in the Baikal ecosystem.</t>
  </si>
  <si>
    <t>[Gorshkov, A. G.; Kustova, O. V.; Dzyuba, E. V.; Zakharova, Yu. R.; Shishlyannikov, S. M.] Russian Acad Sci, Limnol Inst, Siberian Branch, Irkutsk, Russia; [Khutoryanskiy, V. A.] Irkutsk State Univ, Irkutsk, Russia</t>
  </si>
  <si>
    <t>Irkutsk Science Centre of the Russian Academy of Sciences; Russian Academy of Sciences; Limnological Institute SB RAS; Irkutsk State University</t>
  </si>
  <si>
    <t>Gorshkov, AG (corresponding author), Russian Acad Sci, Limnol Inst, Siberian Branch, Irkutsk, Russia.</t>
  </si>
  <si>
    <t>gorchkov_ag@mail.ru</t>
  </si>
  <si>
    <t>Shishlyannikov, Sergey/N-9431-2018; Gorshkov, Alexandre Georgievch/T-7587-2017; Dzyuba, Elena V./J-3287-2018</t>
  </si>
  <si>
    <t>Baikal Analytical Center for Collective Use SB RAS [0345-2014-0007]</t>
  </si>
  <si>
    <t>Baikal Analytical Center for Collective Use SB RAS</t>
  </si>
  <si>
    <t>The work was performed at the Baikal Analytical Center for Collective Use SB RAS in the framework of the basic budget funding (project: No. 0345-2014-0007, state registration No. 01201353446).</t>
  </si>
  <si>
    <t>PUBLISHING HOUSE RUSSIAN ACAD SCIENCES, SIBERIAN BRANCH</t>
  </si>
  <si>
    <t>NOVOSIBIRSK</t>
  </si>
  <si>
    <t>MORSKOI PR 2, A-YA 187, NOVOSIBIRSK, 630090, RUSSIA</t>
  </si>
  <si>
    <t>0869-8538</t>
  </si>
  <si>
    <t>CHEM SUSTAIN DEV</t>
  </si>
  <si>
    <t>Chem. Sustain. Dev.</t>
  </si>
  <si>
    <t>FV3SL</t>
  </si>
  <si>
    <t>WOS:000424489100005</t>
  </si>
  <si>
    <t>Chen, S; Wang, LM; Huang, HL; Zhang, X</t>
  </si>
  <si>
    <t>Chen, Shuai; Wang, Lumin; Huang, Hongliang; Zhang, Xun</t>
  </si>
  <si>
    <t>The Study on Flow Velocity Measurement of Antarctic Krill Trawl Model Experiment in North Bay of South China Sea</t>
  </si>
  <si>
    <t>INTERNATIONAL CONFERENCE ON FLUID MECHANICS AND INDUSTRIAL APPLICATIONS (FMIA 2017)</t>
  </si>
  <si>
    <t>Journal of Physics Conference Series</t>
  </si>
  <si>
    <t>International Conference on Fluid Mechanics and Industrial Applications (FMIA)</t>
  </si>
  <si>
    <t>OCT 21-22, 2017</t>
  </si>
  <si>
    <t>Taiyuan, PEOPLES R CHINA</t>
  </si>
  <si>
    <t>From August 25 to 29, 2014, the project team carried out the experiment of Antarctic krill trawl in the Beihai Bay of the South China Sea. In order to understand the flow field of the network model in the course of the experiment, it is necessary to record the speed of the ship and to grasp the flow field of the ocean. Therefore, the ocean velocity is measured during the experiment. The flow rate in this experiment was measured using an acoustic Doppler flow meter (Vectoring Plus, Nortek, Norway). In order to compensate for the flow rate error caused by ship drift, the drift condition of the ship was also measured by the positioning device (Snapdragon MSM8274AB, Qualcomm, USA) used in the flow rate measurement. The results show that the actual velocity of the target sea area is in the range of 0.06-0.49 m / s and the direction is 216.17-351.70. And compared with the previous research, the influencing factors were analysed. This study proves that it is feasible to use point Doppler flow meter for velocity study in trawl model experiment.</t>
  </si>
  <si>
    <t>yangpu79@hotmail.com</t>
  </si>
  <si>
    <t>National Science and Technology Pillar Program [2013BAD13B03]; Special Scientific Research Funds for Central Non-profit Institutes (East China Sea Fisheries Research Institute) [2016T02]</t>
  </si>
  <si>
    <t>National Science and Technology Pillar Program; Special Scientific Research Funds for Central Non-profit Institutes (East China Sea Fisheries Research Institute)</t>
  </si>
  <si>
    <t>This work was financially supported by the National Science and Technology Pillar Program (2013BAD13B03), Project NO. 2016T02 Supported by Special Scientific Research Funds for Central Non-profit Institutes (East China Sea Fisheries Research Institute)</t>
  </si>
  <si>
    <t>1742-6588</t>
  </si>
  <si>
    <t>1742-6596</t>
  </si>
  <si>
    <t>J PHYS CONF SER</t>
  </si>
  <si>
    <t>10.1088/1742-6596/916/1/012021</t>
  </si>
  <si>
    <t>Engineering, Mechanical; Physics, Applied; Physics, Fluids &amp; Plasmas</t>
  </si>
  <si>
    <t>BJ3NR</t>
  </si>
  <si>
    <t>WOS:000424081500021</t>
  </si>
  <si>
    <t>Sindel, BM; Kristiansen, PE; Wilson, SC; Shaw, JD; Williams, LK</t>
  </si>
  <si>
    <t>Sindel, Brian M.; Kristiansen, Paul E.; Wilson, Susan C.; Shaw, Justine D.; Williams, Laura K.</t>
  </si>
  <si>
    <t>Managing invasive plants on sub-Antarctic Macquarie Island</t>
  </si>
  <si>
    <t>RANGELAND JOURNAL</t>
  </si>
  <si>
    <t>Conference on Restore, Regenerate, Revegetate - Restoring Ecological Processes, Ecosystems and Landscapes in a Changing World</t>
  </si>
  <si>
    <t>FEB 05-09, 2017</t>
  </si>
  <si>
    <t>Univ New England, Armidale, AUSTRALIA</t>
  </si>
  <si>
    <t>Univ New England</t>
  </si>
  <si>
    <t>Cerastium fontanum; eradication; herbicide dynamics; non-native species; Poa annua; rabbits; seed banks; Stellaria media; weeds</t>
  </si>
  <si>
    <t>POA-ANNUA CONTROL; AGROSTIS-STOLONIFERA; CLIMATE-CHANGE; BIOLOGICAL INVASIONS; CREEPING BENTGRASS; VEGETATION CHANGE; COASTAL SLOPES; CANADIAN WEEDS; SEED BANK; SOIL</t>
  </si>
  <si>
    <t>The Antarctic region is one of the most inhospitable frontiers on earth for weed invasion. On Australia's world heritage sub-Antarctic Macquarie Island only three species of invasive weeds are well established (Poa annua L., Stellaria media (L.) Vill. and Cerastium fontanum Baumg.), although isolated occurrences of other species have been found and removed. These weed species are believed to have initially been introduced through human activity, a threat which is likely to increase, although strict biosecurity is in place. All three weeds are palatable and may have been suppressed to some extent by pest herbivore (rabbit) grazing. Given the high conservation value of Macquarie Island and threats to ecosystem structure and function from weed proliferation following rabbit eradication, well targeted invasive plant control management strategies are vital. We propose that a successful restoration program for Australia's most southerly rangeland ecosystem should integrate both control of non-native plants as well as non-native herbivores. Of the non-native plants, S. media may most easily be managed, if not eradicated, because of its more limited distribution. Little, however, is known about the soil seed bank or population dynamics after rabbit eradication, nor the effect of herbicides and non-chemical control methods in cold conditions. A current research project on this non-grass species is helping to fill these knowledge gaps, complementing and building on data collected in an earlier project on the ecology and control of the more widespread invasive grass, P. annua. With an interest in off-target herbicide impacts, our work also includes a study of the movement and fate of herbicides in the cold climate Macquarie Island soils. Research in such a remote, cold, wet and windy place presents a range of logistical challenges. Nevertheless, outcomes are informing the development of effective, low-impact control or eradication options for sub-Antarctic weeds.</t>
  </si>
  <si>
    <t>[Sindel, Brian M.; Kristiansen, Paul E.; Wilson, Susan C.; Williams, Laura K.] Univ New England, Sch Environm &amp; Rural Sci, Dept Agron &amp; Soil Sci, Armidale, NSW 2351, Australia; [Shaw, Justine D.] Univ Queensland, Sch Biol Sci, Ctr Biodivers &amp; Conservat Sci, St Lucia, Qld 4072, Australia</t>
  </si>
  <si>
    <t>University of New England; University of Queensland</t>
  </si>
  <si>
    <t>Sindel, BM (corresponding author), Univ New England, Sch Environm &amp; Rural Sci, Dept Agron &amp; Soil Sci, Armidale, NSW 2351, Australia.</t>
  </si>
  <si>
    <t>bsindel@une.edu.au</t>
  </si>
  <si>
    <t>Kristiansen, Paul/X-6638-2019; Kristiansen, Paul/JDV-9957-2023</t>
  </si>
  <si>
    <t>Kristiansen, Paul/0000-0003-2116-0663; Sindel, Brian/0000-0002-4100-218X; wilson, susan/0000-0002-3409-0847; Shaw, Justine/0000-0002-9603-2271</t>
  </si>
  <si>
    <t>Commonwealth Government of Australia through the Australian Antarctic Division; Australian Antarctic Science program [AAS4158, AAS4341]; University of New England</t>
  </si>
  <si>
    <t>Commonwealth Government of Australia through the Australian Antarctic Division; Australian Antarctic Science program; University of New England</t>
  </si>
  <si>
    <t>This research has been funded by the Commonwealth Government of Australia through the Australian Antarctic Division and its Australian Antarctic Science program (AAS4158 and AAS4341) and the University of New England. We thank Jane Gosden, Karen Ziegler, Dr Luis Rodriguez Pertierra and Dr Alex Fergus for technical and field assistance. We thank Tasmanian Parks and Wildlife for access and scientific permits. The authors declare no conflicts of interest.</t>
  </si>
  <si>
    <t>1036-9872</t>
  </si>
  <si>
    <t>1834-7541</t>
  </si>
  <si>
    <t>RANGELAND J</t>
  </si>
  <si>
    <t>Rangeland J.</t>
  </si>
  <si>
    <t>5-6</t>
  </si>
  <si>
    <t>10.1071/RJ17073</t>
  </si>
  <si>
    <t>FT8KL</t>
  </si>
  <si>
    <t>WOS:000423401600011</t>
  </si>
  <si>
    <t>Richardson, BJ</t>
  </si>
  <si>
    <t>Richardson, Benjamin J.</t>
  </si>
  <si>
    <t>Restoring layered geographies: ecology, society and time</t>
  </si>
  <si>
    <t>GRIFFITH LAW REVIEW</t>
  </si>
  <si>
    <t>Ecological restoration; environmental law</t>
  </si>
  <si>
    <t>RESTORATION; SCIENCE; MANAGEMENT; GOVERNANCE; SPACES</t>
  </si>
  <si>
    <t>Our planet has suffered vast ecological losses, yet the law attaches little priority to restoration of past damage and environmental history. While many jurisdictions have enacted laws for environmental restoration, such as remediation of former mines and cleanup of chemical spills, few focus on regeneration of entire landscapes and ecosystems. However, the rewilding movement and a variety of community-based initiatives are pioneering restoration projects around the world, demonstrating not only benefits to restoration governance but helping communities to become ecologically literate and compassionate about their environs. In legislating new approaches to ecological restoration, governments must embrace these social and temporal layers of our geographies. We should approach ecological restoration as a multi-faceted agenda that includes healing human culture along with healing the natural environment itself.</t>
  </si>
  <si>
    <t>[Richardson, Benjamin J.] Univ Tasmania, Fac Law, Hobart, Tas, Australia; [Richardson, Benjamin J.] Univ Tasmania, Inst Marine &amp; Antarctic Studies, Hobart, Tas, Australia</t>
  </si>
  <si>
    <t>University of Tasmania; University of Tasmania</t>
  </si>
  <si>
    <t>Richardson, BJ (corresponding author), Univ Tasmania, Fac Law, Hobart, Tas, Australia.;Richardson, BJ (corresponding author), Univ Tasmania, Inst Marine &amp; Antarctic Studies, Hobart, Tas, Australia.</t>
  </si>
  <si>
    <t>b.j.richardson@utas.edu.au</t>
  </si>
  <si>
    <t>Richardson, Benjamin J/J-7340-2014</t>
  </si>
  <si>
    <t>1038-3441</t>
  </si>
  <si>
    <t>1839-4205</t>
  </si>
  <si>
    <t>GRIFFITH LAW REV</t>
  </si>
  <si>
    <t>Griffith Law Rev.</t>
  </si>
  <si>
    <t>10.1080/10383441.2017.1348437</t>
  </si>
  <si>
    <t>FU6HA</t>
  </si>
  <si>
    <t>WOS:000423951300002</t>
  </si>
  <si>
    <t>Fan, Y; Li, ZJ; Xue, Y; Hou, H; Xue, CH</t>
  </si>
  <si>
    <t>Fan, Yan; Li, Zhaojie; Xue, Yong; Hou, Hu; Xue, Changhu</t>
  </si>
  <si>
    <t>Identification of volatile compounds in Antarctic krill (Euphausia superba) using headspace solid-phase microextraction and GC-MS</t>
  </si>
  <si>
    <t>INTERNATIONAL JOURNAL OF FOOD PROPERTIES</t>
  </si>
  <si>
    <t>Antarctic krill (Euphausia superba); Flavor; Gas chromatography-mass spectrometry; Solid-phase microextraction; Volatile compounds</t>
  </si>
  <si>
    <t>SEAFOOD FLAVOR FORMULATIONS; SPME; FISH; OPTIMIZATION; EXTRACTION; PROTEIN</t>
  </si>
  <si>
    <t>Antarctic krill (Euphausia superba) has a very high economic value due to its enormous production, higher protein content, and nutritional value. This study presents a detailed optimization of the analysis of volatile flavor compounds from Antarctic krill by combining headspace solid-phase microextraction (HS-SPME) as the extracting method and gas chromatography/mass spectrometry (GC-MS) as the analysis. An optimal solid-phase microextraction (SPME) fiber was selected, and the microextraction conditions were optimized using the response surface method (RSM). The Divinylbenzene/Carboxen/Polydimethylsiloxane (DVB/CAR/PDMS) fiber showed the highest extraction efficiency and was selected for further optimization of extraction temperature, extraction time, and sodium chloride concentration. Forty-two types of volatile substances producing characteristic flavors were detected, seven of which contributed significantly to the flavor of Antarctic krill. Ethers, pyrazine, and aldehyde compounds contribute to the main flavor of Antarctic krill. The compounds 2-ethyl-3, 5-dimethyl-pyrazine, 2, 3, 5-trimethyl-6-ethyl-pyrazine, and 3-ethyl-2, 5-dimethyl- pyrazine produce the roasted flavor and the characteristic nutty odor. Moreover (E, Z)-2, 6-nonadienal adds a cucumber fragrance. The compounds 3-methyl-butanal and 3-methional play an important role in determining the overall flavor.</t>
  </si>
  <si>
    <t>[Fan, Yan; Li, Zhaojie; Xue, Yong; Hou, Hu; Xue, Changhu] Ocean Univ China, Coll Food Sci &amp; Engn, Qingdao 266003, Peoples R China</t>
  </si>
  <si>
    <t>Ocean University of China</t>
  </si>
  <si>
    <t>Hou, H (corresponding author), Ocean Univ China, Coll Food Sci &amp; Engn, Qingdao 266003, Peoples R China.</t>
  </si>
  <si>
    <t>houhu@ouc.edu.cn</t>
  </si>
  <si>
    <t>State Key Program of National Natural Science of China [31330060]; National Natural Science Fund of China [31571865]</t>
  </si>
  <si>
    <t>State Key Program of National Natural Science of China(National Natural Science Foundation of China (NSFC)); National Natural Science Fund of China(National Natural Science Foundation of China (NSFC))</t>
  </si>
  <si>
    <t>This work received financial supports from the project supported by the State Key Program of National Natural Science of China (Grant 31330060) and the National Natural Science Fund of China (Grant 31571865), which is gratefully acknowledged.</t>
  </si>
  <si>
    <t>1094-2912</t>
  </si>
  <si>
    <t>1532-2386</t>
  </si>
  <si>
    <t>INT J FOOD PROP</t>
  </si>
  <si>
    <t>Int. J. Food Prop.</t>
  </si>
  <si>
    <t>S820</t>
  </si>
  <si>
    <t>S829</t>
  </si>
  <si>
    <t>10.1080/10942912.2017.1315589</t>
  </si>
  <si>
    <t>Food Science &amp; Technology</t>
  </si>
  <si>
    <t>FT9YA</t>
  </si>
  <si>
    <t>WOS:000423507200071</t>
  </si>
  <si>
    <t>Liu, F</t>
  </si>
  <si>
    <t>Liu, Fei</t>
  </si>
  <si>
    <t>A worldwide bibliometric analysis of Antarctic krill research during 1960 to 2015</t>
  </si>
  <si>
    <t>CHINESE JOURNAL OF POPULATION RESOURCES AND ENVIRONMENT</t>
  </si>
  <si>
    <t>Antarctic krill; publications; keywords analysis; bibliometric analysis</t>
  </si>
  <si>
    <t>EUPHAUSIA-SUPERBA; OIL; FLUORIDE; GROWTH; ASTAXANTHIN; PERFORMANCE; EXTRACTION; DIETS; MEAL</t>
  </si>
  <si>
    <t>This study conducted a bibliometric analysis of 1251 articles related to Antarctic krill from 1960 to 2015, based on the Core Collection in Thomson Reuters' Web of Science. We analyzed the results from four aspects: annual distribution, Web of Science categories and the major journals, international collaboration and author keywords. The Antarctic krill research has developed rapidly since 1978, with an increasing article output. The studies mostly focused on the fields of marine and freshwater biology, oceanography, and ecology. Polar Biology, Marine Ecology-Progress Series and Deep-Sea Research Part II-Topical Studies in Oceanography, were the top three journals to publish the Antarctic krill-related papers. Although Russia is the earliest state to report Antarctic krill, U.S.A. and England were leaders with the largest output quantity and the highest cooperation frequencies. The researches in PR China have taken a blooming since 2009 and will play a more and more important role in the world. The frequencies of author keywords were counted. The high-frequency keywords were further divided into four groups with cohesive subgroup analysis, which suggested the major themes. This paper depicts the existing publications on Antarctic krill. Our goal is to serve a point of reference and provide the direction for the future work.</t>
  </si>
  <si>
    <t>[Liu, Fei] Beijing Normal Univ, Lib, Beijing 100875, Peoples R China</t>
  </si>
  <si>
    <t>Beijing Normal University</t>
  </si>
  <si>
    <t>Liu, F (corresponding author), Beijing Normal Univ, Lib, Beijing 100875, Peoples R China.</t>
  </si>
  <si>
    <t>liuf@lib.bnu.edu.cn</t>
  </si>
  <si>
    <t>1004-2857</t>
  </si>
  <si>
    <t>2325-4262</t>
  </si>
  <si>
    <t>CHIN J POPUL RESOUR</t>
  </si>
  <si>
    <t>Chin. J. Popul. Resour. Environ.</t>
  </si>
  <si>
    <t>10.1080/10042857.2017.1365453</t>
  </si>
  <si>
    <t>FU5WQ</t>
  </si>
  <si>
    <t>WOS:000423924100009</t>
  </si>
  <si>
    <t>Dimitrova, L; Georgieva, G; Raykova, R; Dimitrov, D; Gurev, V; Solakov, D; Georgiev, I; Raykova, P; Protopopova, V; Aleksandrova, I; Popova, M</t>
  </si>
  <si>
    <t>Dimitrova, Liliya; Georgieva, Gergana; Raykova, Reneta; Dimitrov, Dimitar; Gurev, Vasil; Solakov, Dimcho; Georgiev, Ivan; Raykova, Plamena; Protopopova, Valentina; Aleksandrova, Irena; Popova, Maria</t>
  </si>
  <si>
    <t>EXPLORING SEISMICITY OF LIVINGSTON ISLAND (ANTARCTICA) AND SURROUNDINGS USING RECORDS OF BULGARIAN BROADBAND SEISMOLOGICAL STATION LIVV DURING THE ASTRAL SUMMER 2015-2016</t>
  </si>
  <si>
    <t>COMPTES RENDUS DE L ACADEMIE BULGARE DES SCIENCES</t>
  </si>
  <si>
    <t>Antarctica seismicity; Bulgarian Antarctic seismic station; Golitsyn's method</t>
  </si>
  <si>
    <t>Bulgarian broadband seismological station LIVV was installed on 19.12.2015 near the Bulgarian Antarctic Base St. Kliment Ohridski on Livingston Island. During the first deployment period in astral summer 2015-2016 more than 2000 events of different nature are recorded. About 200 of these events are identified as local, regional and teleseismic earthquakes. Two location methods are used to calculate the epicenters of the local and regional events. Golitsyn's method is applied on the three components records of earthquakes from LIVV station with clear P wave onset. DHypo software with different velocity models is used to calculate epicenters of earthquakes recorded by LIVV station and two Argentinean-Italian (AI) stations ESPZ and JUBA. Using both methods is a very appropriate technique to have stability of locations on Livingston Island and surroundings. The results obtained show comparatively high level of local seismicity in the eastern part of Livingston Island. Several earthquakes are located in the West from LIVV station. The magnitude estimates of the earthquakes are below 3 (M-b* &lt; 3).</t>
  </si>
  <si>
    <t>[Dimitrova, Liliya; Dimitrov, Dimitar; Solakov, Dimcho; Georgiev, Ivan; Raykova, Plamena; Protopopova, Valentina; Aleksandrova, Irena; Popova, Maria] Bulgarian Acad Sci, Natl Inst Geophys Geodesy &amp; Geog, Acad G Bonchev St,Bl 3, BU-1113 Sofia, Bulgaria; [Georgieva, Gergana; Raykova, Reneta; Gurev, Vasil] Sofia Univ St Kliment Ohridski, Fac Phys, 5 James Bourchier Blvd, Sofia 1164, Bulgaria</t>
  </si>
  <si>
    <t>Bulgarian Academy of Sciences; University of Sofia</t>
  </si>
  <si>
    <t>Dimitrova, L (corresponding author), Bulgarian Acad Sci, Natl Inst Geophys Geodesy &amp; Geog, Acad G Bonchev St,Bl 3, BU-1113 Sofia, Bulgaria.</t>
  </si>
  <si>
    <t>lidim@geophys.bas.bg; ggeorgieva@phys.uni-sofia.bg; rraykova@phys.uni-sofia.bg; ddimitrov@geophys.bas.bg; gourev@phys.uni-sofia.bg; dimos@geophys.bas.bg; eivan@bas.bg; plamena.raikova@gmail.com; valia.pr@gmail.com; i.alex@abv.bg; m.popova022@gmail.com</t>
  </si>
  <si>
    <t>Raykova, Plamena/ABG-2552-2020; Georgieva, Gergana/P-1555-2019; Georgieva, Gergana Dimitrova/R-7642-2016; Raykova, Reneta Blagoeva/ABC-4630-2020</t>
  </si>
  <si>
    <t>Raykova, Plamena/0000-0001-7060-0296; Georgieva, Gergana/0000-0003-3515-9524; Georgieva, Gergana Dimitrova/0000-0003-3515-9524; Raykova, Reneta Blagoeva/0000-0001-5125-675X; Protopopova-Kakar, Valentina/0000-0002-1776-0220; Dimitrova, Liliya/0000-0001-7538-2777; Popova, Mariya/0009-0008-4221-971X; Georgiev, Ivan/0000-0001-6596-516X</t>
  </si>
  <si>
    <t>Science Research Fund [DFNI I02/11/2014]</t>
  </si>
  <si>
    <t>Science Research Fund</t>
  </si>
  <si>
    <t>The presented paper is prepared as a result of the first stage of the project DFNI I02/11/2014 Creating an information base for exploration of seismicity and Earth structure of Livingston island and surroundings by complex research in the Bulgarian Antarctic Base area supported by the Science Research Fund to Bulgarian Ministry of Education and Science.</t>
  </si>
  <si>
    <t>PUBL HOUSE BULGARIAN ACAD SCI</t>
  </si>
  <si>
    <t>ACADEMICIAN G BONCEV ST, 1113 SOFIA, BULGARIA</t>
  </si>
  <si>
    <t>1310-1331</t>
  </si>
  <si>
    <t>CR ACAD BULG SCI</t>
  </si>
  <si>
    <t>C. R. Acad. Bulg. Sci.</t>
  </si>
  <si>
    <t>FU3VJ</t>
  </si>
  <si>
    <t>WOS:000423779900012</t>
  </si>
  <si>
    <t>Martinic, M</t>
  </si>
  <si>
    <t>Martinic B, Mateo</t>
  </si>
  <si>
    <t>A NOVEL HANDWRITTEN MAP OF ULTIMA ESPERANZA SOUND (1895)</t>
  </si>
  <si>
    <t>MAGALLANIA</t>
  </si>
  <si>
    <t>Cartography; Last Hope Inlet; Southern Patagonia</t>
  </si>
  <si>
    <t>A handwritten map of the eastern maritime zone of the Ultima Esperanza fjord, Region of Magallanes and Chilean Antarctic (Chile), is communicated. Developed by the settler Hermann Eberhard in 1895, its characteristics and appreciations as the first modern map of the district and, as such, the bases for the development of subsequent territorial cartography are described.</t>
  </si>
  <si>
    <t>[Martinic B, Mateo] Univ Magallanes, Inst Patagonia, Ctr Estudios Hombre Austral, Punta Arenas, Chile</t>
  </si>
  <si>
    <t>Universidad de Magallanes</t>
  </si>
  <si>
    <t>Martinic, M (corresponding author), Univ Magallanes, Inst Patagonia, Ctr Estudios Hombre Austral, Punta Arenas, Chile.</t>
  </si>
  <si>
    <t>mateo.martinic@umag.cl</t>
  </si>
  <si>
    <t>UNIV MAGALLANES</t>
  </si>
  <si>
    <t>PUNTA ARENAS</t>
  </si>
  <si>
    <t>INST PAGAGONIA, AVDA BULNES 01890, CASILLA DE CORREOS 113-D, PUNTA ARENAS, MAGALLANES 00000, CHILE</t>
  </si>
  <si>
    <t>0718-2244</t>
  </si>
  <si>
    <t>Magallania</t>
  </si>
  <si>
    <t>Anthropology</t>
  </si>
  <si>
    <t>FT6UI</t>
  </si>
  <si>
    <t>WOS:000423288900001</t>
  </si>
  <si>
    <t>Wang, YT; Han, H; Cui, BQ; Hou, YH; Wang, YF; Wang, QF</t>
  </si>
  <si>
    <t>Wang, Yatong; Han, Han; Cui, Bingqing; Hou, Yanhua; Wang, Yifan; Wang, Quanfu</t>
  </si>
  <si>
    <t>A glutathione peroxidase from Antarctic psychrotrophic bacterium Pseudoalteromonas sp ANT506: Cloning and heterologous expression of the gene and characterization of recombinant enzyme</t>
  </si>
  <si>
    <t>BIOENGINEERED</t>
  </si>
  <si>
    <t>glutathione peroxidase; expression; psychrotrophic; Antarctic sea ice; gene</t>
  </si>
  <si>
    <t>MOLECULAR CHARACTERIZATION; SUPEROXIDE-DISMUTASE; SELENOENZYME; TEMPERATURE; REDUCTASE; PROTECTS</t>
  </si>
  <si>
    <t>A glutathione peroxidase (GPx) gene, designated as PsGPx, was cloned from Antarctic psychrotrophic bacterium Pseudoalteromonas sp. ANT506 and expressed in Escherichia coli. The full-length PsGPx contained a 585-bp encoding 194 amino acids with predicted molecular masses of approx. 21.7 kDa. Multiple sequence alignments revealed that PsGPx belonged to the thioredoxin- like superfamily. PsGPx was heterologously overexpressed in E. coli, purified and characterized. The maximum catalytic temperature and pH value for recombinant PsGPx (rPsGPx) were 30 degrees C and pH 9.0, respectively. rPsGPx retained 45% of the maximum activity at 0 degrees C and exhibited high thermolability with a half-life of approx. 40 min at 40 degrees C. In addition, the enzymatic activity of rPsGPx was still manifested under 3 M NaCl. The Km and Vmax values of the recombinant enzyme using GSH and H2O2 as substrates were 1.73 mM and 16.28 nmol/mL/min versus 2.46 mM and 21.50 nmol/mL/min, respectively.</t>
  </si>
  <si>
    <t>[Wang, Yatong; Han, Han; Cui, Bingqing; Hou, Yanhua; Wang, Yifan; Wang, Quanfu] Harbin Inst Technol, Sch Marine &amp; Technol, Weihai, Shandong, Peoples R China</t>
  </si>
  <si>
    <t>Harbin Institute of Technology</t>
  </si>
  <si>
    <t>Hou, YH; Wang, QF (corresponding author), Harbin Inst Technol, Sch Marine Sci &amp; Technol, 2 West Wenhua Rd, Weihai 264209, Shandong, Peoples R China.</t>
  </si>
  <si>
    <t>marry7718@@163.com; wangquanfu2000@126.com</t>
  </si>
  <si>
    <t>wang, yatong/KDN-3824-2024; wang, quan fu/K-9703-2018; wang, yi fan/L-1193-2018</t>
  </si>
  <si>
    <t>wang, quan fu/0000-0002-3885-5464; wang, ya tong/0000-0003-0863-5935; wang, yi fan/0000-0001-7360-2422</t>
  </si>
  <si>
    <t>National Natural Science Foundation of China [31100037]; Subject Construction Fund Guided by HIT [WH20150206, WH20160206]; Key Research and Development Plan of Shandong Province [2015GSF115016]; Natural Science Foundation of Shandong Province [ZR2017MC046]</t>
  </si>
  <si>
    <t>National Natural Science Foundation of China(National Natural Science Foundation of China (NSFC)); Subject Construction Fund Guided by HIT; Key Research and Development Plan of Shandong Province; Natural Science Foundation of Shandong Province(Natural Science Foundation of Shandong Province)</t>
  </si>
  <si>
    <t>This study was supported by the National Natural Science Foundation of China (31100037), Subject Construction Fund Guided by HIT (WH20150206, WH20160206), Key Research and Development Plan of Shandong Province (2015GSF115016), and the Natural Science Foundation of Shandong Province (ZR2017MC046).</t>
  </si>
  <si>
    <t>2165-5979</t>
  </si>
  <si>
    <t>2165-5987</t>
  </si>
  <si>
    <t>Bioengineered</t>
  </si>
  <si>
    <t>10.1080/21655979.2017.1373534</t>
  </si>
  <si>
    <t>Biotechnology &amp; Applied Microbiology</t>
  </si>
  <si>
    <t>FT5XG</t>
  </si>
  <si>
    <t>WOS:000423226100009</t>
  </si>
  <si>
    <t>Song, W; Li, LZ; Huang, HL; Chen, FF; Zhao, M; Jiang, KJ; Zhang, FY; Ma, CY; Chen, XZ; Ma, LB</t>
  </si>
  <si>
    <t>Song, Wei; Li, Lingzhi; Huang, Hongliang; Chen, Fenfang; Zhao, Ming; Jiang, Keji; Zhang, Fengying; Ma, Chunyan; Chen, Xuezhong; Ma, Lingbo</t>
  </si>
  <si>
    <t>Isolation and characterization of the mitochondrial genome of Gymnodraco acuticeps (Perciformes: Bathydraconidae) with phylogenetic consideration</t>
  </si>
  <si>
    <t>MITOCHONDRIAL DNA PART B-RESOURCES</t>
  </si>
  <si>
    <t>Gymnodraco acuticeps; mito-genome; genome structure; phylogenetic</t>
  </si>
  <si>
    <t>Gymnodraco acuticepsis is an Antarctic fish living in the Southern Ocean. Until now, studies on G. acuticeps are still limited. As an Antarctic fish, obtaining and characterization of the mitochondrial genome of G. acuticeps will be important for elucidation of the mechanism of cold-adapting evolution in mitochondrion. In this study, we first isolated and characterized the mitochondrial genome sequence of G. acuticeps with 15,987 bp in length. It contained of 34 genes (12 protein-coding genes, 20 transfer RNA genes, 2 ribosomal RNA genes) and a partial putative control region. Gene organization and nucleotide composition of obtained mito-genome were similar to those of other Antarctic fish. Twenty-eight genes were encoded by heavy strand, while six genes were encoded by light strand. Further, the phylogenetic tree, which based on 12 protein-coding genes, revealed that the G. acuticeps was genetically closest to species Parachaenichthys charcoti among 18 species. We hope this work would be helpful for the population genetics and molecular evolution studies.</t>
  </si>
  <si>
    <t>[Song, Wei; Li, Lingzhi; Huang, Hongliang; Chen, Fenfang; Zhao, Ming; Jiang, Keji; Zhang, Fengying; Ma, Chunyan; Chen, Xuezhong; Ma, Lingbo] Chinese Acad Fishery Sci, East China Sea Fisheries Res Inst, Minist Agr, Key Lab Ocean &amp; Polar Fisheries, Shanghai, Peoples R China; [Chen, Fenfang] Shanghai Ocean Univ, Coll Fisheries &amp; Life Sci, Shanghai, Peoples R China</t>
  </si>
  <si>
    <t>Ministry of Agriculture &amp; Rural Affairs; Chinese Academy of Fishery Sciences; East China Sea Fisheries Research Institute, CAFS; Shanghai Ocean University</t>
  </si>
  <si>
    <t>Chen, XZ; Ma, LB (corresponding author), Chinese Acad Fishery Sci, East China Sea Fisheries Res Inst, Minist Agr, Key Lab Ocean &amp; Polar Fisheries, Shanghai, Peoples R China.</t>
  </si>
  <si>
    <t>xuezhong@ecsf.ac.cn; malingbo@vip.sina.com</t>
  </si>
  <si>
    <t>Li, Lingzhi/K-9055-2016; Ma, Chunyan/AAJ-2777-2020; Ma, Chunyan/HMP-3228-2023; Jiang, keji/F-1519-2010</t>
  </si>
  <si>
    <t>Ma, Chunyan/0000-0002-0453-0450;</t>
  </si>
  <si>
    <t>Special Fund for Agro-Scientific Research in the Public Interest [201203018]; Sub-project under National Science &amp; Technology Support Plan [2013BAD13B03]; Chinese National Antarctic Research Expedition [CHINARE2014-01-06]</t>
  </si>
  <si>
    <t>Special Fund for Agro-Scientific Research in the Public Interest; Sub-project under National Science &amp; Technology Support Plan; Chinese National Antarctic Research Expedition</t>
  </si>
  <si>
    <t>This work was supported by the Special Fund for Agro-Scientific Research in the Public Interest (201203018), the Sub-project under National Science &amp; Technology Support Plan (No. 2013BAD13B03), and the Chinese National Antarctic Research Expedition (CHINARE2014-01-06).</t>
  </si>
  <si>
    <t>2380-2359</t>
  </si>
  <si>
    <t>MITOCHONDRIAL DNA B</t>
  </si>
  <si>
    <t>Mitochondrial DNA Part B-Resour.</t>
  </si>
  <si>
    <t>10.1080/23802359.2017.1361361</t>
  </si>
  <si>
    <t>Genetics &amp; Heredity</t>
  </si>
  <si>
    <t>FT4XM</t>
  </si>
  <si>
    <t>WOS:000423158500067</t>
  </si>
  <si>
    <t>Dong, Y; Ma, CY; Zhang, FY; Qu, LY; Feng, CL; Song, W; Wang, LM; Ma, LB</t>
  </si>
  <si>
    <t>Dong, Yao; Ma, Chunyan; Zhang, Fengying; Qu, Liyan; Feng, Chunlei; Song, Wei; Wang, Luming; Ma, Lingbo</t>
  </si>
  <si>
    <t>Complete mitochondrial genome and phylogenetic position of Chaenodraco wilsoni</t>
  </si>
  <si>
    <t>Chaenodraco wilsoni; mitochondrial genome; phylogenetic analysis</t>
  </si>
  <si>
    <t>FISHES</t>
  </si>
  <si>
    <t>Chaenodraco wilsoni, a species of Channichthyidae, inhabits in southern ocean. The total length of complete mitochondrial genome of C. wilsoni is 17,432 bp, which encoded 37 genes. Similar to most Antarctic fishes, the ND6/tRNA (glu) translocation and an additional non-coding region linked with ND6 have also occurred in C. wilsoni. The ML tree supports that C. wilsoni has closer relationship with Chionodraco species. Our research will provide more molecular biology information about C. wilsoni and deepen the understanding of Antarctic fishes.</t>
  </si>
  <si>
    <t>[Dong, Yao; Ma, Chunyan; Zhang, Fengying; Qu, Liyan; Feng, Chunlei; Song, Wei; Wang, Luming; Ma, Lingbo] Chinese Acad Fishery Sci, East China Sea Fisheries Res Inst, Key Lab East China Sea &amp; Ocean Fishery Resource E, Minist Agr, Shanghai, Peoples R China; [Dong, Yao; Qu, Liyan] Shanghai Ocean Univ, Coll Fisheries &amp; Life Sci, Shanghai, Peoples R China</t>
  </si>
  <si>
    <t>Chinese Academy of Fishery Sciences; East China Sea Fisheries Research Institute, CAFS; Ministry of Agriculture &amp; Rural Affairs; Shanghai Ocean University</t>
  </si>
  <si>
    <t>Ma, CY; Ma, LB (corresponding author), Jungong Rd 300, Shanghai 200090, Peoples R China.</t>
  </si>
  <si>
    <t>mcy0527@126.com; malingbo@vip.sina.com</t>
  </si>
  <si>
    <t>Ma, Chunyan/AAJ-2777-2020; Ma, Chunyan/HMP-3228-2023</t>
  </si>
  <si>
    <t>Ma, Chunyan/0000-0002-0453-0450</t>
  </si>
  <si>
    <t>National Science &amp; Technology Support Plan [2013BAD13B03]; National Natural Science Foundation of China [41406190]</t>
  </si>
  <si>
    <t>National Science &amp; Technology Support Plan; National Natural Science Foundation of China(National Natural Science Foundation of China (NSFC))</t>
  </si>
  <si>
    <t>This work was supported by the National Science &amp; Technology Support Plan (No. 2013BAD13B03) and the National Natural Science Foundation of China (No. 41406190).</t>
  </si>
  <si>
    <t>10.1080/23802359.2017.1372712</t>
  </si>
  <si>
    <t>WOS:000423158500092</t>
  </si>
  <si>
    <t>Zhao, M; Zhao, MD; Ma, CY; Feng, CL; Wang, LM; Ma, LB</t>
  </si>
  <si>
    <t>Zhao, Ming; Zhao, Mengdi; Ma, Chunyan; Feng, Chunlei; Wang, Luming; Ma, Lingbo</t>
  </si>
  <si>
    <t>Complete mitochondrial genome of Antarctic krill Euphausia superba (Eucarida: Euphausiacea)</t>
  </si>
  <si>
    <t>Euphausia superba; mitochondrial genome; control region; ND2; molecular maker</t>
  </si>
  <si>
    <t>Antarctic krill Euphausia superba is a very important species in Antarctic ecosystem. The mitochondrial genome of E. superba was completed with 16,591 bp in length, gene arrangement and order was the same as previous studies. The overall A+T content is 68.91% and the control region A+T content is 78.17%. Alignment with other two partial mitochondrial genome revealed that ND2 region possessed many unusual variation sites. The phylogenetic tree showed that E. superba clustered with other two species of Euphausiacea. This study filled in the gap of the krill mitogenome and suggested putative markers for population study.</t>
  </si>
  <si>
    <t>[Zhao, Ming; Zhao, Mengdi; Ma, Chunyan; Feng, Chunlei; Wang, Luming; Ma, Lingbo] Chinese Acad Fishery Sci, East China Sea Fisheries Res Inst, Minist Agr, Key Lab East China Sea &amp; Ocean Fishery Resources, Jungong Rd 300, Shanghai 200090, Peoples R China</t>
  </si>
  <si>
    <t>Chinese Academy of Fishery Sciences; East China Sea Fisheries Research Institute, CAFS; Ministry of Agriculture &amp; Rural Affairs</t>
  </si>
  <si>
    <t>Ma, LB (corresponding author), Chinese Acad Fishery Sci, East China Sea Fisheries Res Inst, Minist Agr, Key Lab East China Sea &amp; Ocean Fishery Resources, Jungong Rd 300, Shanghai 200090, Peoples R China.</t>
  </si>
  <si>
    <t>malingbo@vip.sina.com</t>
  </si>
  <si>
    <t>National Natural Science Foundation of China [41406190]; National Science &amp; Technology Support Plan [2013BAD13B03]</t>
  </si>
  <si>
    <t>National Natural Science Foundation of China(National Natural Science Foundation of China (NSFC)); National Science &amp; Technology Support Plan</t>
  </si>
  <si>
    <t>This work was supported by the National Natural Science Foundation of China [No. 41406190], and the National Science &amp; Technology Support Plan [No. 2013BAD13B03].</t>
  </si>
  <si>
    <t>10.1080/23802359.2017.1413306</t>
  </si>
  <si>
    <t>WOS:000423158500243</t>
  </si>
  <si>
    <t>Lorrey, AM; Bostock, H</t>
  </si>
  <si>
    <t>Shulmeister, J</t>
  </si>
  <si>
    <t>Lorrey, A. M.; Bostock, H.</t>
  </si>
  <si>
    <t>The Climate of New Zealand Through the Quaternary</t>
  </si>
  <si>
    <t>LANDSCAPE AND QUATERNARY ENVIRONMENTAL CHANGE IN NEW ZEALAND</t>
  </si>
  <si>
    <t>Atlantis Advances in Quaternary Science</t>
  </si>
  <si>
    <t>LAST GLACIAL MAXIMUM; NORTHERN NEW-ZEALAND; SEA-SURFACE TEMPERATURE; SOUTHWEST PACIFIC-OCEAN; KAURI AGATHIS-AUSTRALIS; ANTARCTIC CIRCUMPOLAR CURRENT; EASTERN NEW-ZEALAND; SOUTHEASTERN NEW-ZEALAND; SOUTHERN ANNULAR MODE; HOLOCENE VEGETATION HISTORY</t>
  </si>
  <si>
    <t>This chapter provides an overview of New Zealand's modern climate, followed by a summary of evidence for long-term climate changes on land and the surrounding oceans during the Quaternary. Natural archive palaeodata show details about evolving climate conditions for the last 2.6 million years, which we use to outline a perspective about vastly different base climate states (interglacials and glacials) that impacted New Zealand in the past. A framework based on long-term marine sediment records indicates New Zealand's climate was significantly impacted by the Quaternary ice age cycles, which helped to drive changes in marine currents, gyres, and boundaries. The abundance of pollen records on land highlights past vegetation dynamics that can be related to earth orbital changes, in addition to influences of important climate drivers like ENSO and SAM on finer timescales. Syntheses for full glacial and interglacial climate, for interstadial intervals (climate conditions between glacial and interglacial), and for transitions into and out of past ice ages indicate multi-centennial to millennial-scale variability impacted New Zealand. Southern Alps glacial chronologies have been recently augmented with cosmogenic dating and, when paired with quantitative climate reconstruction techniques and modeling, provide new avenues to test hypotheses about regional and global teleconnections. For the base climate states and transitions that are examined here, there appears to be support for New Zealand's continued (but variable) climate connections to Antarctica, to the lower latitudes of the Southern Hemisphere, and to the wider integrated global climate system.</t>
  </si>
  <si>
    <t>[Lorrey, A. M.] Natl Inst Water &amp; Atmospher Res, Auckland 99940, New Zealand; [Bostock, H.] Natl Inst Water &amp; Atmospher Res, Wellington, New Zealand</t>
  </si>
  <si>
    <t>National Institute of Water &amp; Atmospheric Research (NIWA) - New Zealand; National Institute of Water &amp; Atmospheric Research (NIWA) - New Zealand</t>
  </si>
  <si>
    <t>Lorrey, AM (corresponding author), Natl Inst Water &amp; Atmospher Res, Auckland 99940, New Zealand.</t>
  </si>
  <si>
    <t>Andrew.Lorrey@niwa.co.nz</t>
  </si>
  <si>
    <t>Bostock, Helen/A-6834-2013</t>
  </si>
  <si>
    <t>Bostock, Helen/0000-0002-8903-8958</t>
  </si>
  <si>
    <t>978-94-6239-237-3; 978-94-6239-236-6</t>
  </si>
  <si>
    <t>ATL ADV QUATER SCI</t>
  </si>
  <si>
    <t>10.2991/978-94-6239-237-3_3</t>
  </si>
  <si>
    <t>10.2991/978-94-6239-237-3</t>
  </si>
  <si>
    <t>BJ2US</t>
  </si>
  <si>
    <t>WOS:000422709200004</t>
  </si>
  <si>
    <t>Jordanova, N</t>
  </si>
  <si>
    <t>Jordanova, Neli</t>
  </si>
  <si>
    <t>MAGNETISM OF SOILS FROM THE ANTARCTIC PENINSULA</t>
  </si>
  <si>
    <t>SOIL MAGNETISM: APPLICATIONS IN PEDOLOGY, ENVIRONMENTAL SCIENCE AND AGRICULTURE</t>
  </si>
  <si>
    <t>SOUTH-SHETLAND ISLANDS; FREQUENCY-DEPENDENCE; LIVINGSTON ISLAND; ACTIVE-LAYER; ICE-CORE; SUSCEPTIBILITY; CLASSIFICATION; CRYOSOLS; GENESIS</t>
  </si>
  <si>
    <t>[Jordanova, Neli] Bulgarian Acad Sci, Natl Inst Geophys Geodesy &amp; Geog, Sofia, Bulgaria</t>
  </si>
  <si>
    <t>Bulgarian Academy of Sciences</t>
  </si>
  <si>
    <t>Jordanova, N (corresponding author), Bulgarian Acad Sci, Natl Inst Geophys Geodesy &amp; Geog, Sofia, Bulgaria.</t>
  </si>
  <si>
    <t>Jordanova, Neli/W-5621-2019</t>
  </si>
  <si>
    <t>Jordanova, Neli/0000-0002-9959-4456</t>
  </si>
  <si>
    <t>978-0-12-809495-2; 978-0-12-809239-2</t>
  </si>
  <si>
    <t>10.1016/B978-0-12-809239-2.00007-3</t>
  </si>
  <si>
    <t>Geochemistry &amp; Geophysics; Soil Science</t>
  </si>
  <si>
    <t>Geochemistry &amp; Geophysics; Agriculture</t>
  </si>
  <si>
    <t>BJ3DQ</t>
  </si>
  <si>
    <t>WOS:000422933900009</t>
  </si>
  <si>
    <t>Field, PR; Lawson, RP; Brown, PRA; Lloyd, G; Westbrook, C; Moisseev, D; Miltenberger, A; Nenes, A; Blyth, A; Choularton, T; Connolly, P; Buehl, J; Crosier, J; Cui, Z; Dearden, C; DeMott, P; Flossmann, A; Heymsfield, A; Huang, Y; Kalesse, H; Kanji, ZA; Korolev, A; Kirchgaessner, A; Lasher-Trapp, S; Leisner, T; McFarquhar, G; Phillips, V; Stith, J; Sullivan, S</t>
  </si>
  <si>
    <t>Baumgardner, D; McFarquhar, GM; Heymsfield, AJ</t>
  </si>
  <si>
    <t>Field, P. R.; Lawson, R. P.; Brown, P. R. A.; Lloyd, G.; Westbrook, C.; Moisseev, D.; Miltenberger, A.; Nenes, A.; Blyth, A.; Choularton, T.; Connolly, P.; Buehl, J.; Crosier, J.; Cui, Z.; Dearden, C.; DeMott, P.; Flossmann, A.; Heymsfield, A.; Huang, Y.; Kalesse, H.; Kanji, Z. A.; Korolev, A.; Kirchgaessner, A.; Lasher-Trapp, S.; Leisner, T.; McFarquhar, G.; Phillips, V.; Stith, J.; Sullivan, S.</t>
  </si>
  <si>
    <t>Secondary Ice Production: Current State of the Science and Recommendations for the Future</t>
  </si>
  <si>
    <t>ICE FORMATION AND EVOLUTION IN CLOUDS AND PRECIPITATION: MEASUREMENT AND MODELING CHALLENGES</t>
  </si>
  <si>
    <t>Meteorological Monographs</t>
  </si>
  <si>
    <t>MIXED-PHASE CLOUDS; RIMER SURFACE-TEMPERATURE; PART I; MICROPHYSICAL PROPERTIES; PRECIPITATION DEVELOPMENT; EXPLICIT MICROPHYSICS; DEPOLARIZATION RATIOS; CUMULUS GLACIATION; CRYSTAL PRODUCTION; LIQUID-WATER</t>
  </si>
  <si>
    <t>Measured ice crystal concentrations in natural clouds at modest supercooling (temperature similar to&gt;-10 degrees C) are often orders ofmagnitude greater than the number concentration of primary ice nucleating particles. Therefore, it has long been proposed that a secondary ice production process must exist that is able to rapidly enhance the number concentration of the ice population following initial primary ice nucleation events. Secondary ice production is important for the prediction of ice crystal concentration and the subsequent evolution of some types of clouds, but the physical basis of the process is not understood and the production rates are not well constrained. In November 2015 an international workshop was held to discuss the current state of the science and future work to constrain and improve our understanding of secondary ice production processes. Examples and recommendations for in situ observations, remote sensing, laboratory investigations, and modeling approaches are presented.</t>
  </si>
  <si>
    <t>[Field, P. R.; Brown, P. R. A.] Met Off, Exeter, Devon, England; [Field, P. R.; Miltenberger, A.; Blyth, A.; Cui, Z.; Huang, Y.] Univ Leeds, Sch Earth &amp; Environm, Inst Climate &amp; Atmospher Sci, Leeds, W Yorkshire, England; [Lawson, R. P.] SPEC Inc, Boulder, CO USA; [Lloyd, G.; Choularton, T.; Connolly, P.; Crosier, J.; Dearden, C.] Univ Manchester, Sch Earth &amp; Environm Sci, Manchester, Lancs, England; [Westbrook, C.] Univ Reading, Dept Meteorol, Reading, Berks, England; [Moisseev, D.] Univ Helsinki, Dept Phys, Helsinki, Finland; [Nenes, A.] Georgia Inst Technol, Sch Earth &amp; Atmospher Sci, Atlanta, GA 30332 USA; [Buehl, J.; Kalesse, H.] Leibniz Inst Tropospher Res, Leipzig, Germany; [DeMott, P.] Colorado State Univ, Dept Atmospher Sci, Ft Collins, CO 80523 USA; [Flossmann, A.] Blaise Pascal Univ, Clermont Ferrand, France; [Heymsfield, A.] NCAR, Boulder, CO USA; [Kanji, Z. A.] Swiss Fed Inst Technol, Inst Atmospher &amp; Climate Sci, Zurich, Switzerland; [Korolev, A.] Environm &amp; Climate Change Canada, Toronto, ON, Canada; [Kirchgaessner, A.] British Antarctic Survey, Cambridge, England; [Lasher-Trapp, S.; McFarquhar, G.] Univ Illinois, Dept Atmospher Sci, Urbana, IL USA; [Phillips, V.] Lund Univ, Dept Phys Geog &amp; Ecosyst Sci, Lund, Sweden; [Stith, J.] NCAR, Earth Observing Lab, Boulder, CO USA; [Sullivan, S.] Georgia Inst Technol, Sch Chem &amp; Biomol Engn, Atlanta, GA 30332 USA</t>
  </si>
  <si>
    <t>Met Office - UK; University of Leeds; SPEC Inc.; University of Manchester; University of Reading; University of Helsinki; University System of Georgia; Georgia Institute of Technology; Leibniz Institut fur Tropospharenforschung (TROPOS); Colorado State University; Universite Clermont Auvergne (UCA); National Center Atmospheric Research (NCAR) - USA; Swiss Federal Institutes of Technology Domain; ETH Zurich; Environment &amp; Climate Change Canada; UK Research &amp; Innovation (UKRI); Natural Environment Research Council (NERC); NERC British Antarctic Survey; University of Illinois System; University of Illinois Urbana-Champaign; Lund University; National Center Atmospheric Research (NCAR) - USA; University System of Georgia; Georgia Institute of Technology</t>
  </si>
  <si>
    <t>Field, PR (corresponding author), Met Off, Exeter, Devon, England.;Field, PR (corresponding author), Univ Leeds, Sch Earth &amp; Environm, Inst Climate &amp; Atmospher Sci, Leeds, W Yorkshire, England.</t>
  </si>
  <si>
    <t>paul.field@metoffice.gov.uk</t>
  </si>
  <si>
    <t>DeMott, Paul J/C-4389-2011; Connolly, Paul J/A-2024-2012; Kalesse-Los, Heike/N-7166-2019; Westbrook, Christopher D/H-9770-2013; Moisseev, Dmitri/A-3288-2008; Nenes, Athanasios/ABE-6478-2020; Field, Paul R/B-1692-2009; McFarquhar, Greg/R-9154-2018; Miltenberger, Annette/M-8707-2019; Leisner, Thomas/A-2391-2013; Phillips, Vaughan/AAJ-7678-2020; Brown, Philip R.A./D-9819-2013; Kanji, Zamin A/F-6465-2019; Cui, Zhiqiang/B-4894-2014; Crosier, Jonathan/G-8952-2011; Dearden, Christopher/E-5165-2012</t>
  </si>
  <si>
    <t>DeMott, Paul J/0000-0002-3719-1889; Kalesse-Los, Heike/0000-0001-6699-7040; Moisseev, Dmitri/0000-0002-4575-0409; Nenes, Athanasios/0000-0003-3873-9970; McFarquhar, Greg/0000-0003-0950-0135; Miltenberger, Annette/0000-0003-3320-4272; Leisner, Thomas/0000-0001-9693-7671; Kanji, Zamin A/0000-0001-8610-3921; Cui, Zhiqiang/0000-0002-0769-8937; Sullivan, Sylvia/0000-0003-0203-3052; Choularton, Thomas/0000-0002-0409-4329; Crosier, Jonathan/0000-0002-3086-4729; Dearden, Christopher/0000-0001-7777-669X</t>
  </si>
  <si>
    <t>NERC [NE/M00340X/1, NE/K006002/1, NE/G000875/1] Funding Source: UKRI</t>
  </si>
  <si>
    <t>AMER METEOROLOGICAL SOCIETY</t>
  </si>
  <si>
    <t>45 BEACON ST, BOSTON, MA 02108 USA</t>
  </si>
  <si>
    <t>0065-9401</t>
  </si>
  <si>
    <t>978-1-944970-26-0</t>
  </si>
  <si>
    <t>METEOR MON</t>
  </si>
  <si>
    <t>10.1175/AMSMONOGRAPHS-D-16-0014.1</t>
  </si>
  <si>
    <t>BJ2PW</t>
  </si>
  <si>
    <t>WOS:000419754400008</t>
  </si>
  <si>
    <t>Olmedo, FLL</t>
  </si>
  <si>
    <t>Quintana, AG; Tonicher, PC; BarrosoBarcenilla, F</t>
  </si>
  <si>
    <t>Lopez Olmedo, Fabian Luis</t>
  </si>
  <si>
    <t>The cartographic series: the Geological Map</t>
  </si>
  <si>
    <t>MAPAS DE LA NATURALEZA OS MAPAS DA NATUREZA</t>
  </si>
  <si>
    <t>Memorias de la Real Sociedad Espanola de Historia Natural</t>
  </si>
  <si>
    <t>Geological maps; thematic maps; cartographic series</t>
  </si>
  <si>
    <t>Nationwide Geological mapping and the publication of the geological maps at state level has always been carried out with the frame of the Spanish national mapping plans and programs. The earliest geological maps were of provincial character and began in the middle of the XIX century with the creation of the Commission for the Geological Map of Madrid and the Kingdom. It is after this commission that the current Institute Geologico y Minero de Espana (IGME, Geological Survey of Spain) was created. In 1929, IGME started the first series of the Geological Map of Spain at 1:50.000 scale. This first map series continued until de 1970's, when it was substituted by the Second Series of the National Geological Map. This second series known as MAGNA plan were also done at the same scale. At the same time IGME has been developing other mapping series such as: thematic metallogenic, industrial stone or hydrogeological maps at 1:200.000 scale; provincial maps at different scales; and geological and thematic national maps at 1:1.000.000 scale. Recently IGME has initiated the Third Series of the National Geological Map on digital format, known as MGD50, and mapping series in Antarctica Antarctic Series. Currently, the Autonomous Communities have started their own 1:25.000 scale geological maps. IGME has collaborated with several of these Autonomous governments in the development of these mapping plans and on the production of regional geological maps at different scales for administrative purposes.</t>
  </si>
  <si>
    <t>[Lopez Olmedo, Fabian Luis] Inst Geol &amp; Minero Espana, Rios Rosas 23, Madrid 28003, Spain</t>
  </si>
  <si>
    <t>Olmedo, FLL (corresponding author), Inst Geol &amp; Minero Espana, Rios Rosas 23, Madrid 28003, Spain.</t>
  </si>
  <si>
    <t>fa.lopez@igme.es</t>
  </si>
  <si>
    <t>1132-0869</t>
  </si>
  <si>
    <t>978-84-697-4765-0</t>
  </si>
  <si>
    <t>MEM REAL SOC ESP HIS</t>
  </si>
  <si>
    <t>Mem. Real Soc. Esp. Hist. Nat.</t>
  </si>
  <si>
    <t>Geography, Physical; Geology</t>
  </si>
  <si>
    <t>BJ2LC</t>
  </si>
  <si>
    <t>WOS:000419663200006</t>
  </si>
  <si>
    <t>Raymond, T; King, CK; Raymond, B; Stark, JS; Snape, I</t>
  </si>
  <si>
    <t>Fingas, M</t>
  </si>
  <si>
    <t>Raymond, T.; King, C. K.; Raymond, B.; Stark, J. S.; Snape, I.</t>
  </si>
  <si>
    <t>Oil Pollution in Antarctica</t>
  </si>
  <si>
    <t>OIL SPILL SCIENCE AND TECHNOLOGY, 2ND EDITION</t>
  </si>
  <si>
    <t>POLYCYCLIC AROMATIC-HYDROCARBONS; SOFT-SEDIMENT ASSEMBLAGES; KING GEORGE ISLAND; PERMEABLE REACTIVE BARRIER; BENTHIC DIATOM COMMUNITIES; CASEY-STATION; PETROLEUM-HYDROCARBONS; HUMAN IMPACTS; DIESEL FUEL; BACTERIAL COMMUNITIES</t>
  </si>
  <si>
    <t>[Raymond, T.; King, C. K.; Raymond, B.; Stark, J. S.; Snape, I.] Australian Antarctic Div, Kingston, Tas, Australia</t>
  </si>
  <si>
    <t>Australian Antarctic Division</t>
  </si>
  <si>
    <t>Raymond, T (corresponding author), Australian Antarctic Div, Kingston, Tas, Australia.</t>
  </si>
  <si>
    <t>King, Catherine K/G-7059-2017; Stark, Jonathan/ABF-4025-2020</t>
  </si>
  <si>
    <t>King, Catherine K/0000-0003-3356-0381; Stark, Jonathan/0000-0002-4268-8072</t>
  </si>
  <si>
    <t>GULF PROFESSIONAL PUBL</t>
  </si>
  <si>
    <t>C/O ELSEVIER LINACRE HOUSE JORDAN HILL, OXFORD, 0X2 8DP, ENGLAND</t>
  </si>
  <si>
    <t>978-0-12-811096-6; 978-0-12-809413-6</t>
  </si>
  <si>
    <t>10.1016/B978-0-12-809413-6.00014-X</t>
  </si>
  <si>
    <t>Biotechnology &amp; Applied Microbiology; Engineering, Environmental; Engineering, Chemical</t>
  </si>
  <si>
    <t>Biotechnology &amp; Applied Microbiology; Engineering</t>
  </si>
  <si>
    <t>BJ2LY</t>
  </si>
  <si>
    <t>WOS:000419678300015</t>
  </si>
  <si>
    <t>Znój, A; Chwedorzewska, KJ; Androsiuk, P; Cuba-Diaz, M; Gielwanowska, I; Koc, J; Korczak-Abshire, M; Grzesiak, J; Zmarz, A</t>
  </si>
  <si>
    <t>Znoj, A.; Chwedorzewska, K. J.; Androsiuk, P.; Cuba-Diaz, M.; Gielwanowska, I.; Koc, J.; Korczak-Abshire, M.; Grzesiak, J.; Zmarz, A.</t>
  </si>
  <si>
    <t>RAPID ENVIRONMENTAL CHANGES IN THE WESTERN ANTARCTIC PENINSULA REGION DUE TO CLIMATE CHANGE AND HUMAN ACTIVITY</t>
  </si>
  <si>
    <t>APPLIED ECOLOGY AND ENVIRONMENTAL RESEARCH</t>
  </si>
  <si>
    <t>KING GEORGE ISLAND; SOUTH SHETLAND ISLANDS; LONG-RANGE TRANSPORT; POA-ANNUA L.; ECOLOGICAL RESPONSES; SPATIAL STRUCTURE; SEED BANK; POPULATIONS; ECOSYSTEMS; ICE</t>
  </si>
  <si>
    <t>The Antarctic and the Southern Ocean are a critically important part of the Earth system. The climatic, physical, and biological properties of this region are closely linked to other parts of the global environment. 200 years of direct human impact, recent climate amelioration and changes in the main sources and circulation of biogenic compounds as well as accumulation of industrial contaminants have significantly affected the whole ecosystem. Particularly sensitive is the region of the Western Antarctic Peninsula, which is considered to be one of the hot spots of the Earth. In this paper, we review recent literature and compare it with historical data to estimate and predict the consequences of this process. The Antarctic ecosystems can no longer be regarded as pristine. Global as well as local human influence has transgressed the barriers isolating that continent from the rest of the World, causing previously observed changes to accelerate.</t>
  </si>
  <si>
    <t>[Znoj, A.; Chwedorzewska, K. J.; Korczak-Abshire, M.; Grzesiak, J.] PAS, Inst Biochem &amp; Biophys, Dept Antarctic Biol, Pawinskiego 5a, PL-02106 Warsaw, Poland; [Androsiuk, P.; Gielwanowska, I.; Koc, J.] Univ Warmia &amp; Mazury, Dept Plant Physiol &amp; Biotechnol, Oczapowskiego 1A, PL-10719 Olsztyn, Poland; [Cuba-Diaz, M.] Univ Concepcion, Dept Ciencias &amp; Tecnol Vegetal, Juan Antonio Coloma 0201, Los Angeles, Chile; [Zmarz, A.] Univ Warsaw, Fac Geog &amp; Reg Studies, Dept Geoinformat Cartog &amp; Remote Sensing, Warsaw, Poland</t>
  </si>
  <si>
    <t>Polish Academy of Sciences; Institute of Biochemistry &amp; Biophysics - Polish Academy of Sciences; University of Warmia &amp; Mazury; Universidad de Concepcion; University of Warsaw</t>
  </si>
  <si>
    <t>Korczak-Abshire, M (corresponding author), PAS, Inst Biochem &amp; Biophys, Dept Antarctic Biol, Pawinskiego 5a, PL-02106 Warsaw, Poland.</t>
  </si>
  <si>
    <t>aznoj@ibb.waw.pl; kchwedorzewska@ibb.waw.pl; piotr.androsiuk@uwm.edu.pl; mcubaster@gmail.com; i.gielwanowska@uwm.edu.pl; kocjustyna@interia.pl; mka@ibb.waw.pl; mka@ibb.waw.pl; azmarz@uw.edu.pl</t>
  </si>
  <si>
    <t>Grzesiak, Jakub/ABD-5209-2020; Androsiuk, Piotr/M-6175-2019; Cuba-Diaz, Marely/V-3109-2019; Chwedorzewska, Katarzyna/M-9721-2019; Korczak-Abshire, Malgorzata/AAA-1563-2020; Znój, Anna/AAX-3819-2021; Chwedorzewska, Katarzyna J/A-9480-2008; Zmarz, Anna/T-9548-2018</t>
  </si>
  <si>
    <t>Androsiuk, Piotr/0000-0002-1851-3192; Chwedorzewska, Katarzyna/0000-0001-6860-3666; Korczak-Abshire, Malgorzata/0000-0001-7695-0588; Znój, Anna/0000-0002-8424-6707; Gielwanowska, Irena/0000-0002-9001-1285; Grzesiak, Jakub/0000-0001-5972-2356; Zmarz, Anna/0000-0001-5846-4017</t>
  </si>
  <si>
    <t>Polish Ministry of Scientific Research and Higher Education [2013/09/B/NZ8/03293]</t>
  </si>
  <si>
    <t>Polish Ministry of Scientific Research and Higher Education(Ministry of Science and Higher Education, Poland)</t>
  </si>
  <si>
    <t>This work was supported by the Polish Ministry of Scientific Research and Higher Education [grant number 2013/09/B/NZ8/03293].</t>
  </si>
  <si>
    <t>CORVINUS UNIV BUDAPEST</t>
  </si>
  <si>
    <t>BUDAPEST</t>
  </si>
  <si>
    <t>VILLANYI UT 29/43, BUDAPEST, H-1118, HUNGARY</t>
  </si>
  <si>
    <t>1589-1623</t>
  </si>
  <si>
    <t>1785-0037</t>
  </si>
  <si>
    <t>APPL ECOL ENV RES</t>
  </si>
  <si>
    <t>Appl. Ecol. Environ. Res.</t>
  </si>
  <si>
    <t>10.15666/aeer/1504_525539</t>
  </si>
  <si>
    <t>FS7RF</t>
  </si>
  <si>
    <t>WOS:000419994800036</t>
  </si>
  <si>
    <t>Cheng, WS; Maznah, WOW; Convey, P</t>
  </si>
  <si>
    <t>Cheng, W. Swe; Maznah, W. O. Wan; Convey, P.</t>
  </si>
  <si>
    <t>Nitrogen and phosphate removal by free and immobilised cells of Scenedesmus bijugatus (Kutzing) from the Pinang River estuary, Penang, Malaysia</t>
  </si>
  <si>
    <t>BIOREMEDIATION JOURNAL</t>
  </si>
  <si>
    <t>free cells; immobilised cells; inorganic nutrients; polluted rivers; Scenedesmus bijugatus</t>
  </si>
  <si>
    <t>WASTE-WATER; CHLORELLA-VULGARIS; PHOSPHORUS REMOVAL; NITRATE; AMMONIUM; GROWTH; BATCH</t>
  </si>
  <si>
    <t>This research studied the effects of inorganic nutrient removal by free and immobilized Scenedesmus bijugatus cells, measured by algal growth (i.e., the chlorophyll a concentration) and the efficiency of the uptake of inorganic nutrients by the cells (uptake rate (b) and removal percentage) in water samples from the organically polluted Pinang River estuary (PRE). Water samples from the PRE were collected during low and high tide. S. bijugatus cells had a higher growth rate when incubated in low tide PRE water samples compared to high tide PRE water samples, with a growth rate of 0.29 mu gml(-1)d(-1) and 0.06 mu gml(-1)d(-1) for free and immobilized cells, respectively. S. bijugatus was able to more efficiently remove nitrogen, especially ammonium (81-94%), compared to phosphate (62-88%) from both low and high tide water samples. S. bijugatus cells in low tide PRE water samples recorded highest phosphate (0.36mgL(-1)d(-1) and 0.25mgL(-1)d(-1) for free and immobilized cells, respectively) and ammonium uptake rates (0.44mgL(-1)d(-1) and 0.29mgL(-1)d(-1) for free and immobilized cells respectively). Both inorganic nutrient removal and microalgal cell growth were not significantly different between free and immobilized S. bijugatus (p &gt; 0.05). The data obtained indicated that the removal of nutrients by microalgae was affected by salinity and the immobilization technique applied may have good potential for bioremediation.</t>
  </si>
  <si>
    <t>[Cheng, W. Swe; Maznah, W. O. Wan] Univ Sains Malaysia, Sch Biol Sci, George Town 11800, Malaysia; [Maznah, W. O. Wan] Univ Sains Malaysia, Ctr Marine &amp; Coastal Studies CEMACS, George Town 11800, Malaysia; [Convey, P.] British Antarctic Survey, Cambridge, England</t>
  </si>
  <si>
    <t>Universiti Sains Malaysia; Universiti Sains Malaysia; UK Research &amp; Innovation (UKRI); Natural Environment Research Council (NERC); NERC British Antarctic Survey</t>
  </si>
  <si>
    <t>Maznah, WOW (corresponding author), Univ Sains Malaysia, Sch Biol Sci, George Town 11800, Malaysia.</t>
  </si>
  <si>
    <t>wmaznah@usm.my</t>
  </si>
  <si>
    <t>Convey, Peter/AAV-5728-2020</t>
  </si>
  <si>
    <t>Convey, Peter/0000-0001-8497-9903</t>
  </si>
  <si>
    <t>Fundamental Research Grant Scheme [203/PBIOLOGI/6711459]; Natural Environment Research Council [bas0100036] Funding Source: researchfish; NERC [bas0100036] Funding Source: UKRI</t>
  </si>
  <si>
    <t>Fundamental Research Grant Scheme; Natural Environment Research Council(UK Research &amp; Innovation (UKRI)Natural Environment Research Council (NERC)); NERC(UK Research &amp; Innovation (UKRI)Natural Environment Research Council (NERC))</t>
  </si>
  <si>
    <t>The authors wish to acknowledge the Fundamental Research Grant Scheme (203/PBIOLOGI/6711459) for the financial support provided for the research conducted.</t>
  </si>
  <si>
    <t>1088-9868</t>
  </si>
  <si>
    <t>1547-6529</t>
  </si>
  <si>
    <t>BIOREMEDIAT J</t>
  </si>
  <si>
    <t>Bioremediat. J.</t>
  </si>
  <si>
    <t>3-4</t>
  </si>
  <si>
    <t>10.1080/10889868.2017.1404962</t>
  </si>
  <si>
    <t>Engineering, Environmental; Environmental Sciences</t>
  </si>
  <si>
    <t>Engineering; Environmental Sciences &amp; Ecology</t>
  </si>
  <si>
    <t>FS6BT</t>
  </si>
  <si>
    <t>WOS:000419883600004</t>
  </si>
  <si>
    <t>Ohgo, S; Mishima, M; Endo, M; Ninagawa, K; Nishido, H</t>
  </si>
  <si>
    <t>Ohgo, Syuhei; Mishima, Maki; Endo, Minoru; Ninagawa, Kiyotaka; Nishido, Hirotsugu</t>
  </si>
  <si>
    <t>CATHODOLUMINESCENCE COLOR ZONATION IN THE ANTARCTIC METEORITE (ENSTATITE CHONDRITE) OF YAMATO 86004</t>
  </si>
  <si>
    <t>GEOCHRONOMETRIA</t>
  </si>
  <si>
    <t>4th Asia Pacific Luminescence and Electron Spin Resonance Dating Conference</t>
  </si>
  <si>
    <t>NOV 23-25, 2015</t>
  </si>
  <si>
    <t>Adelaide, AUSTRALIA</t>
  </si>
  <si>
    <t>enstatite; cathodoluminescence; enstatite chondrite; Antarctic meteorite</t>
  </si>
  <si>
    <t>THERMAL HISTORY; LUMINESCENCE; FORSTERITE; CRYSTALS; PYROXENE</t>
  </si>
  <si>
    <t>Enstatite in Yamato 86004 classified as EH melt rock shows cathodoluminescence (CL) zonation as arranged in a concentric pattern from within outward blue, light blue, red and non-CL areas (fusion crust). The zonation observed in the meteorite results from different distribution ratio of the enstatite with various CL colors. CL spectra of the enstatite have two broad emission bands at around 400 nm in the blue region and at around 670 nm in a red region. The emission components obtained by a spectral deconvolution can be assigned to three defect centers (2.73, 3.13-3.15 and 3.77 eV) in a blue region and to impurity centers of Cr3+ ion (1.71 eV) and Mn2+ ion (1.86-1.91 eV) in a red region. According to the CL related to structural defects in the enstatite, blue-CL enstatite might be originally formed from the melt by a quenching from the melt on the surface of parent body. The enstatite with light blue and red CL might be thermally altered from blue-CL enstatite with phase transitions during a flash heating when the meteorite passed through the atmosphere. Therefore, the color CL zonation reflects a thermal history recorded in the meteorite.</t>
  </si>
  <si>
    <t>[Ohgo, Syuhei; Nishido, Hirotsugu] Okayama Univ Sci, Dept Biosphere Geosphere Sci, Kita Ku, 1-1 Ridaicho, Okayama, Okayama 7000005, Japan; [Mishima, Maki; Endo, Minoru; Ninagawa, Kiyotaka] Okayama Univ Sci, Dept Appl Phys, Kita Ku, 1-1 Ridaicho, Okayama, Okayama 7000005, Japan</t>
  </si>
  <si>
    <t>Okayama University of Science; Okayama University of Science</t>
  </si>
  <si>
    <t>Ohgo, S (corresponding author), Okayama Univ Sci, Dept Biosphere Geosphere Sci, Kita Ku, 1-1 Ridaicho, Okayama, Okayama 7000005, Japan.</t>
  </si>
  <si>
    <t>s.ohgo0628@gmail.com</t>
  </si>
  <si>
    <t>DE GRUYTER OPEN LTD</t>
  </si>
  <si>
    <t>WARSAW</t>
  </si>
  <si>
    <t>BOGUMILA ZUGA 32A ST, 01-811 WARSAW, POLAND</t>
  </si>
  <si>
    <t>1897-1695</t>
  </si>
  <si>
    <t>Geochronometria</t>
  </si>
  <si>
    <t>10.1515/geochr-2015-0053</t>
  </si>
  <si>
    <t>FS6VK</t>
  </si>
  <si>
    <t>WOS:000419936300005</t>
  </si>
  <si>
    <t>Palacios, D</t>
  </si>
  <si>
    <t>Palacios, D.</t>
  </si>
  <si>
    <t>THE STATE OF KNOWLEDGE ON THE DEGLACIATION OF AMERICA IN 2017</t>
  </si>
  <si>
    <t>America; Deglaciation; Last Glacial Maximum; Oldest Dryas; Younger Dryas; Antarctic Cold Reversal</t>
  </si>
  <si>
    <t>LAST GLACIAL MAXIMUM; ICE-SHEET; CORDILLERA; END; ANDES</t>
  </si>
  <si>
    <t>This work presents a summary of all contributions included in this Special Issue on the deglaciation of America. It analyses the differences and coincidences between the phases of glacial evolution and their chronology in each of the regions studied, and seeks a possible explanation for asynchronies, according to the opinions of the authors of the contributions. Most of the papers show significant diversity within each region due to local factors and different approaches to their study. Often, local differences are even more important than differences with other regions. In North and Central America glacial evolution appears quite uniform, in line with the evolution of the temperature in the North Atlantic. The differences found between some regions may be due to slight variations in the impact of the temperature of the Atlantic in each region, and to differences in approaching their study. The glacial evolution of the Andes presents a greater diversity, probably due to the existence of arid areas along most of the mountain range, which show a greater sensitivity to the reception of humidity than to temperature in their glacial balance. In general, researchers have detected an attenuation of the influence of the temperature of the North Atlantic towards the south, and of the Antarctic Cold Reversal towards the north.</t>
  </si>
  <si>
    <t>[Palacios, D.] Univ Complutense Madrid, Dept Geog, Phys Geog High Mt Res Grp, E-28040 Madrid, Spain</t>
  </si>
  <si>
    <t>Complutense University of Madrid</t>
  </si>
  <si>
    <t>Palacios, D (corresponding author), Univ Complutense Madrid, Dept Geog, Phys Geog High Mt Res Grp, E-28040 Madrid, Spain.</t>
  </si>
  <si>
    <t>davidp@ghis.ucm.es</t>
  </si>
  <si>
    <t>PALACIOS, DAVID/H-3737-2015</t>
  </si>
  <si>
    <t>PALACIOS, DAVID/0000-0002-8289-0398</t>
  </si>
  <si>
    <t>Spanish Ministry of Economy and Competitiveness [CGL2015-65813-R]</t>
  </si>
  <si>
    <t>Spanish Ministry of Economy and Competitiveness(Spanish Government)</t>
  </si>
  <si>
    <t>To all authors of this Special Issue, for their great effort to make it a reality. Most of them have reviewed and provided interesting suggestions in this paper. To Dr. Lorenzo Vazquez-Selem and to the associate editors of the Journal Cuadernos de Investigacion Geografica Prof. Jose M. Garcia-Ruiz and Dr. Amelia Gomez-Villar, for the great personal effort made in the preparation of this issue and their help in the coordination. This study has been prepared into the context of the project MOUNTAIN WARMING (CGL2015-65813-R) (Spanish Ministry of Economy and Competitiveness).</t>
  </si>
  <si>
    <t>10.18172/cig.3318</t>
  </si>
  <si>
    <t>WOS:000418809200002</t>
  </si>
  <si>
    <t>Mark, B; Stansell, N; Zeballos, G</t>
  </si>
  <si>
    <t>Mark, B.; Stansell, N.; Zeballos, G.</t>
  </si>
  <si>
    <t>THE LAST DEGLACIATION OF PERU AND BOLIVIA</t>
  </si>
  <si>
    <t>Tropical Andes; Last Glacial Maximum; terrestrial cosmogenic nuclides; paleoglaciers; deglaciation</t>
  </si>
  <si>
    <t>QUELCCAYA ICE CAP; LATE-PLEISTOCENE GLACIATION; LATE-QUATERNARY GLACIATION; TROPICAL SOUTH-AMERICA; HOLOCENE GLACIER FLUCTUATIONS; CORDILLERA BLANCA; CLIMATE-CHANGE; SOUTHEASTERN PERU; CENTRAL ANDES; RADIOCARBON-DATES</t>
  </si>
  <si>
    <t>The tropical Andes of Peru and Bolivia are important for preserving geomorphic evidence of multiple glaciations, allowing for refinements of chronology to aid in understanding climate dynamics at a key location between hemispheres. This review focuses on the deglaciation from Late-Pleistocene maximum positions near the global Last Glacial Maximum (LGM). We synthesize the results of the most recent published glacial geologic studies from 12 mountain ranges or regions within Peru and Bolivia where glacial moraines and drift are dated with terrestrial cosmogenic nuclides (TCN), as well as maximum and minimum limiting ages based on radiocarbon in proximal sediments. Special consideration is given to document paleoglacier valley localities with topographic information given the strong vertical mass balance sensitivity of tropical glaciers. Specific valley localities show variable and heterogeneous sequences ages and extensions of paleoglaciers, but conform to a generally cogent regional sequence revealed by more continuous lake sedimentary records. There are clear distributions of stratigraphically older and younger moraine ages that we group and discuss chronologically. The timing of the local LGM based on average TCN ages of moraine groups is 25.1 ka, but there are large uncertainties (up to 7 ka) making the relative timing with the global LGM elusive. There are a significant number of post-LGM moraines that date to 18.9 (+/- 0.5) ka. During the Oldest Dryas (18.0 to 14.6 ka), moraine boulders date to 16.1 (+/- 1.1) ka, suggesting that glaciers either experienced stillstands or readvances during this interval. The Antarctic Cold Reversal (ACR; 14.6 to 12.6 ka) is another phase of stillstanding or readvancing glaciers with moraine groups dating to 13.7 (+/- 0.8) ka, followed by retreating ice margins through most of the Younger Dryas (YD; 12.9 to 11.8 ka). During the early Holocene, groups of moraines in multiple valleys date to 11.0 (+/- 0.4) ka, marking a period when glaciers either readvanced or paused from the overall trend of deglaciation. The pattern of glacial variability during the Late Glacial after similar to 14.6 ka appears to be more synchronous with periods of cooling in the southern high latitudes, and out-of-phase with the overall deglacial trend in the Northern Hemisphere. While insolation and CO2 forcing likely drove the general pattern of deglaciation in the southern tropical Andes, regional ocean-atmospheric and hypsometric controls must have contributed to the full pattern of glacial variability.</t>
  </si>
  <si>
    <t>[Mark, B.; Zeballos, G.] Ohio State Univ, Byrd Polar &amp; Climate Res Ctr, Dept Geog, Columbus, OH 43210 USA; [Stansell, N.] Northern Illinois Univ, Dept Geol &amp; Environm Geosci, De Kalb, IL 60115 USA</t>
  </si>
  <si>
    <t>University System of Ohio; Ohio State University; Northern Illinois University</t>
  </si>
  <si>
    <t>Mark, B (corresponding author), Ohio State Univ, Byrd Polar &amp; Climate Res Ctr, Dept Geog, Columbus, OH 43210 USA.</t>
  </si>
  <si>
    <t>mark.9@osu.edu</t>
  </si>
  <si>
    <t>Mark, Bryan/AAD-6137-2022; /AAD-1453-2020; Mark, Bryan G./HMD-9537-2023; Zeballos Castellon, Gabriel/HJP-1839-2023</t>
  </si>
  <si>
    <t>/0000-0002-4500-7957; Mark, Bryan G./0000-0002-4500-7957;</t>
  </si>
  <si>
    <t>10.18172/cig.3265</t>
  </si>
  <si>
    <t>WOS:000418809200011</t>
  </si>
  <si>
    <t>Jomelli, V; Martin, L; Blard, PH; Favier, V; Vuillé, M; Ceballos, JL</t>
  </si>
  <si>
    <t>Jomelli, V.; Martin, L.; Blard, P. H.; Favier, V.; Vuille, M.; Ceballos, J. L.</t>
  </si>
  <si>
    <t>REVISITING THE ANDEAN TROPICAL GLACIER BEHAVIOR DURING THE ANTARCTIC COLD REVERSAL</t>
  </si>
  <si>
    <t>Tropical glaciers; ACR; Younger Dryas; Cosmogenic nuclides</t>
  </si>
  <si>
    <t>SOUTHERN BOLIVIAN ALTIPLANO; NUCLIDE PRODUCTION-RATES; BE-10 PRODUCTION-RATE; COSMOGENIC HE-3; CLIMATE-CHANGE; GEOMAGNETIC-FIELD; PERUVIAN ANDES; HOLOCENE; FLUCTUATIONS; GLACIATION</t>
  </si>
  <si>
    <t>The sensitivity of tropical glaciers to paleoclimatic conditions that prevailed during the Antarctic cold reversal (ACR, ca. 14.5-12.9 ka) has been the subject of a wide debate. In 2014 a paper suggested that tropical glaciers responded very sensitively to the changing climate during the ACR (Jomelli et al., 2014). In this study, we reexamine the conclusions from this study by recalculating previous chronologies based on 226 Be-10 and 14 He-3 ages respectively, and using the most up-to date production rates for these cosmogenic nuclides in the Tropical Andes. 53 moraines from 25 glaciers were selected from the previous analysis provided by Jomelli et al. (2014) located in Colombia, Peru and Bolivia. We then focused on two distinct calculations. First we considered the oldest moraine and its uncertainty for every glacier representing the preserved evidence of the maximum glacier extents during the last deglaciation period, and binned the results into 5 distinct periods encompassing the Antarctic cold reversal and Younger Dryas (YD) chronozones: pre-ACR, ACR, ACR-YD, YD and post-YD respectively. Results revealed a predominance of pre-ACR and ACR ages, accounting for 60% of the glaciers. Second we counted the number of moraines per glacier according to the different groups. 21 moraines (40%) of the selected glaciers belong to the pre-ACR-ACR chronozones while 3 moraines only (5%) were dated to the YD and YD-Holocene groups. The rest was assigned mostly to the Holocene. These results suggest that moraine records are a very good proxy to document the ACR signal in the Tropical Andes.</t>
  </si>
  <si>
    <t>[Jomelli, V.] Univ Paris 1 Pantheon Sorbonne, CNRS, Lab Geog Phys, F-92195 Meudon, France; [Martin, L.; Blard, P. H.] Univ Lorraine, CNRS, UMR 7358, CRPG, Vandoeuvre Les Nancy, France; [Martin, L.] Univ Oslo, Dept Geosci, POB 1047, N-0316 Oslo, Norway; [Favier, V.] Univ Grenoble Alpes, LGGE, F-38041 Grenoble, France; [Favier, V.] CNRS, Paris, France; [Favier, V.] IGE, F-38041 Grenoble, France; [Vuille, M.] SUNY Albany, Dept Atmospher &amp; Environm Sci, Albany, NY 12222 USA; [Ceballos, J. L.] Inst Hydrol Meteorol &amp; Environm Studies IDEAM, Bogota 07603, Colombia</t>
  </si>
  <si>
    <t>Universite Paris-Est-Creteil-Val-de-Marne (UPEC); Centre National de la Recherche Scientifique (CNRS); Centre National de la Recherche Scientifique (CNRS); CNRS - National Institute for Earth Sciences &amp; Astronomy (INSU); Universite de Lorraine; University of Oslo; Communaute Universite Grenoble Alpes; Universite Grenoble Alpes (UGA); Centre National de la Recherche Scientifique (CNRS); State University of New York (SUNY) System; State University of New York (SUNY) Albany</t>
  </si>
  <si>
    <t>Jomelli, V (corresponding author), Univ Paris 1 Pantheon Sorbonne, CNRS, Lab Geog Phys, F-92195 Meudon, France.</t>
  </si>
  <si>
    <t>vincent.jomelli@lgp.cnrs.fr</t>
  </si>
  <si>
    <t>BLARD, Pierre-Henri/ABB-9401-2021; Martin, Leo/V-5865-2019; Vuille, Mathias/S-3906-2019; jomelli, vincent/AAO-9488-2020; Vuille, Mathias/O-8128-2019; Favier, Vincent/T-1936-2017</t>
  </si>
  <si>
    <t>Vuille, Mathias/0000-0002-9736-4518; jomelli, vincent/0000-0002-4512-5216; Martin, Leo/0000-0001-5405-0175; Favier, Vincent/0000-0001-6024-9498; Blard, Pierre-Henri/0000-0002-8455-8014</t>
  </si>
  <si>
    <t>IRD-LMI Great Ice</t>
  </si>
  <si>
    <t>This study was partly funded by the IRD-LMI Great Ice. We also acknowledge people who took part in the field campaign. We would like to extend our thanks both to I. Schimmelpfennig and an anonymous reviewer for their constructive remarks on an earlier version of this paper.</t>
  </si>
  <si>
    <t>10.18172/cig.3201</t>
  </si>
  <si>
    <t>WOS:000418809200012</t>
  </si>
  <si>
    <t>Alcalá-Reygosa, J</t>
  </si>
  <si>
    <t>Alcala-Reygosa, J.</t>
  </si>
  <si>
    <t>LAST LOCAL GLACIAL MAXIMUM AND DEGLACIATION OF THE ANDEAN CENTRAL VOLCANIC ZONE: THE CASE OF HUALCAHUALCA VOLCANO AND PATAPAMPA ALTIPLANO (SOUTHERN PERU)</t>
  </si>
  <si>
    <t>Cosmogenic Surface Exposure dating; Tropical Glaciation; Last Glacial Maximum; Younger Dryas; Antarctic Cold Reversal; Holocene; Andean Central Volcanic Zone; Southern Peru</t>
  </si>
  <si>
    <t>QUELCCAYA ICE CAP; COSMOGENIC CL-36; PRODUCTION-RATES; TROPICAL ANDES; BOLIVIAN ALTIPLANO; SOUTHEASTERN PERU; CORDILLERA; HOLOCENE; CHILE; BE-10</t>
  </si>
  <si>
    <t>The aim of this study is to constrain the timing of the deglaciation process since the Last Local Glacial Maximum in HualcaHualca volcano and Patapampa Altiplano, located in the Andean Central Volcanic Zone. Nine Cl-36 cosmogenic surface exposure dating of moraine boulders as well as polished and striated bedrock surfaces are presented. The Cl-36 cosmogenic exposure ages indicate that the glaciers reached their maximum extent at similar to 17-16 ka on the HualcaHualca volcano during the Heinrich 1 event and the Tauca paleolake cycle. Since then glaciers began to retreat until similar to 12 ka, when they went through a phase of readvance or stillstand. The deglaciation of HualcaHualca was constant since similar to 11.5 ka, coinciding with the disappearance of the ice cap from the Patapampa Altiplano. These glacial ages do not corroborate a Last Local Glacial Maximum prior to the global Last Glacial Maximum but they indicate a sensitive reaction of the glacier system to precipitation fluctuations. According to the analysis of cosmogenic exposure ages reported from HualcaHualca, Sajama and Tunupa volcanoes, the onset of deglaciation since Last Local Glacial Maximum occurred at the end of the Heinrich 1 event and the Tauca paleolake cycle in the Andean Central Volcanic Zone. However, the glacier retreat was not continuous because at least one significant readvance or stillstand phase has been reported in most of the volcanoes studied in this region although the ages cannot be clearly related to the Younger Dryas and/or the Antarctic Cold Reversal cold events. After this readvance or stillstand, the glaciers of the Central Volcanic Zone retreated, but at least three clear minor readvances evidence a not homogeneous warm and/or dry climate during the Holocene. Even though in situ cosmogenic exposure provides important glacial chronological data, it is difficult to establish a consistent regional glacial reconstruction and clear connections with the main Late Pleistocene cold episodes due to limitations associated with in situ cosmogenic production rates and the use of different scaling schemes. To reduce the uncertainty and compare the available cosmogenic ages, it would be necessary to determine a precise in situ cosmogenic production rate for each isotope in the Central Andes, a standard scaling scheme and recalculate the published chronological data.</t>
  </si>
  <si>
    <t>[Alcala-Reygosa, J.] Univ Nacl Autonoma Mexico, Fac Filosofia &amp; Letras, Ciudad Univ, Mexico City 04510, DF, Mexico; [Alcala-Reygosa, J.] Univ Complutense Madrid, Dept Geog, Res Grp High Mt Phys Geog, Madrid, Spain</t>
  </si>
  <si>
    <t>Universidad Nacional Autonoma de Mexico; Complutense University of Madrid</t>
  </si>
  <si>
    <t>Alcalá-Reygosa, J (corresponding author), Univ Complutense Madrid, Dept Geog, Res Grp High Mt Phys Geog, Madrid, Spain.</t>
  </si>
  <si>
    <t>jalcalar@ucm.es</t>
  </si>
  <si>
    <t>Spanish Ministry of Economy and Competitiveness [CGL2012-35858]</t>
  </si>
  <si>
    <t>This work was carried out with the support of Project CGL2012-35858 funded by the Spanish Ministry of Economy and Competitiveness. I acknowledge two anonymous reviewers, which suggestions helped to improve the manuscript.</t>
  </si>
  <si>
    <t>10.18172/cig.3231</t>
  </si>
  <si>
    <t>WOS:000418809200013</t>
  </si>
  <si>
    <t>Dochev, D; Idakieva, V; Ivanov, M; Velev, S; Bonev, K</t>
  </si>
  <si>
    <t>Dochev, Docho; Idakieva, Vyara; Ivanov, Marin; Velev, Stefan; Bonev, Kamen</t>
  </si>
  <si>
    <t>AMMONITE FAUNA FROM THE BYERS PENINSULA, LIVINGSTON ISLAND, SOUTH SHETLAND ISLANDS, ANTARCTICA</t>
  </si>
  <si>
    <t>Tithonian-Berriasian; ammonites; Livingston Island; Antarctica</t>
  </si>
  <si>
    <t>JURASSIC-CRETACEOUS BOUNDARY; AMMONOID BIOSTRATIGRAPHY; STRATIGRAPHY; SUCCESSION; ARGENTINA</t>
  </si>
  <si>
    <t>The Byers Group, exposed on the Byers Peninsula (Western Livingston Island, Antarctica), comprises thick Upper Jurassic-Lower Cretaceous sedimentary and volcanic succession, deposited in marginal fore-arc environments. The mudstones and coarse-grained sandstones of the Devils Point Formation and the President Beaches Formation, which are the most fossiliferous parts of the Byers Group, yielded various invertebrate fossils and plant remains. Relatively abundant and varied in species ammonite fauna was found in the upper Tithonian lower Berriasian sediments in the Devils Point and a part of President Beaches areas, in the southwestern part of the Byers Peninsula. The main focus of this work is the biostratigraphic interpretation of the newly collected ammonites, belonging to the genera Haplophylloceras Spath, 1925; Argentiniceras Spath, 1925; Spiticeras Spath, 1922; and Protancyloceras Spath, 1924.</t>
  </si>
  <si>
    <t>[Dochev, Docho; Idakieva, Vyara; Ivanov, Marin] Sofia Univ St Kliment Ohridski, Fac Geol &amp; Geog, Dept Geol Paleontol &amp; Fossil Fuels, 15 Tsar Osvoboditel Blvd, Sofia 1504, Bulgaria; [Velev, Stefan; Bonev, Kamen] Bulgarian Antarctic Inst, 15 Tsar Osvoboditel Blvd, Sofia 1504, Bulgaria</t>
  </si>
  <si>
    <t>University of Sofia</t>
  </si>
  <si>
    <t>Dochev, D (corresponding author), Sofia Univ St Kliment Ohridski, Fac Geol &amp; Geog, Dept Geol Paleontol &amp; Fossil Fuels, 15 Tsar Osvoboditel Blvd, Sofia 1504, Bulgaria.</t>
  </si>
  <si>
    <t>dochev@gea.uni-sofia.bg</t>
  </si>
  <si>
    <t>Dochev, Docho/AAL-3815-2021; Idakieva, Vyara/AAL-5539-2021</t>
  </si>
  <si>
    <t>FR9WA</t>
  </si>
  <si>
    <t>WOS:000419422600010</t>
  </si>
  <si>
    <t>Chen, XJ; Jiang, QX; Xu, YS; Xia, WS</t>
  </si>
  <si>
    <t>Chen, Xuejiao; Jiang, Qixing; Xu, Yanshun; Xia, Wenshui</t>
  </si>
  <si>
    <t>Recovery of Chitin from Antarctic Krill (Euphausia superba) Shell Waste by Microbial Deproteinization and Demineralization</t>
  </si>
  <si>
    <t>JOURNAL OF AQUATIC FOOD PRODUCT TECHNOLOGY</t>
  </si>
  <si>
    <t>Krill shell waste; Bacillus subtilis; Lactobacillus plantarum; deproteinization (DP); demineralization (DM); chitin</t>
  </si>
  <si>
    <t>BACILLUS-SUBTILIS FERMENTATION; SHRIMP WASTES; CHITOSAN; PURIFICATION; BIOWASTE; PROTEASE</t>
  </si>
  <si>
    <t>A two-stage fermentation process of deproteinization and demineralization was used to purify chitin from Antarctic krill shell waste. Two bacterial cultures were isolated and tested for the degradation of krill shell waste. According to the morphological examination, physiological tests, and applied molecular techniques conducted, isolates were identified as Bacillus subtilis and Lactobacillus plantarum. At a temperature of 37 degrees C, both strains were cultivated separately in flasks containing krill shell waste. At determined periods of time, deproteinization and demineralization of residuals were measured. For deproteinization tests, the liquid phase fermentation of krill shell waste showed protein removal of 88.9% after 60 h. For demineralization tests, the liquid phase fermentation of krill shell waste showed calcium carbonate removal of 84.6% after 72 h. Fourier transform infrared spectroscopy (FTIR) analysis of chitin prepared by the process was carried out and compared with spectra of samples treated by strong acids and bases.</t>
  </si>
  <si>
    <t>[Chen, Xuejiao; Jiang, Qixing; Xu, Yanshun; Xia, Wenshui] Jiangnan Univ, Sch Food Sci &amp; Technol, State Key Lab Food Sci &amp; Technol, 1800 Lihu Ave, Wuxi, Jiangsu, Peoples R China</t>
  </si>
  <si>
    <t>Jiangnan University</t>
  </si>
  <si>
    <t>Jiang, QX (corresponding author), Jiangnan Univ, Sch Food Sci &amp; Technol, State Key Lab Food Sci &amp; Technol, 1800 Lihu Ave, Wuxi, Jiangsu, Peoples R China.</t>
  </si>
  <si>
    <t>qixingj@163.com</t>
  </si>
  <si>
    <t>Chen, Xuejiao/HRB-0042-2023</t>
  </si>
  <si>
    <t>Chen, Xuejiao/0000-0002-6383-0058</t>
  </si>
  <si>
    <t>National High Technology Research and Development Program of China [2011AA090801]; Agricultural Science Technology Achievement Transformation Fund [2014GB2C100312]</t>
  </si>
  <si>
    <t>National High Technology Research and Development Program of China(National High Technology Research and Development Program of China); Agricultural Science Technology Achievement Transformation Fund</t>
  </si>
  <si>
    <t>This study was supported by the National High Technology Research and Development Program of China [grant number 2011AA090801] and the Agricultural Science Technology Achievement Transformation Fund [grant number 2014GB2C100312].</t>
  </si>
  <si>
    <t>1049-8850</t>
  </si>
  <si>
    <t>1547-0636</t>
  </si>
  <si>
    <t>J AQUAT FOOD PROD T</t>
  </si>
  <si>
    <t>J. Aquat. Food Prod. Technol.</t>
  </si>
  <si>
    <t>10.1080/10498850.2015.1094686</t>
  </si>
  <si>
    <t>FR8XO</t>
  </si>
  <si>
    <t>WOS:000419358200011</t>
  </si>
  <si>
    <t>Suganuma, Y; Kawamata, M; Shiramizu, K; Koyama, T; Doi, K; Kaneda, H; Aoyama, Y; Hayakawa, H; Obanawa, H</t>
  </si>
  <si>
    <t>Suganuma, Yusuke; Kawamata, Moto; Shiramizu, Kaoru; Koyama, Takushi; Doi, Koichiro; Kaneda, Heitaro; Aoyama, Yuichi; Hayakawa, Hideaki; Obanawa, Hiroyuki</t>
  </si>
  <si>
    <t>Unmanned Aerial Vehicle (UAV)-based Survey in Antarctica for High-definition Topographic Measurements</t>
  </si>
  <si>
    <t>JOURNAL OF GEOGRAPHY-CHIGAKU ZASSHI</t>
  </si>
  <si>
    <t>Chinese</t>
  </si>
  <si>
    <t>Unmanned Aerial Vehicle (UAV); East Antarctica; Dronning Maud Land; Soya Coast; Structure from Motion (SfM)</t>
  </si>
  <si>
    <t>DRONNING MAUD LAND; LUTZOW-HOLM BAY; EAST ANTARCTICA; UAV; EXPOSURE; HISTORY; BE-10</t>
  </si>
  <si>
    <t>Unmanned aerial vehicle-based Structure from Motion(UAV-SfM) photogrammetry is becoming increasingly important for obtaining high-definition topographic data in a variety of earth science research. Antarctica is one of the best fields in which UAV-SfM surveys are applied, because detailed geomorphological data are essential for reconstructing past Antarctic ice sheet changes and understanding landform evolution processes in a hyper-arid and hypothermal environment. However, application of UAVs in Antarctica has been limited because of difficulties arising from low temperatures and the restricted availability of the Global Navigation Satellite System (GNSS)-assisted navigation system at high latitudes. In this article, we provide methodological solutions for these difficulties, and report several preliminary results of UAV surveys in central Dronning Maud Land and the Soya Coast in East Antarctica. A digital elevation model (DEM) obtained in central Dronning Maud Land clearly shows 3D structures of polygons developed on glacial tills. At the Soya Coast, a DEM analysis reveals detailed geomorphological characteristics, such as moraine ridges originating from a former ice stream and differential erosion of the basement due to weathering. Based on these results, we suggest that the UAV survey has certain merits for conducting an efficient field survey in the extremely large areas of Antarctica within a limited time, and has great potential for reconstructing past Antarctic ice sheet changes and obtaining a further understanding of landform evolution processes.</t>
  </si>
  <si>
    <t>[Suganuma, Yusuke; Doi, Koichiro; Aoyama, Yuichi; Hayakawa, Hideaki] Natl Inst Polar Res, Geosci Grp, Tachikawa, Tokyo 1908518, Japan; [Suganuma, Yusuke; Kawamata, Moto; Shiramizu, Kaoru; Doi, Koichiro; Aoyama, Yuichi] Grad Univ Adv Studies SOKENDAI, Sch Multidisciplinary Sci, Dept Polar Sci, Tachikawa, Tokyo 1908518, Japan; [Koyama, Takushi] Oita Univ, Dept Geog, Fac Educ, Oita 8701192, Japan; [Kaneda, Heitaro] Chiba Univ, Dept Earth Sci, Chiba 2638522, Japan; [Obanawa, Hiroyuki] Chiba Univ, Ctr Environm Remote Sensing, Chiba 2638522, Japan; [Obanawa, Hiroyuki] VisionTech Inc, Tsukuba, Ibaraki 3050045, Japan</t>
  </si>
  <si>
    <t>Research Organization of Information &amp; Systems (ROIS); National Institute of Polar Research (NIPR) - Japan; Graduate University for Advanced Studies - Japan; Oita University; Chiba University; Chiba University</t>
  </si>
  <si>
    <t>Suganuma, Y (corresponding author), Natl Inst Polar Res, Geosci Grp, Tachikawa, Tokyo 1908518, Japan.;Suganuma, Y (corresponding author), Grad Univ Adv Studies SOKENDAI, Sch Multidisciplinary Sci, Dept Polar Sci, Tachikawa, Tokyo 1908518, Japan.</t>
  </si>
  <si>
    <t>Grants-in-Aid for Scientific Research [16H05739, 16H03112, 17H06322] Funding Source: KAKEN</t>
  </si>
  <si>
    <t>Grants-in-Aid for Scientific Research(Ministry of Education, Culture, Sports, Science and Technology, Japan (MEXT)Japan Society for the Promotion of ScienceGrants-in-Aid for Scientific Research (KAKENHI))</t>
  </si>
  <si>
    <t>TOKYO GEOGRAPHICAL SOC</t>
  </si>
  <si>
    <t>12-2 NIBANCHO, CHIYODAKU-KU, TOKYO, 102-0084, JAPAN</t>
  </si>
  <si>
    <t>0022-135X</t>
  </si>
  <si>
    <t>1884-0884</t>
  </si>
  <si>
    <t>J GEOGR</t>
  </si>
  <si>
    <t>J. Geogr.</t>
  </si>
  <si>
    <t>10.5026/jgeography.126.1</t>
  </si>
  <si>
    <t>FQ9ZA</t>
  </si>
  <si>
    <t>WOS:000418719200001</t>
  </si>
  <si>
    <t>Wang, L; Hu, XQ; Chen, L</t>
  </si>
  <si>
    <t>Neeck, SP; Bezy, JL; Kimura, T; Shimoda, H; Meynart, R</t>
  </si>
  <si>
    <t>Wang, Ling; Hu, Xiuqing; Chen, Lin</t>
  </si>
  <si>
    <t>Assessment of BRDF effect of Kunlun Mountain glacier on Tibetan Plateau as a Potential Pseudo-Invariant Calibration Site</t>
  </si>
  <si>
    <t>SENSORS, SYSTEMS, AND NEXT-GENERATION SATELLITES XXI</t>
  </si>
  <si>
    <t>Conference on Sensors, Systems, and Next-Generation Satellites XXI</t>
  </si>
  <si>
    <t>SEP 11-14, 2017</t>
  </si>
  <si>
    <t>Warsaw, POLAND</t>
  </si>
  <si>
    <t>BRDF; Pseudo-Invariant Calibration Site; calibration; glacier over Tibetan Plateau; MODIS</t>
  </si>
  <si>
    <t>ABSOLUTE CALIBRATION; SOLAR BANDS; REFLECTANCE; SENSORS</t>
  </si>
  <si>
    <t>Calibration is a critical step to ensure data quality and to meet the requirement of quantitative remote sensing in a broad range of scientific applications. One of the least expensive and increasingly popular methods of on-orbit calibration is the use of pseudo invariant calibration sites (PICS). A spatial homogenous and temporally stable area of 34 km 2 in size around the center of Kunlun Mountain (KLM) over Tibetan Plateau (TP) was identified by our previous study. The spatial and temporal coefficient of variation (CV) this region was better than 4% for the reflective solar bands. In this study, the BRDF impacts of KLM glacier on MODIS observed TOA reflectance in band 1 (659 nm) are examined. The BRDF impact of KLM glacier with respect to the view zenith angle is studied through using the observations at a fixed solar zenith angle, and the effect with respect to the sun zenith angle is studied based on the observations collected at the same view angle. Then, the two widely used BRDF models are applied to our test data to simulate the variations of TOA reflectance due to the changes in viewing geometry. The first one is Ross-Li model, which has been used to produce the MODIS global BRDF albedo data product. The second one is snow surface BRDF model, which has been used to characterize the bidirectional reflectance of Antarctic snow. Finally, the accuracy and effectiveness of these two different BRDF models are tested through comparing the model of simulated TOA reflectance with the observed one. The results show that variations of the reflectances at a fixed solar zenith angle are close to the lambertian pattern, while those at a fixed sensor zenith angle are strongly anisotropic. A decrease in solar zenith angle from 50 degrees to 20 degrees causes an increase in reflectance by the level of approximated 50%. The snow surface BRDF model performs much better than the Ross-Li BRDF model to re-produce the Bi-Directional Reflectance of KLM glacier. The RMSE of snow surface BRDF model is 3.60%, which is only half of the RMSE when using Ross-Li model.</t>
  </si>
  <si>
    <t>[Wang, Ling; Hu, Xiuqing; Chen, Lin] Meteorol Adm, Key Lab Radiometr Calibrat &amp; Validat Environm Sat, Beijing 100081, Peoples R China</t>
  </si>
  <si>
    <t>Wang, L (corresponding author), Meteorol Adm, Key Lab Radiometr Calibrat &amp; Validat Environm Sat, Beijing 100081, Peoples R China.</t>
  </si>
  <si>
    <t>lingw@cma.cn</t>
  </si>
  <si>
    <t>Hu, Xiuqing/E-6625-2011</t>
  </si>
  <si>
    <t>National Natural Science Foundation of China [41401417]</t>
  </si>
  <si>
    <t>The support from Project supported by the National Natural Science Foundation of China (Grant No. 41401417) is acknowledged.</t>
  </si>
  <si>
    <t>978-1-5106-1311-9; 978-1-5106-1310-2</t>
  </si>
  <si>
    <t>UNSP 1042320</t>
  </si>
  <si>
    <t>10.1117/12.2278203</t>
  </si>
  <si>
    <t>Engineering, Aerospace; Remote Sensing; Optics</t>
  </si>
  <si>
    <t>Engineering; Remote Sensing; Optics</t>
  </si>
  <si>
    <t>BJ1YX</t>
  </si>
  <si>
    <t>WOS:000418446600042</t>
  </si>
  <si>
    <t>Vianello, P; Ansorge, IJ; Rouault, M; Ostrowski, M</t>
  </si>
  <si>
    <t>Vianello, P.; Ansorge, I. J.; Rouault, M.; Ostrowski, M.</t>
  </si>
  <si>
    <t>Transport and transformation of surface water masses across the Mascarene Plateau during the Northeast Monsoon season</t>
  </si>
  <si>
    <t>AFRICAN JOURNAL OF MARINE SCIENCE</t>
  </si>
  <si>
    <t>cruise survey; geostrophic velocities; satellite altimetry; Seychelles Bank; South Equatorial Current; sub-mesoscale circulation; water masses; western Indian Ocean</t>
  </si>
  <si>
    <t>SOUTH INDIAN-OCEAN; CIRCULATION</t>
  </si>
  <si>
    <t>The Mascarene Plateau lies in the south-west Indian Ocean between the islands of Mauritius and the Seychelles Bank, and is characterised by a series of shallow banks separated by deep (&gt;1 000 m), narrow channels. The plateau acts as an obstruction to the general ocean circulation in this region, separating the westward-flowing South Equatorial Current (SEC) into two branches downstream of the plateau. In this article, we present the results of a survey conducted along the entire Mascarene Plateau during the Northeast Monsoon, in October-November 2008. In addition, data from Argo floats were used to determine the origin of water masses entering this region. The plateau contains three gaps through which branches of the SEC are channelled. The northern, central and southern gaps receive 14.93 Sv, 14.41 Sv and 6.19 Sv, respectively. Although there are differences in water-mass properties to the west and east of the Mascarene Plateau due to mixing, the SEC acts as a sharp boundary between water masses of southern and northern Indian Ocean origin. Mixing occurs in the central gap between intermediate water masses (Red Sea Water [RSW] and Antarctic Intermediate Water [AAIW]) as well as in the upper waters (Subtropical Surface Water [STSW] and Indonesian Throughflow Water [ITW]). Through the northern gap, mixing occurs between Arabian Sea High-Salinity Water (ASHSW), ITW and Tropical Surface Water (TSW), while through the southern gap, mixing occurs between STSW and ITW. North Indian Deep Water (NIDW) is present in the region but the plateau appears to have no effect on it.</t>
  </si>
  <si>
    <t>[Vianello, P.; Rouault, M.] Univ Cape Town, Nansen Tutu Ctr Marine Environm Res, Cape Town, South Africa; [Ansorge, I. J.; Rouault, M.] Univ Cape Town, Marine Res Inst, Dept Oceanog, Cape Town, South Africa; [Ostrowski, M.] Inst Marine Res, Bergen, Norway; [Vianello, P.] Nelson Mandela Univ, Reg Ocean Sci &amp; Marine Food Secur Res Ctr, Ocean Sci Campus, Port Elizabeth, South Africa</t>
  </si>
  <si>
    <t>University of Cape Town; University of Cape Town; Institute of Marine Research - Norway; Nelson Mandela University</t>
  </si>
  <si>
    <t>Vianello, P (corresponding author), Univ Cape Town, Nansen Tutu Ctr Marine Environm Res, Cape Town, South Africa.;Vianello, P (corresponding author), Nelson Mandela Univ, Reg Ocean Sci &amp; Marine Food Secur Res Ctr, Ocean Sci Campus, Port Elizabeth, South Africa.</t>
  </si>
  <si>
    <t>patrick.vianello2@gmail.com</t>
  </si>
  <si>
    <t>Rouault, Mathieu/A-5022-2008; ANSORGE, ISABELLE/AAY-7396-2020</t>
  </si>
  <si>
    <t>Rouault, Mathieu/0000-0002-3207-6777; Ansorge, Isabelle/0000-0001-7071-8147</t>
  </si>
  <si>
    <t>National Research Foundation (NRF); Nansen-Tutu Centre for Marine Environmental Research (South Africa)</t>
  </si>
  <si>
    <t>This work is dedicated to the memory of Professor Johann Lutjeharms, as this research would have been impossible to complete without him. He designed the cruise track over the Mascarene Plateau, which provided the data for this study, and he was the first author's supervisor. We thank the scientists, captain and crew on board the Dr Fridtjof Nansen during the October/November 2008 cruise for collecting data required for analysis in this research. The National Research Foundation (NRF) and the Nansen-Tutu Centre for Marine Environmental Research (South Africa) are thanked for financial support.</t>
  </si>
  <si>
    <t>NATL INQUIRY SERVICES CENTRE PTY LTD</t>
  </si>
  <si>
    <t>GRAHAMSTOWN</t>
  </si>
  <si>
    <t>19 WORCESTER STREET, PO BOX 377, GRAHAMSTOWN 6140, SOUTH AFRICA</t>
  </si>
  <si>
    <t>1814-232X</t>
  </si>
  <si>
    <t>1814-2338</t>
  </si>
  <si>
    <t>AFR J MAR SCI</t>
  </si>
  <si>
    <t>Afr. J. Mar. Sci.</t>
  </si>
  <si>
    <t>10.2989/1814232X.2017.1400999</t>
  </si>
  <si>
    <t>FR2KT</t>
  </si>
  <si>
    <t>WOS:000418896600008</t>
  </si>
  <si>
    <t>Mikhalenko, VN; Kutuzov, SS; Ekaykin, AA; Lavrantiev, II; Kozachek, AV; Chernov, RA</t>
  </si>
  <si>
    <t>Mikhalenko, V. N.; Kutuzov, S. S.; Ekaykin, A. A.; Lavrantiev, I. I.; Kozachek, A. V.; Chernov, R. A.</t>
  </si>
  <si>
    <t>Isotopic composition of snow and ice on the glaciers of Novaya Zemlya</t>
  </si>
  <si>
    <t>Arctic; glaciers; Novaya Zemlya; stable isotopes</t>
  </si>
  <si>
    <t>SEVERNAYA ZEMLYA; CLIMATE-CHANGE; CORE; TEMPERATURE; VARIABILITY; RECORDS; EXTENT; SHEET; CAP</t>
  </si>
  <si>
    <t>In 2015-2016 during the research expeditions of Institute of Oceanology, Russian Academy of Sciences the study of stable water isotopes (O-18 and D) was conducted on glaciers of Novaya Zemlya. As a result, first data on isotopic composition of seasonal snow cover and glacial ice of different ages were obtained and its connection to recent climate change has been shown. The first studies of the isotopic composition of snow cover and glacial ice at Novaya Zemlya allowed determine the average values and the range of variability of delta O-18 and delta D. It shown that for the Northern ice cap glacial ice d18O vary within -13.91 divided by -15.83 % with an average value of -14.93 % and - 103,95 divided by -116.75 % for delta D at -109.88 % mean value. The maximum variations were recorded for summer snow samples (-8.35 % for delta O-18 and -55.79 % for delta D), as well as for the horizon of superimposed ice (-20.67 % for delta O-18 and -151.48 % for delta D) where isotopic composition has been inherited from winter precipitation. Insignificant differences in the coefficients of the meteoric water regression equation for precipitation on GNIP stations and glacial ice at Novaya Zemlya indicate similar conditions of air masses and precipitation formation both at GNIP station and on glaciers. Deuterium excess showed no seasonal fluctuations, and its values did not exceed 15 %, which shows that the proportion of continental precipitation of moisture is very low. Analysis of isotopic profiles obtained on the glaciers of Novaya Zemlya indicated the presence of significant melting. This applies not only to the modern shallow horizons, but also to the part of the glacial strata that formed in the highest part of the archipelago close to ice divide and came to the surface at the Serp i Molot Glacier tongue. Therefore, in terms of ice core palaeogeographic reconstructions the most interesting site is the highest part of the Northern ice cap where it is possible to assume the existence of colder horizons formed during the Little Ice Age and where the seasonal geochemical signal may be preserved.</t>
  </si>
  <si>
    <t>[Mikhalenko, V. N.; Kutuzov, S. S.; Lavrantiev, I. I.; Chernov, R. A.] Russian Acad Sci, Inst Geog, Moscow, Russia; [Ekaykin, A. A.; Kozachek, A. V.] Arctic &amp; Antarctic Res Inst, St Petersburg, Russia</t>
  </si>
  <si>
    <t>Russian Academy of Sciences; Institute of Geography, Russian Academy of Sciences; Arctic &amp; Antarctic Research Institute</t>
  </si>
  <si>
    <t>Mikhalenko, VN (corresponding author), Russian Acad Sci, Inst Geog, Moscow, Russia.</t>
  </si>
  <si>
    <t>mikhalenko@hotmail.com</t>
  </si>
  <si>
    <t>Chernov, Robert/AAH-5151-2021; Kutuzov, Stanislav/A-2775-2013; Kozachek, Anna V./JCE-4791-2023; Kozachek, Anna V./Q-4543-2016; Mikhalenko, Vladimir N/A-4253-2014</t>
  </si>
  <si>
    <t>Kutuzov, Stanislav/0000-0003-2007-0922; Kozachek, Anna V./0000-0002-9704-8064; Mikhalenko, Vladimir/0000-0001-6097-9861; Chernov, Robert/0000-0003-4186-2769</t>
  </si>
  <si>
    <t>RNF [14-17-00764]; Russian Science Foundation [14-17-00764] Funding Source: Russian Science Foundation</t>
  </si>
  <si>
    <t>RNF(Russian Science Foundation (RSF)); Russian Science Foundation(Russian Science Foundation (RSF))</t>
  </si>
  <si>
    <t>This work was supported by the RNF grant 14-17-00764. R.A. Chernov conducted research on the hydrothermal regime of the glaciers of Novaya Zemlya in accordance with the State pro. gram of fundamental scientific research (GP 14) Estimates of the current state and current changes in the internal hydrothermal regime of glaciers, with data on reference glaciers (0148-2014-0006). Un-published meteorological data were used in writing this work, courtesy of E.A. Alexandrov (AARI).</t>
  </si>
  <si>
    <t>10.15356/2076-6734-2017-3-293-306</t>
  </si>
  <si>
    <t>WOS:000418522200002</t>
  </si>
  <si>
    <t>Alekhina, IA; Moskvin, AL; Ekaykin, AA; Lipenkov, VY</t>
  </si>
  <si>
    <t>Alekhina, I. A.; Moskvin, A. L.; Ekaykin, A. A.; Lipenkov, V. Ya.</t>
  </si>
  <si>
    <t>Phenol compounds in the borehole 5G, Vostok station, after the unlocking of the subglacial lake</t>
  </si>
  <si>
    <t>Antarctica; drilling fluid; freezing; hydrocarbons; SALE; secondary ice core</t>
  </si>
  <si>
    <t>ANTARCTICA</t>
  </si>
  <si>
    <t>The main results after the first unlocking into the subglacial Lake Vostok were as follows: the Lake had been opened and not polluted; the water pressure within the lake was not balanced by a column of the drilling liquid that resulted in unplanned rise of water in the borehole up to 340 m. The main problem during the drilling in the lake ice was to prevent a pollution of water by the drilling fluid, which filled the borehole, and thus, to avoid a compression of the fluid which could be the main source of chemical and biological pollution of not only the Lake itself, but also the Lake water samples and ice cores. The article presents results of analysis of causes for the occurrence of phenolic compounds in the central channel in the core of secondary ice, being formed by the lake water that rose into the well after the first penetration (the range of depths was 3426-3450 m). It was found that the process, running within the borehole during the drilling, can be described as the fractionation of phenolic compounds, being contained in the filling liquid, to the water phase with its subsequent freezing. We have developed methods for the determination of concentrations of phenolic compounds in the original aviation kerosene and Freon HCFC-141b: 6. mg.l(-1) and 0.032 mg.l(-1), respectively. To analyze the composition of phenolic compounds in the extract of real filling liquid, located at the bottom of the borehole, the method of gas chromatography-mass spectrometry (GC-MS) was used. The corresponding peaks were quite well resolved and identified as phenol and its derivatives. The main components of the extract were phenol (20%), 2.5-dimethyl phenol (23,8%), 2,4,6-trimeth-ylphenol, and other congeners of phenol. In our case, the Lake Vostok was not polluted during both, the first and second penetrations, however, the problem of human impact on these pristine and unique subglacial reservoirs remains extremely relevant. This impact includes not only direct water pollution of the lake by the drilling fluid, but also possible changes in organic components of the liquid when contacting with the lake water under natural conditions of a deep well. Our data have demonstrated that using of such complex organic liquids, like aviation kerosene formerly used in many drilling projects, is undesirable when exploring deep Antarctic subglacial lakes. Thus, we come to the conclusion that the drilling fluid, currently used at the Vostok station (in the Vostok borehole), has to be replaced by another more inert fluid that would allow further research and exploration of the Lake Vostok.</t>
  </si>
  <si>
    <t>[Alekhina, I. A.; Ekaykin, A. A.; Lipenkov, V. Ya.] Arctic &amp; Antarctic Res Inst, St Petersburg, Russia; [Moskvin, A. L.; Ekaykin, A. A.] St Petersburg State Univ, St Petersburg, Russia</t>
  </si>
  <si>
    <t>Arctic &amp; Antarctic Research Institute; Saint Petersburg State University</t>
  </si>
  <si>
    <t>Alekhina, IA (corresponding author), Arctic &amp; Antarctic Res Inst, St Petersburg, Russia.</t>
  </si>
  <si>
    <t>alekhina@aari.ru</t>
  </si>
  <si>
    <t>Alekhina, Irina A/L-2163-2016</t>
  </si>
  <si>
    <t>Russian Science Foundation [14-27-00030]; Russian Science Foundation [14-27-00030] Funding Source: Russian Science Foundation</t>
  </si>
  <si>
    <t>Russian Science Foundation(Russian Science Foundation (RSF)); Russian Science Foundation(Russian Science Foundation (RSF))</t>
  </si>
  <si>
    <t>The authors are indebted to the St Petersburg Mining University drilling team headed by prof. N.I. Vasiliev for the samples of ice cores. The logistic operations in Antarctica were provided by the Russian Antarctic Expedition. The research was financially supported by the Russian Science Foundation, grant no. 14-27-00030.</t>
  </si>
  <si>
    <t>10.15356/2076-6734-2017-3-417-426</t>
  </si>
  <si>
    <t>WOS:000418522200012</t>
  </si>
  <si>
    <t>Popov, SV; Pryakhin, SS; Bliakharskii, DP; Pryakhina, GV; Tyurin, SV</t>
  </si>
  <si>
    <t>Popov, S. V.; Pryakhin, S. S.; Bliakharskii, D. P.; Pryakhina, G. V.; Tyurin, S. V.</t>
  </si>
  <si>
    <t>Vast ice depression in Dalk Glacier, East Antarctica</t>
  </si>
  <si>
    <t>Antarctic glaciology; glacier hydrology; jokulhlaups; subglacial processes; subglacier floods</t>
  </si>
  <si>
    <t>SUBGLACIAL LAKES</t>
  </si>
  <si>
    <t>In the afternoon of January 30, 2017, the wide depression in the western part of the Dalk Glacier, East Antarctica, was formed. By coincidence, aerial surveying was carried out in this area, so it is possible to assess the extent of this catastrophic phenomenon. Aerial photos were taken on January 20 and February 9, 2017, respectively. Based on the photographic data, the size of the depression were 183 x 220 m, and its area reached 40.260 m(2). The depth of the depression in the early days was 20-30 meters; the maximum measured depth was 43 m. An approximate volume of the cavern was about 884,013 m(3). On preliminary conclusions, this event should be the similar jokulhlaups, when the water of Boulder Lake broke the icy border and rushed downstream under Dalk Glacier to Prudz Bay.</t>
  </si>
  <si>
    <t>[Popov, S. V.] Polar Marine Geosurvey Expedit, St Petersburg, Russia; [Pryakhin, S. S.] Arctic &amp; Antarctic Res Inst, St Petersburg, Russia; [Bliakharskii, D. P.] SE Geoscan, St Petersburg, Russia; [Pryakhina, G. V.; Tyurin, S. V.] St Petersburg State Univ, St Petersburg, Russia</t>
  </si>
  <si>
    <t>Popov, SV (corresponding author), Polar Marine Geosurvey Expedit, St Petersburg, Russia.</t>
  </si>
  <si>
    <t>spopov67@yandex.ru</t>
  </si>
  <si>
    <t>Pryakhin, Sergey/AAC-3666-2022; Popov, Sergey V./I-2319-2013; Popov, Sergey/IYJ-2371-2023; Bliakharskii, Dmitrii/G-3792-2015</t>
  </si>
  <si>
    <t>Pryakhin, Sergey/0000-0003-3687-6154; Popov, Sergey V./0000-0002-1830-8658; Popov, Sergey/0000-0002-1830-8658; Tyurin, Sergey/0000-0002-6020-4537; Bliakharskii, Dmitrii/0000-0002-5528-8932; Prahina, Galina/0000-0003-3684-4638</t>
  </si>
  <si>
    <t>10.15356/2076-6734-2017-3-427-432</t>
  </si>
  <si>
    <t>WOS:000418522200013</t>
  </si>
  <si>
    <t>Kotlyakov, VM; Chernova, LP; Muraviev, AY; Khromova, TE; Zverkova, NM</t>
  </si>
  <si>
    <t>Kotlyakov, V. M.; Chernova, L. P.; Muraviev, A. Ya.; Khromova, T. E.; Zverkova, N. M.</t>
  </si>
  <si>
    <t>Changes of mountain glaciers in the Southern and Northern Hemispheres over the past 160 years</t>
  </si>
  <si>
    <t>glaciation area; glacier dynamics; glaciological databases; mountain glaciers</t>
  </si>
  <si>
    <t>ICE-AGE</t>
  </si>
  <si>
    <t>Changes of the glacier areas were analyzed. Rates of the area reduction of glaciers and glacier systems were compared over the course of the past 160 years as well as during shorter time intervals for the same period. On average for the whole period, the glacier areas decreased by a few tenths of a percent from the original in a year. Note, that this value was formed by rates for periods of the glacier retreating and advancing which were comparable by their intensities with rates from tenths of a percent to several percents of area in a year. In the first and the last thirds of the 20th century, when a rise of the air temperature decelerated, a number of advancing glaciers increased in both hemispheres. During these periods the same glaciers advanced (up to 25% of the total quantity of the investigated glaciers in the Alps). The second third of the 20th and the beginning of the 21st century were characterized by intensification of the temperature rise, and as the consequence of that, the number of advancing glaciers decreased, and rates of the area reductions increased over the whole globe. This dynamics was in a good agreement with the sea ice fluctuations in both, the Arctic and Antarctic regions, where the ice coverage increased in the 1960-1970 and in the second tenth of XXI century. So, deceleration of the climate warming in that time was followed by increasing of the Arctic and Antarctic sea ice coverage and by deceleration of the area reduction of the mountain glacierization in some regions.</t>
  </si>
  <si>
    <t>[Kotlyakov, V. M.; Chernova, L. P.; Muraviev, A. Ya.; Khromova, T. E.; Zverkova, N. M.] Russian Acad Sci, Inst Geog, Moscow, Russia</t>
  </si>
  <si>
    <t>Institute of Geography, Russian Academy of Sciences; Russian Academy of Sciences</t>
  </si>
  <si>
    <t>Chernova, LP (corresponding author), Russian Acad Sci, Inst Geog, Moscow, Russia.</t>
  </si>
  <si>
    <t>ludmila.chernova@gmail.com</t>
  </si>
  <si>
    <t>Khromova, Tatiana/N-2383-2013; Muraviev, Anton Yaroslavovich/O-7501-2015</t>
  </si>
  <si>
    <t>Muraviev, Anton Yaroslavovich/0000-0001-9763-527X</t>
  </si>
  <si>
    <t>10.15356/2076-6734-2017-4-453-467</t>
  </si>
  <si>
    <t>FQ7DM</t>
  </si>
  <si>
    <t>WOS:000418523000002</t>
  </si>
  <si>
    <t>Losev, SM; Dyment, LN; Mironov, YU</t>
  </si>
  <si>
    <t>Losev, S. M.; Dyment, L. N.; Mironov, Ye. U.</t>
  </si>
  <si>
    <t>Length of large leads in drifting ice of the sub-Atlantic part of the Arctic Basin with the use of satellite images</t>
  </si>
  <si>
    <t>average length of leads; fluctuations of the lead length; leads in the ice cover; relative length of leads</t>
  </si>
  <si>
    <t>Data on the extent of the large discontinuities of drifting ice in the Western part of the Arctic basin are analyzed for the period from October 2005 to September 2012. The data were obtained as a result of decoding the low resolution images received from the NOAA satellites. Areas with the low, medium and high lengths of the leads were isolated. It was found that, during the entire ice cycle, areas with low lengths (less than 100 km) were the most numerous. Definite seasonal as well as inter-annual variations were also determined in the changes of repeatability of the lead lengths in the ice cover, its relative value and the average values. They are manifested in changes of the mentioned parameters being calculated for both, the whole set of leads, and separately from data within each of the isolated areas. The seasonal variations of these parameters are shown to be consistent with the well-known intra-annual changes in the state of drifting ice, consisting in the development of the process of ice formation from October to March, and the subsequent destruction of the ice fields in April-June. Fluctuations with duration up to five years were revealed within the inter-annual changes of characteristics of the lengths of leads. The presence of these inter-annual changes may be explained by the development of the processes leading to weakening of drifting ice during the period under consideration. The assumption that the fluctuations in the length of discontinuities of the ice were related to the changes of the rate of the ice drift is grounded.</t>
  </si>
  <si>
    <t>[Losev, S. M.; Dyment, L. N.; Mironov, Ye. U.] Arctic &amp; Antarctic Res Inst, St Petersburg, Russia</t>
  </si>
  <si>
    <t>Dyment, LN (corresponding author), Arctic &amp; Antarctic Res Inst, St Petersburg, Russia.</t>
  </si>
  <si>
    <t>ldyment@yandex.ru</t>
  </si>
  <si>
    <t>Dyment, Ludmila N/J-4289-2014; Mironov, Yevgeny Uarovich/ADV-4713-2022</t>
  </si>
  <si>
    <t>Mironov, Yevgeny Uarovich/0000-0001-8390-8011</t>
  </si>
  <si>
    <t>Ministry of Education and Science of the Russian Federation [RFMEFI61014X0006, 14.610.21.0006]</t>
  </si>
  <si>
    <t>Ministry of Education and Science of the Russian Federation(Ministry of Education and Science, Russian Federation)</t>
  </si>
  <si>
    <t>The article was prepared on the basis of materials on applied scientific studies and experimental developments. Funding for this research was provided by the Ministry of Education and Science of the Russian Federation, Project RFMEFI61014X0006, Agreement No. 14.610.21.0006 Development of new methods and techniques for monitoring of geophysical and hydrometeorological state of Spitsbergen and the Russian West Arctic.</t>
  </si>
  <si>
    <t>10.15356/2076-6734-2017-4-543-552</t>
  </si>
  <si>
    <t>WOS:000418523000009</t>
  </si>
  <si>
    <t>Walker, SE; Hancock, LG; Bowser, SS</t>
  </si>
  <si>
    <t>Walker, Sally E.; Hancock, Leanne G.; Bowser, Samuel S.</t>
  </si>
  <si>
    <t>DIVERSITY, BIOGEOGRAPHY, BODY SIZE AND FOSSIL RECORD OF PARASITIC AND SUSPECTED PARASITIC FORAMINIFERA: A REVIEW</t>
  </si>
  <si>
    <t>JOURNAL OF FORAMINIFERAL RESEARCH</t>
  </si>
  <si>
    <t>BENTHIC FORAMINIFERA; N-SP; LIFE; BIODIVERSITY; BIOEROSION; EVOLUTION; GEN; ORBITOIDES; TALPINELLA; PREDATORS</t>
  </si>
  <si>
    <t>We review the ecology and fossil record of parasitic and suspected parasitic foraminifera. Nine species of foraminifera are known to be parasitic, obtaining nutrients from their host, and 13 are suspected parasites that require taxonomic and eco-logic work to document their trophic relationships. Roughly 0.22% and 0.32% of all benthic foraminifera are known or suspected parasites, respectively. Endo- and ectoparasites are most common, followed by kleptoparasites and putatively hermit endoparasites. While most diverse in the shallow-water tropics, the best-known foraminiferal parasites live in colder North Atlantic and Antarctic waters. Body size comparisons reveal patterns similar to parasitic metazoans: 1) a few parasitic foraminifera are larger than most benthic foraminifera and most are larger than their free-living relatives; 2) most are smaller than their metazoan hosts, but are roughly similar in size to protozoan hosts with one exception; and 3) larger parasitic foraminifera infest larger hosts, consistent with Harrison's rule. Ectoparasitic foraminifera also follow Harrison's rule, but endoparasites do not because they are spatially constrained by living within the host. Suspected foraminiferal parasites are first recorded from the Late Jurassic and parasitic foraminifera from the Early Cretaceous, while the majority evolved in the Cenozoic. Cretaceous Talpinella cunicularia has one of the longest known host-parasitic relationships of 18 Myr. Sixteen species bioerode their hosts, but only two trace fossils from parasitic foraminifera are known. Their abundance, broad geographic distribution and excellent fossil record make parasitic foraminifera and their hosts an excellent model to study how climate and environmental change affects intimately-associated species.</t>
  </si>
  <si>
    <t>[Walker, Sally E.; Hancock, Leanne G.] Univ Georgia, Dept Geol, Athens, GA 30602 USA; [Bowser, Samuel S.] New York State Dept Hlth, Wadsworth Ctr, Albany, NY 12201 USA; [Hancock, Leanne G.] Univ Calif Riverside, Dept Earth Sci, Riverside, CA 92521 USA</t>
  </si>
  <si>
    <t>University System of Georgia; University of Georgia; Wadsworth Center; State University of New York (SUNY) System; University of California System; University of California Riverside</t>
  </si>
  <si>
    <t>Walker, SE (corresponding author), Univ Georgia, Dept Geol, Athens, GA 30602 USA.</t>
  </si>
  <si>
    <t>swalker@gly.uga.edu</t>
  </si>
  <si>
    <t>NSF from Polar Programs Earth Sciences [ANT 0739512, ANT 0739583]; Office of Polar Programs [PLR 0944646, PLR 1341612]</t>
  </si>
  <si>
    <t>NSF from Polar Programs Earth Sciences; Office of Polar Programs(National Science Foundation (NSF)NSF - Directorate for Geosciences (GEO))</t>
  </si>
  <si>
    <t>We thank Drs. Ron Martin, Max Wisshak, and Pamela Hallock, whose reviews and editorial advice greatly improved our manuscript. We thank NSF for grants from Polar Programs Earth Sciences ANT 0739512, ANT 0739583 and the Office of Polar Programs PLR 0944646 and PLR 1341612 that supported this research.</t>
  </si>
  <si>
    <t>CUSHMAN FOUNDATION FORAMINIFERAL RESEARCH</t>
  </si>
  <si>
    <t>PO BOX 7065, LAWRENCE, KS 66044-7065 USA</t>
  </si>
  <si>
    <t>0096-1191</t>
  </si>
  <si>
    <t>J FORAMIN RES</t>
  </si>
  <si>
    <t>J. Foraminifer. Res.</t>
  </si>
  <si>
    <t>10.2113/gsjfr.47.1.34</t>
  </si>
  <si>
    <t>FQ5JN</t>
  </si>
  <si>
    <t>WOS:000418395200005</t>
  </si>
  <si>
    <t>Evans, IS; Cox, NJ</t>
  </si>
  <si>
    <t>Evans, Ian S.; Cox, Nicholas J.</t>
  </si>
  <si>
    <t>Comparability of cirque size and shape measures between regions and between researchers</t>
  </si>
  <si>
    <t>ZEITSCHRIFT FUR GEOMORPHOLOGIE</t>
  </si>
  <si>
    <t>ALPINE VALLEY HEADS; GLACIAL CIRQUES; MORPHOMETRIC-ANALYSIS; ANTARCTIC PENINSULA; RANGE; MOUNTAINS; FORM; ONTOLOGY; ROMANIA; AREA</t>
  </si>
  <si>
    <t>When comparably defined, cirque size and shape vary moderately but significantly between regions. For nine spatial divisions in three countries, differences in vertical dimensions (height range, amplitude, wall height) are greater than those in horizontal dimensions. Problems of data quality, especially contour interval and reliability, affect mainly comparisons of slope gradients between countries. Problems are more apparent from graphical displays of complete distributions than from means and extremes. A broader set of data from several authors shows greater variability, especially in mean values, for which there are several possible explanations. As maps and air photos of glaciated areas become increasingly available it should be possible to develop glacial morphometry to provide many valuable data in studying the processes that created the forms of both glacial erosion and glacial deposition. C.A.M. KING 1974, p.162.</t>
  </si>
  <si>
    <t>[Evans, Ian S.; Cox, Nicholas J.] Univ Durham, Dept Geog, Sci Labs, South Rd, Durham DH1 3LE, Great Britain, England</t>
  </si>
  <si>
    <t>Durham University</t>
  </si>
  <si>
    <t>Evans, IS (corresponding author), Univ Durham, Dept Geog, Sci Labs, South Rd, Durham DH1 3LE, Great Britain, England.</t>
  </si>
  <si>
    <t>i.s.evans@durham.ac.uk; n.j.cox@durham.ac.uk</t>
  </si>
  <si>
    <t>GEBRUDER BORNTRAEGER</t>
  </si>
  <si>
    <t>STUTTGART</t>
  </si>
  <si>
    <t>JOHANNESSTR 3A, D-70176 STUTTGART, GERMANY</t>
  </si>
  <si>
    <t>0372-8854</t>
  </si>
  <si>
    <t>Z GEOMORPHOL</t>
  </si>
  <si>
    <t>Z. Geomorphol.</t>
  </si>
  <si>
    <t>10.1127/zfg_suppl/2016/0329</t>
  </si>
  <si>
    <t>FP9JX</t>
  </si>
  <si>
    <t>WOS:000417964400006</t>
  </si>
  <si>
    <t>Estebenet, MSG; Cereceda, A; Guler, MV</t>
  </si>
  <si>
    <t>Gonzalez Estebenet, M. Sol; Cereceda, Abril; Veronica Guler, M.</t>
  </si>
  <si>
    <t>LATE CRETACEOUS ORGANIC-WALLED DINOFLAGELLATE CYSTS FROM THE ALTA VISTA FORMATION, AUSTRAL BASIN, ARGENTINA</t>
  </si>
  <si>
    <t>AMEGHINIANA</t>
  </si>
  <si>
    <t>Paleomicroplankton; Biostratigraphy; Campanian; Patagonia; South America</t>
  </si>
  <si>
    <t>ANTARCTIC PENINSULA; MAGALLANES BASIN; PATAGONIAN-ANDES; NEW-ZEALAND; ISLAND; STRATIGRAPHY; BIOSTRATIGRAPHY; SEDIMENTOLOGY; PALYNOLOGY; ZONATION</t>
  </si>
  <si>
    <t>The Alta Vista Formation represents one of the first Late Cretaceous marine deposits accumulated during the foreland stage of the Austral Basin, Patagonia. All the analyzed samples contain dinoflagellate cysts denoting marine conditions throughout the unit and, despite the extremely poor preservation of the assemblages, diagnostic species were identified. The age of the Alta Vista Formation was assigned between the late Santonian and the late Campanian based on the invertebrate remains. Nevertheless, the age is still debatable and a detailed biostratigraphy has not been proposed for the unit so far. As in other Late Cretaceous Southern Hemisphere middle to high latitude successions, the dinoflagellate cysts from the Alta Vista Formation are useful for biostratigraphic interpretations. The co-occurrence of Odontochitina porifera, Palaeohystrichophora infusorioides, Nelsoniella aceras, Nelsoniella tuberculata and Xenikoon australis is consistent with a Campanian age, which in accordance with the age indicated by the invertebrates recorded in other localities in which the unit crops out. The occurrence of Xenikoon australis and Nelsoniella tuberculata constrains the age of the unit to the early-middle Campanian. Since the basal levels were not identified in the studied sections, the age herein suggested corresponds to the upper part of the Alta Vista Formation.</t>
  </si>
  <si>
    <t>[Gonzalez Estebenet, M. Sol; Veronica Guler, M.] UNS, Dept Geol, Inst Geol Sur, Alem 1253 Cuerpo B 1 Piso,B8000CPB, Bahia Blanca, Buenos Aires, Argentina; [Cereceda, Abril] Univ Nacl La Plata, CONICET, Ctr Invest Geol, Diagonal 113 275, RA-1900 La Plata, Buenos Aires, Argentina</t>
  </si>
  <si>
    <t>National University of the South; Consejo Nacional de Investigaciones Cientificas y Tecnicas (CONICET); National University of La Plata</t>
  </si>
  <si>
    <t>Estebenet, MSG (corresponding author), UNS, Dept Geol, Inst Geol Sur, Alem 1253 Cuerpo B 1 Piso,B8000CPB, Bahia Blanca, Buenos Aires, Argentina.</t>
  </si>
  <si>
    <t>sol.gonzalezestebenet@uns.edu.ar; acereceda@cig.museo.unlp.edu.ar; vguler@criba.edu.ar</t>
  </si>
  <si>
    <t>[PIP-CONICET 02047]</t>
  </si>
  <si>
    <t>The authors thank G. Holfeltz for his palynological technical assistance. The anonymous reviewers are thanked because their valuable suggestions improved the manuscript. This contribution was partially financed by grant PIP-CONICET 02047.</t>
  </si>
  <si>
    <t>ASOCIACION PALEONTOLOGICA ARGENTINA</t>
  </si>
  <si>
    <t>MAIPU 645, 1ER PISO, 1006 BUENOS AIRES, ARGENTINA</t>
  </si>
  <si>
    <t>0002-7014</t>
  </si>
  <si>
    <t>1851-8044</t>
  </si>
  <si>
    <t>Ameghiniana</t>
  </si>
  <si>
    <t>10.5710/AMGH.24.04.2017.3090</t>
  </si>
  <si>
    <t>FQ0TC</t>
  </si>
  <si>
    <t>WOS:000418068600004</t>
  </si>
  <si>
    <t>Johnson, CM</t>
  </si>
  <si>
    <t>Johnson, Constance M.</t>
  </si>
  <si>
    <t>The Relevance of the Southern Ocean to the Development of a Global Regime for Marine Areas beyond National Jurisdiction-An Uncommon Commons</t>
  </si>
  <si>
    <t>INTERNATIONAL JOURNAL OF MARINE AND COASTAL LAW</t>
  </si>
  <si>
    <t>areas beyond national jurisdiction (ABNJ); United Nations General Assembly Resolution 69/292; international legally binding instrument (ILBI); Antarctic Treaty System (ATS); marine protected areas; marine genetic resources</t>
  </si>
  <si>
    <t>The Southern Ocean's areas beyond national jurisdiction (ABNJ) are uncommon in a number of ways. This article first discusses features of the Southern Ocean's uncommonness that may be relevant to the relationship between the Antarctic Treaty System (ATS) and the development of the international legally binding instrument on the conservation and sustainable use of marine biological diversity of ABNJ under United Nations General Assembly Resolution 69/292 (ILBI). Second, the article considers the potential relationship between the ILBI and the ATS. Third, the article discusses the current approach of the ATS to governance of the Southern Ocean's ABNJ by focusing on two particular topics which are to be included in the development of the ILBI. The topics discussed are measures (such as area-based management, including marine protected areas) and marine genetic resources.</t>
  </si>
  <si>
    <t>[Johnson, Constance M.] Univ Wollongong, Australian Natl Ctr Ocean Resources &amp; Secur, Wollongong, NSW, Australia</t>
  </si>
  <si>
    <t>University of Wollongong</t>
  </si>
  <si>
    <t>Johnson, CM (corresponding author), Univ Wollongong, Australian Natl Ctr Ocean Resources &amp; Secur, Wollongong, NSW, Australia.</t>
  </si>
  <si>
    <t>MARTINUS NIJHOFF PUBL</t>
  </si>
  <si>
    <t>LEIDEN</t>
  </si>
  <si>
    <t>PO BOX 9000, LEIDEN, 2300 PA, NETHERLANDS</t>
  </si>
  <si>
    <t>0927-3522</t>
  </si>
  <si>
    <t>1571-8085</t>
  </si>
  <si>
    <t>INT J MAR COAST LAW</t>
  </si>
  <si>
    <t>Int. J. Mar. Coast. Law</t>
  </si>
  <si>
    <t>10.1163/15718085-13204026</t>
  </si>
  <si>
    <t>FP2TS</t>
  </si>
  <si>
    <t>Green Submitted, Bronze</t>
  </si>
  <si>
    <t>WOS:000417472400004</t>
  </si>
  <si>
    <t>Pour, AB; Hashim, M; Park, Y</t>
  </si>
  <si>
    <t>Suparta, W; Ismail, M; Abdullah, M</t>
  </si>
  <si>
    <t>Pour, A. B.; Hashim, M.; Park, Y.</t>
  </si>
  <si>
    <t>Alteration mineral mapping in inaccessible regions using target detection algorithms to ASTER data</t>
  </si>
  <si>
    <t>2017 INTERNATIONAL CONFERENCE ON SPACE SCIENCE AND COMMUNICATION</t>
  </si>
  <si>
    <t>International Conference on Space Science and Communication - Space Science for Sustainability</t>
  </si>
  <si>
    <t>MAY 03-05, 2017</t>
  </si>
  <si>
    <t>Kuala Lumpur, MALAYSIA</t>
  </si>
  <si>
    <t>In this study, the applications of target detection algorithms such as Constrained Energy Minimization (CEM), Orthogonal Subspace Projection (OSP) and Adaptive Coherence Estimator (ACE) to shortwave infrared bands of the Advanced Spaceborne Thermal Emission and Reflection Radiometer (ASTER) data was investigated to extract geological information for alteration mineral mapping in poorly exposed lithologies in inaccessible domains. The Oscar II coast area north-eastern Graham Land, Antarctic Peninsula (AP) was selected in this study to conduct a satellite-based remote sensing mapping technique. It is an inaccessible region due to the remoteness of many rock exposures and the necessity to travel over sever mountainous and glacier-cover terrains for geological field mapping and sample collection. Fractional abundance of alteration minerals such as muscovite, kaolinite, illite, montmorillonite, epidote, chlorite and biotite were identified in alteration zones using CEM, OSP and ACE algorithms in poorly mapped and unmapped zones at district scale for the Oscar II coast area. The results of this investigation demonstrated the applicability of ASTER shortwave infrared spectral data for lithological and alteration mineral mapping in poorly exposed lithologies and inaccessible regions, particularly using the image processing algorithms that are capable to detect sub-pixel targets in the remotely sensed images, where no prior information is available.</t>
  </si>
  <si>
    <t>[Pour, A. B.; Hashim, M.] Univ Teknol Malaysia, RISE, Geosci &amp; Digital Earth Ctr Geo DEC, Johor Baharu, Malaysia; [Pour, A. B.; Park, Y.] Korea Polar Res Inst KOPRI, Incheon 21990, South Korea</t>
  </si>
  <si>
    <t>Universiti Teknologi Malaysia; Korea Polar Research Institute (KOPRI)</t>
  </si>
  <si>
    <t>Pour, AB (corresponding author), Univ Teknol Malaysia, RISE, Geosci &amp; Digital Earth Ctr Geo DEC, Johor Baharu, Malaysia.;Pour, AB (corresponding author), Korea Polar Res Inst KOPRI, Incheon 21990, South Korea.</t>
  </si>
  <si>
    <t>beiranvand.amin80@gmail.com; mazlanhashim@utm.my</t>
  </si>
  <si>
    <t>Hashim, Mazlan/J-7291-2012; Beiranvand Pour, Amin/E-1723-2013</t>
  </si>
  <si>
    <t>Hashim, Mazlan/0000-0001-8284-3332; Beiranvand Pour, Amin/0000-0001-8783-5120</t>
  </si>
  <si>
    <t>Sultan Mizan Antarctic Research Foundation, Malaysia [R.J130000.7309.4B221]; KOPRI grant [PE17050]; KOPRI's Asian Polar Science Fellowship Program</t>
  </si>
  <si>
    <t>Sultan Mizan Antarctic Research Foundation, Malaysia; KOPRI grant(Korea Polar Research Institute of Marine Research Placement (KOPRI)); KOPRI's Asian Polar Science Fellowship Program(Korea Polar Research Institute of Marine Research Placement (KOPRI))</t>
  </si>
  <si>
    <t>This study was conducted as a part of Yayasan Penyelidikan Antartika Sultan Mizan (YPASM) research grant (Vote no: R.J130000.7309.4B221), Sultan Mizan Antarctic Research Foundation, Malaysia. We also would like to express our great appreciation to KOPRI (Korea Polar Research Institute) Asian Polar Science Fellowship Program 2016 for their great support during this research. This study was partially supported by KOPRI grant PE17050 and KOPRI's Asian Polar Science Fellowship Program. We are thankful to the Universiti Teknologi Malaysia for providing the facilities for this investigation.</t>
  </si>
  <si>
    <t>10.1088/1742-6596/852/1/012022</t>
  </si>
  <si>
    <t>Engineering, Aerospace; Engineering, Electrical &amp; Electronic; Physics, Multidisciplinary; Telecommunications</t>
  </si>
  <si>
    <t>BJ1EB</t>
  </si>
  <si>
    <t>WOS:000417438600022</t>
  </si>
  <si>
    <t>Pour, Amin Beiranvand; Hashim, Mazlan; Park, Yongcheol</t>
  </si>
  <si>
    <t>Application of ASTER SWIR bands in mapping anomaly pixels for Antarctic geological mapping</t>
  </si>
  <si>
    <t>Independent component analysis (ICA) was applied to shortwave infrared (SWIR) bands of ASTER satellite data for detailed mapping of alteration mineral zones in the context of polar environments, where little prior information is available. The Oscar II coast area northeastern Graham Land, Antarctic Peninsula (AP) was selected to conduct a remote sensing satellite-based mapping approach to detect alteration mineral assemblages. Anomaly pixels in the ICA image maps related to spectral features of Al-O-H, Fe, Mg-O-H and CO3 groups were detected using SWIR datasets of ASTER. ICA method provided image maps of alteration mineral assemblages and discriminate lithological units with little available geological data for poorly mapped regions and/ or without prior geological information for unmapped regions in northern and southern sectors of Oscar II coast area, Graham Land. The results of this investigation demonstrated the applicability of ASTER spectral data for lithological and alteration mineral mapping in poorly exposed lithologies and inaccessible regions, particularly using the image processing algorithm that are capable to detect anomaly pixels targets in the remotely sensed images, where no prior information is available.</t>
  </si>
  <si>
    <t>[Pour, Amin Beiranvand; Hashim, Mazlan] Univ Teknol Malaysia, Res Inst Sustainabil &amp; Environm ROSE, Geosci &amp; Digital Earth Ctr Geo Dec, Johor Baharu, Malaysia; [Pour, Amin Beiranvand; Park, Yongcheol] Korea Polar Res Inst KOPRI, Incheon 21990, South Korea</t>
  </si>
  <si>
    <t>Pour, AB (corresponding author), Univ Teknol Malaysia, Res Inst Sustainabil &amp; Environm ROSE, Geosci &amp; Digital Earth Ctr Geo Dec, Johor Baharu, Malaysia.;Pour, AB (corresponding author), Korea Polar Res Inst KOPRI, Incheon 21990, South Korea.</t>
  </si>
  <si>
    <t>Beiranvand Pour, Amin/E-1723-2013; Hashim, Mazlan/J-7291-2012</t>
  </si>
  <si>
    <t>Beiranvand Pour, Amin/0000-0001-8783-5120; Hashim, Mazlan/0000-0001-8284-3332</t>
  </si>
  <si>
    <t>10.1088/1742-6596/852/1/012025</t>
  </si>
  <si>
    <t>WOS:000417438600025</t>
  </si>
  <si>
    <t>Suparta, W</t>
  </si>
  <si>
    <t>Suparta, W.</t>
  </si>
  <si>
    <t>Impacts of ionospheric electric fields on the GPS tropospheric delays during geomagnetic storms in Antarctica</t>
  </si>
  <si>
    <t>Ionospheric electric fields; Tropospheric delays; Geomagnetic storms; Antarctica</t>
  </si>
  <si>
    <t>PATRICKS DAY STORM; SOLAR-ACTIVITY; FLARES</t>
  </si>
  <si>
    <t>This paper aimed to overview the interaction of the thunderstorm with the ionospheric electric fields during major geomagnetic storms in Antarctica through the GPS tropospheric delays. For the purpose of study, geomagnetic activity and electric fields data for the period from 13 to 21 March 2015 representing the St. Patrick's Day storm is analyzed. To strengthen the analysis, data for the period of 27 October to 1 st November 2003 representing for the Halloween storm is also compared. Our analysis showed that both geomagnetic storms were severe Ap &gt;= 100 nT), where the intensity of Halloween storm is double compared to St. Patrick's Day storm. For the ionospheric electric field, the peaks were dropped to -1.63 mV/m and -2.564 mV/m for St. Patrick and Halloween storms, respectively. At this time, the interplanetary magnetic field Bz component was significantly dropped to -17.31 nT with Ap &gt; 150 nT 17 March 2015 at 19: 20 UT) and -26.51 nT with Ap = 300 nT 29 October 2003 at 19: 40 UT). For both geomagnetic storms, the electric field was correlated well with the ionospheric activity where tropospheric delays show a different characteristic.</t>
  </si>
  <si>
    <t>[Suparta, W.] Univ Kebangsaan Malaysia, Space Sci Ctr ANGKASA, Inst Climate Change, Bangi 43600, Selangor Darul, Malaysia</t>
  </si>
  <si>
    <t>Universiti Kebangsaan Malaysia</t>
  </si>
  <si>
    <t>Suparta, W (corresponding author), Univ Kebangsaan Malaysia, Space Sci Ctr ANGKASA, Inst Climate Change, Bangi 43600, Selangor Darul, Malaysia.</t>
  </si>
  <si>
    <t>wayan@ukm.edu.my</t>
  </si>
  <si>
    <t>SUPARTA, WAYAN/K-3110-2013</t>
  </si>
  <si>
    <t>SUPARTA, WAYAN/0000-0002-6193-1867</t>
  </si>
  <si>
    <t>MOSTI Flagship Program [ZF-2014-016]; National Antarctica Research Centre (NARC)</t>
  </si>
  <si>
    <t>MOSTI Flagship Program; National Antarctica Research Centre (NARC)</t>
  </si>
  <si>
    <t>This work is supported by MOSTI Flagship Program under ZF-2014-016 grant and the National Antarctica Research Centre (NARC). The interplanetary magnetic field data and planetary index data was provided by NASA, and Equatorial Electric Field (EEF) data provided by Cooperative Institute for Research in Environmental Sciences (CIRES) of University of Colorado. Author would like to thank again to NASA and British Antarctic Survey (BAS) for providing the ZPD and meteorological data, respectively.</t>
  </si>
  <si>
    <t>10.1088/1742-6596/852/1/012046</t>
  </si>
  <si>
    <t>WOS:000417438600046</t>
  </si>
  <si>
    <t>Suparta, W; Yusop, N</t>
  </si>
  <si>
    <t>Suparta, W.; Yusop, N.</t>
  </si>
  <si>
    <t>Response of lightning energy and total electron content with sprites over Antarctic Peninsula</t>
  </si>
  <si>
    <t>STORM</t>
  </si>
  <si>
    <t>This paper investigates the response of the lightning energy with the total electron content (TEC) derived from GPS over Antarctic Peninsula during St Patrick's geomagnetic storm. During this event, sprite as one of the mesospheric transient luminous events (TLEs) associated with positive cloud-to-ground (+CG) lightning discharges can be generated. In this work, GPS and lightning data for the period from 14 to 20 March 2015 is analyzed. Geomagnetic activity and electric field data are also processed to relate the geomagnetic storm and lightning. Results show that during St Patrick's geomagnetic storm, the lighting energy was produced up to similar to 257 kJ. The ionospheric TEC was obtained 60 TECU, 38 TECU and 78 TECU between 18:00 and 21:00 UT for OHI3, PALV and ROTH stations, respectively. The peak of lightning energy was observed 14 hours after peaked of TEC. Sprite possibly generated through the electrical coupling process between the top cloud, middle and upper atmosphere with the DC electric field found to be similar to 10 mVm(-1) which leading to the sprite generation after the return strokes on 18 March 2015.</t>
  </si>
  <si>
    <t>[Suparta, W.; Yusop, N.] Univ Kebangsaan Malaysia, Inst Climate Change, Space Sci Ctr ANGKASA, Bangi 43600, Selangor, Malaysia</t>
  </si>
  <si>
    <t>Suparta, W (corresponding author), Univ Kebangsaan Malaysia, Inst Climate Change, Space Sci Ctr ANGKASA, Bangi 43600, Selangor, Malaysia.</t>
  </si>
  <si>
    <t>Ministry of Science, Technology and Innovation Malaysia (MOSTI) [ZF-2014-016]; Universiti Teknikal Malaysia Melaka; Ministry of Higher Education</t>
  </si>
  <si>
    <t>Ministry of Science, Technology and Innovation Malaysia (MOSTI)(Ministry of Energy, Science, Technology, Environment and Climate Change (MESTECC), Malaysia); Universiti Teknikal Malaysia Melaka; Ministry of Higher Education(Science and Technology Development Fund (STDF)Ministry of Higher Education &amp; Scientific Research (MHESR))</t>
  </si>
  <si>
    <t>This research is funded by the Ministry of Science, Technology and Innovation Malaysia (MOSTI) through the Flagship Program under ZF-2014-016 grant. The second author is PhD candidate supported by Universiti Teknikal Malaysia Melaka and the Ministry of Higher Education. The authors would like to thank the Space Weather Prediction Center (SWPC) for daily of Kp data; the World Data Center-C2, Kyoto, Japan, for hourly final of Dst data; NASA for providing the magnetic field and GPS data for Rothera station. We would also like to thank the Scripps Orbit Permanent Array Center (SOPAC) for archiving GPS data at O'Higgins and Palmer stations; the Astronomisches Institut University of Bern (AIUB) Data Centre of University Switzerland for CODE data.</t>
  </si>
  <si>
    <t>10.1088/1742-6596/852/1/012020</t>
  </si>
  <si>
    <t>WOS:000417438600020</t>
  </si>
  <si>
    <t>Suparta, W; Nor, WNAWM</t>
  </si>
  <si>
    <t>Suparta, W.; Nor, W. N. A. Wan Mohd</t>
  </si>
  <si>
    <t>Irregularities of ionospheric VTEC during lightning activity over Antarctic Peninsula</t>
  </si>
  <si>
    <t>TOTAL ELECTRON-CONTENT; PERTURBATIONS; EQUATORIAL</t>
  </si>
  <si>
    <t>This paper investigates the irregularities of vertical total electron content (VTEC) during lightning activity and geomagnetic quiet days over Antarctic Peninsula in year 2014. During the lightning event, the ionosphere may be disturbed which may cause disruption in the radio signal. Thus, it is important to understand the influence of lightning on VTEC in the study of upper-lower interaction. The lightning data is obtained from World Wide Lightning Location Network (WWLLN) and the VTEC data has analyzed from Global Positioning System (GPS) for O'Higgins (OHI3), Palmer (PALV), and Rothera (ROTH). The results demonstrate the VTEC variation of similar to 0.2 TECU during low lightning activity which could be caused by energy dissipation through lightning discharges from troposphere into the thermosphere.</t>
  </si>
  <si>
    <t>[Suparta, W.; Nor, W. N. A. Wan Mohd] Univ Kebangsaan Malaysia, Inst Climate Change, Space Sci Ctr ANGKASA, Bangi 43600, Selangor Darul, Malaysia</t>
  </si>
  <si>
    <t>Suparta, W (corresponding author), Univ Kebangsaan Malaysia, Inst Climate Change, Space Sci Ctr ANGKASA, Bangi 43600, Selangor Darul, Malaysia.</t>
  </si>
  <si>
    <t>Ministry of Science, Technology and Innovation Malaysia (MOSTI) [ZF-2014-016]</t>
  </si>
  <si>
    <t>Ministry of Science, Technology and Innovation Malaysia (MOSTI)(Ministry of Energy, Science, Technology, Environment and Climate Change (MESTECC), Malaysia)</t>
  </si>
  <si>
    <t>We would like to extend our gratitude to Ministry of Science, Technology and Innovation Malaysia (MOSTI) that funded the research through the Flagship Program under ZF-2014-016 grant. The authors would like to thank Scripps Orbit Permanent Array Centre (SOPAC) for providing important GPS data at O'Higgins, Palmer and Rothera station. We also appreciate the essential CODE data given by Astronomisches Institut University of Bern (AIUB) Data Centre of University Switzerland and lightning data from World Wide Lightning Location Network (WWLLN). We also sincerely acknowledge the World Data Center-C2, Kyoto, Japan, for archiving geomagnetic data.</t>
  </si>
  <si>
    <t>10.1088/1742-6596/852/1/012017</t>
  </si>
  <si>
    <t>WOS:000417438600017</t>
  </si>
  <si>
    <t>Liggett, D; Stewart, EJ</t>
  </si>
  <si>
    <t>Dowling, R; Weeden, C</t>
  </si>
  <si>
    <t>Liggett, Daniela; Stewart, Emma J.</t>
  </si>
  <si>
    <t>Sailing in Icy Waters: Antarctic Cruise Tourism Development, Regulation and Management</t>
  </si>
  <si>
    <t>CRUISE SHIP TOURISM, 2ND EDITION</t>
  </si>
  <si>
    <t>[Liggett, Daniela] Univ Canterbury, Gateway Antarctica,Private Bag 4800, Christchurch 8140, New Zealand; [Stewart, Emma J.] Lincoln Univ, Fac Environm Soc &amp; Design, Dept Tourism Sport &amp; Soc, POB 85084, Lincoln 7647, New Zealand</t>
  </si>
  <si>
    <t>University of Canterbury; Lincoln University - New Zealand</t>
  </si>
  <si>
    <t>Liggett, D (corresponding author), Univ Canterbury, Gateway Antarctica,Private Bag 4800, Christchurch 8140, New Zealand.</t>
  </si>
  <si>
    <t>daniela.liggett@canterbury.ac.nz</t>
  </si>
  <si>
    <t>Stewart, Emma/P-7189-2018</t>
  </si>
  <si>
    <t>Stewart, Emma/0000-0002-1573-9444</t>
  </si>
  <si>
    <t>CABI PUBLISHING-C A B INT</t>
  </si>
  <si>
    <t>WALLINGFORD</t>
  </si>
  <si>
    <t>CABI PUBLISHING, WALLINGFORD 0X10 8DE, OXON, ENGLAND</t>
  </si>
  <si>
    <t>978-1-78064-608-4</t>
  </si>
  <si>
    <t>10.1079/9781780646084.0000</t>
  </si>
  <si>
    <t>Hospitality, Leisure, Sport &amp; Tourism</t>
  </si>
  <si>
    <t>Social Sciences - Other Topics</t>
  </si>
  <si>
    <t>BI9RX</t>
  </si>
  <si>
    <t>WOS:000416378500031</t>
  </si>
  <si>
    <t>Crawford, R; Ellenberg, U; Frere, E; Hagen, C; Baird, K; Brewin, P; Crofts, S; Glass, J; Mattern, T; Pompert, J; Ross, K; Kemper, J; Ludynia, K; Sherley, RB; Steinfurth, A; Suazo, CG; Yorio, P; Tamini, L; Mangel, JC; Bugoni, L; Uzcátegui, GJ; Simeone, A; Luna-Jorquera, G; Gandini, P; Woehler, EJ; Pütz, K; Dann, P; Chiaradia, A; Small, C</t>
  </si>
  <si>
    <t>Crawford, Rory; Ellenberg, Ursula; Frere, Esteban; Hagen, Christina; Baird, Karen; Brewin, Paul; Crofts, Sarah; Glass, James; Mattern, Thomas; Pompert, Joost; Ross, Katherine; Kemper, Jessica; Ludynia, Katrin; Sherley, Richard B.; Steinfurth, Antje; Suazo, Cristian G.; Yorio, Pablo; Tamini, Leandro; Mangel, Jeffrey C.; Bugoni, Leandro; Uzcategui, Gustavo Jimenez; Simeone, Alejandro; Luna-Jorquera, Guillermo; Gandini, Patricia; Woehler, Eric J.; Putz, Klemens; Dann, Peter; Chiaradia, Andre; Small, Cleo</t>
  </si>
  <si>
    <t>Tangled and drowned: a global review of penguin bycatch in fisheries</t>
  </si>
  <si>
    <t>ENDANGERED SPECIES RESEARCH</t>
  </si>
  <si>
    <t>Fishery; Gillnet; Seabird; Trawl; Conservation; Direct mortality</t>
  </si>
  <si>
    <t>NORTHERN ROCKHOPPER PENGUIN; TOOTHFISH LONGLINE FISHERY; MARINE PROTECTED AREA; SMALL-SCALE FISHERIES; GOLFO SAN JORGE; SEABIRD BYCATCH; MAGELLANIC PENGUINS; HUMBOLDT PENGUINS; EUDYPTULA-MINOR; SPHENISCUS-MAGELLANICUS</t>
  </si>
  <si>
    <t>Penguins are the most threatened group of seabirds after albatrosses. Although penguins are regularly captured in fishing gear, the threat to penguins as a group has not yet been assessed. We reviewed both published and grey literature to identify the fishing gear types that penguins are most frequently recorded in, the most impacted species and, for these susceptible species, the relative importance of bycatch compared to other threats. While quantitative estimates of overall bycatch levels are difficult to obtain, this review highlights that, of the world's 18 species of penguins, 14 have been recorded as bycatch in fishing gear and that gillnets, and to a lesser extent trawls, are the gear types that pose the greatest threats to penguins. Bycatch is currently of greatest concern for yellow-eyed Megadyptes antipodes (Endangered), Humboldt Spheniscus humboldti (Vulnerable) and Magellanic Spheniscus magellanicus penguins (Near Threatened). Penguins face many threats; reducing bycatch mortality in fishing gear will greatly enhance the resilience of penguin populations to threats from habitat loss and climate change that are more difficult to address in the short term. Additional data are required to quantify the true extent of penguin bycatch, particularly for the most susceptible species. In the meantime, it is crucially important to manage the fisheries operating within known penguin foraging areas to reduce the risks to this already threatened group of seabirds.</t>
  </si>
  <si>
    <t>[Crawford, Rory; Frere, Esteban; Baird, Karen; Small, Cleo] Care of RSPB, BirdLife Int Marine Programme, Potton Road, Sandy SG19 2DL, Beds, England; [Ellenberg, Ursula] La Trobe Univ, Dept Ecol Environm &amp; Evolut, Melbourne, Vic 3086, Australia; [Ellenberg, Ursula; Mattern, Thomas] Univ Otago, Dept Zool, Dunedin 9054, New Zealand; [Ellenberg, Ursula; Mattern, Thomas] Univ Washington, Global Penguin Soc, Seattle, WA 98195 USA; [Frere, Esteban; Gandini, Patricia] Univ Nacl Patagonia Austral, CONICET, Ctr Invest Puerto Desead, Puerto Deseado, Santa Cruz, Argentina; [Hagen, Christina] BirdLife South Africa, Seabird Conservat Programme, Melbourne, Vic 8001, Australia; [Baird, Karen] Royal Forest &amp; Bird Protect Soc New Zealand Inc, POB 631, Wellington 6140, New Zealand; [Brewin, Paul] Govt South Georgia &amp; South Sandwich Islands, Govt House, Stanley FIQQ 1ZZ, Falkland Island; [Crofts, Sarah; Ross, Katherine] Falklands Conservat, Stanley FIQQ 1ZZ, Falkland Island; [Glass, James] Director Fisheries Dept, Tristan Da Cunha TDCU 1ZZ, Falkland Island; [Pompert, Joost] Directorate Natural Resources Fisheries Dept, Stanley FIQQ 1ZZ, Falkland Island; [Kemper, Jessica] African Penguin Conservat Project, Luderit, Namibia; [Ludynia, Katrin] Univ Cape Town, Dept Biol Sci, Cape Town 7701, South Africa; [Ludynia, Katrin] Southern African Fdn Conservat Coastal Birds SANC, 22 Pentz Dr, Cape Town 7443, South Africa; [Sherley, Richard B.] Univ Exeter, Environm &amp; Sustainabil Inst, Penryn Campus, Penryn, Cornwall TR10 9FE, England; [Steinfurth, Antje] RSPB Ctr Conservat Sci, David Attenboroug Bldg,Pembroke St, Cambridge CB2 3QZ, England; [Suazo, Cristian G.] BirdLife Int, Albatross Task Force, Santiago, Chile; [Suazo, Cristian G.] Justus Liebig Univ Giessen, Dept Animal Ecol &amp; Systemat, D-35392 Giessen, Germany; [Yorio, Pablo] Ctr Estudio Sistemas Marinos CCT CENPAT CONICET, Pingtung 9120, Taiwan; [Yorio, Pablo] Ciudad Autonoma Buenos Aires, Wildlife Conservat Soc Argentina, Buenos Aires 1426, DF, Argentina; [Tamini, Leandro] Ciudad Autonoma Buenos Aires, Programa Marino, Albatross Task Force Argentina, Aves Argentinas-AOP,Matheu 1246, Buenos Aires, DF, Argentina; [Mangel, Jeffrey C.] ProDelphinus, Calle Jose Galvez 780E, Lima, Peru; [Mangel, Jeffrey C.] Univ Exeter, Sch Biosci, Ctr Ecol &amp; Conservat, Penryn Campus, Penryn, Cornwall, England; [Bugoni, Leandro] Univ Federal Rio Grande FURG, Waterbirds &amp; Sea Turtles Lab, Rio Grande, RS, Brazil; [Uzcategui, Gustavo Jimenez] Charles Darwin Res Stn, Puerto Ayora, Ecuador; [Simeone, Alejandro] Univ Andres Bello, Fac Ecol &amp; Recursos Nat, Dept Ecol &amp; Biodivers, Santiago, Chile; [Luna-Jorquera, Guillermo] Univ Catolica Norte, Millennium Nucl Ecol &amp; Sustainable Management Oce, CEAZA, Coquimbo, Chile; [Woehler, Eric J.] Univ Tasmania, Inst Marine &amp; Antarctic Studies, Marine &amp; Antarctic Futures Ctr, Hobart, Tas 7001, Australia; [Putz, Klemens] Antarctic Res Trust, Am Oste Hamme Kaual 10, D-27432 Bremervorde, Germany; [Dann, Peter; Chiaradia, Andre] Phillip Island Nat Pk, Res Dept, Cowes, Vic, Australia</t>
  </si>
  <si>
    <t>BirdLife International; Royal Society for Protection of Birds; Melbourne Genomics Health Alliance; La Trobe University; University of Otago; University of Washington; University of Washington Seattle; Universidad Nacional de la Patagonia San Juan Bosco; Consejo Nacional de Investigaciones Cientificas y Tecnicas (CONICET); Melbourne Genomics Health Alliance; University of Cape Town; University of Exeter; Royal Society for Protection of Birds; BirdLife International; Justus Liebig University Giessen; University of Exeter; Universidad Andres Bello; Universidad Catolica del Norte; University of Tasmania</t>
  </si>
  <si>
    <t>Crawford, R (corresponding author), Care of RSPB, BirdLife Int Marine Programme, Potton Road, Sandy SG19 2DL, Beds, England.</t>
  </si>
  <si>
    <t>rory.crawford@rspb.org.uk</t>
  </si>
  <si>
    <t>Chiaradia, Andre/AFK-6634-2022; Jimenez-Uzcategui, Gustavo/AAN-7374-2020; Ellenberg, Ursula/AAF-7317-2020; Luna-Jorquera, Guillermo/B-4350-2010; Jiménez-Uzcátegui, Gustavo/AAJ-3802-2020; Bugoni, Leandro/F-9539-2012; Sherley, Richard B/D-7507-2012; Chiaradia, Andre/AAG-4928-2022; Mattern, Thomas/AAJ-6325-2020</t>
  </si>
  <si>
    <t>Chiaradia, Andre/0000-0002-6178-4211; Jimenez-Uzcategui, Gustavo/0000-0001-8520-7534; Ellenberg, Ursula/0000-0002-3100-6742; Jiménez-Uzcátegui, Gustavo/0000-0001-8520-7534; Bugoni, Leandro/0000-0003-0689-7026; Sherley, Richard B/0000-0001-7367-9315; Chiaradia, Andre/0000-0002-6178-4211; Mattern, Thomas/0000-0003-0745-8180; , Paul/0000-0002-0261-9646; Woehler, Eric/0000-0002-1125-0748; Hagen, Christina/0000-0001-6116-3303; Guillermo, Luna-Jorquera/0000-0003-4274-7025; Alfaro Shigueto, Joanna/0000-0002-5148-7686; Mangel, Jeffrey/0000-0002-9371-8606; Puetz, Klemens/0000-0003-1375-2669; Suazo, Cristian/0000-0003-3336-3660</t>
  </si>
  <si>
    <t>INTER-RESEARCH</t>
  </si>
  <si>
    <t>OLDENDORF LUHE</t>
  </si>
  <si>
    <t>NORDBUNTE 23, D-21385 OLDENDORF LUHE, GERMANY</t>
  </si>
  <si>
    <t>1863-5407</t>
  </si>
  <si>
    <t>1613-4796</t>
  </si>
  <si>
    <t>ENDANGER SPECIES RES</t>
  </si>
  <si>
    <t>Endanger. Species Res.</t>
  </si>
  <si>
    <t>10.3354/esr00869</t>
  </si>
  <si>
    <t>FO5AY</t>
  </si>
  <si>
    <t>WOS:000416862500008</t>
  </si>
  <si>
    <t>Dovbnya, BV; Klain, BI; Guglielmi, AV; Potapov, AS</t>
  </si>
  <si>
    <t>Dovbnya, B. V.; Klain, B. I.; Guglielmi, A. V.; Potapov, A. S.</t>
  </si>
  <si>
    <t>SPECTRUM OF FREQUENCY MODULATION OF SERPENTINE EMISSION AS A REFLECTION OF THE SOLAR FLUCTUATION SPECTRUM</t>
  </si>
  <si>
    <t>SOLAR-TERRESTRIAL PHYSICS</t>
  </si>
  <si>
    <t>Serpentine emission; Frequency modulation; Power spectrum; Photospheric oscillations</t>
  </si>
  <si>
    <t>WAVES; WIND</t>
  </si>
  <si>
    <t>We study frequency modulation of serpentine emission (SE), using data from the Vostok Antarctic station. It is shown that the previously observed 5-minute modulation of the SE carrier frequency is the most prominent and stable in the emission spectrum. Frequency fluctuations of this period are present in about 70 % of the total SE observation time under moderately quiet geomagnetic conditions (K-p=0-2). We performed a per-pixel processing of SE dynamic spectra and found that the power spectrum of the signal frequency modulation contains a clearly visible peak at periods close to 5 minutes. A detailed study shows the emission spectrum matching the frequency range of the solar photospheric oscillations. The results of the analysis allow us to conclude that the 5-minute modulation of the SE carrier frequency can be viewed as a reflection of photospheric fluctuations with the same period that is typical for the solar eigenoscillations.</t>
  </si>
  <si>
    <t>[Dovbnya, B. V.; Klain, B. I.] RAS, Borok Geophys Observ IPE, Borok, Russia; [Guglielmi, A. V.] RAS, Schmidt Inst Phys Earth, Moscow, Russia; [Potapov, A. S.] RAS, Inst Solar Terr Phys SB, Irkutsk, Russia</t>
  </si>
  <si>
    <t>Russian Academy of Sciences; Russian Academy of Sciences; Schmidt Institute of Physics of the Earth of the Russian Academy of Sciences; Russian Academy of Sciences; Irkutsk Science Centre of the Russian Academy of Sciences; Institute of Solar-Terrestrial Physics of the Siberian Branch of the Russian Academy of Sciences</t>
  </si>
  <si>
    <t>Dovbnya, BV (corresponding author), RAS, Borok Geophys Observ IPE, Borok, Russia.</t>
  </si>
  <si>
    <t>dovbnya@inbox.ru; klain@borok.yar.ru; guglielmi@mail.ru; potapov@iszf.irk.ru</t>
  </si>
  <si>
    <t>Potapov, Alexander S./H-6732-2013; Dovbnya, Boris/AAF-4430-2019</t>
  </si>
  <si>
    <t>Potapov, Alexander S./0000-0002-4864-0993;</t>
  </si>
  <si>
    <t>RFBR grants [16-05-00631, 16-05-00056]</t>
  </si>
  <si>
    <t>RFBR grants</t>
  </si>
  <si>
    <t>This work was supported by RFBR grants No. 16-05-00631 and 16-05-00056.</t>
  </si>
  <si>
    <t>NAUCNO-IZDATELSKIJ CENTR INFRAM</t>
  </si>
  <si>
    <t>MOSKVA</t>
  </si>
  <si>
    <t>NAUCNO-IZDATELSKIJ CENTR INFRAM, MOSKVA, 00000, RUSSIA</t>
  </si>
  <si>
    <t>2500-0535</t>
  </si>
  <si>
    <t>SOL-TERR PHYS</t>
  </si>
  <si>
    <t>Sol.-Terr. Phys.</t>
  </si>
  <si>
    <t>10.12737/23043</t>
  </si>
  <si>
    <t>FO6LC</t>
  </si>
  <si>
    <t>WOS:000416973600006</t>
  </si>
  <si>
    <t>MacKenzie, K</t>
  </si>
  <si>
    <t>Klimpel, S; Kuhn, T; Mehlhorn, H</t>
  </si>
  <si>
    <t>MacKenzie, Ken</t>
  </si>
  <si>
    <t>The History of Antarctic Parasitological Research</t>
  </si>
  <si>
    <t>BIODIVERSITY AND EVOLUTION OF PARASITIC LIFE IN THE SOUTHERN OCEAN</t>
  </si>
  <si>
    <t>Parasitology Research Monograph</t>
  </si>
  <si>
    <t>KING-GEORGE ISLAND; SOUTH-SHETLAND ISLANDS; PENGUINS PYGOSCELIS-PAPUA; GASTROINTESTINAL PARASITE FAUNA; WEDDELL SEA; CONTRACAECUM-RADIATUM; NOTOTHENIA-CORIICEPS; ADMIRALTY BAY; CHIONIS-ALBA; LIFE-CYCLE</t>
  </si>
  <si>
    <t>[MacKenzie, Ken] Univ Aberdeen, Sch Biol Sci Zool, Tillydrone Ave, Aberdeen AB24 2TZ, Scotland</t>
  </si>
  <si>
    <t>University of Aberdeen</t>
  </si>
  <si>
    <t>MacKenzie, K (corresponding author), Univ Aberdeen, Sch Biol Sci Zool, Tillydrone Ave, Aberdeen AB24 2TZ, Scotland.</t>
  </si>
  <si>
    <t>k.mackenzie@abdn.ac.uk</t>
  </si>
  <si>
    <t>2192-3671</t>
  </si>
  <si>
    <t>978-3-319-46343-8; 978-3-319-46342-1</t>
  </si>
  <si>
    <t>PARASITOL RES MG</t>
  </si>
  <si>
    <t>10.1007/978-3-319-46343-8_3</t>
  </si>
  <si>
    <t>10.1007/978-3-319-46343-8</t>
  </si>
  <si>
    <t>Parasitology</t>
  </si>
  <si>
    <t>BJ0KO</t>
  </si>
  <si>
    <t>WOS:000416895300004</t>
  </si>
  <si>
    <t>Klapper, R; Münster, J; Kochmann, J; Klimpel, S; Kuhn, T</t>
  </si>
  <si>
    <t>Klapper, Regina; Muenster, Julian; Kochmann, Judith; Klimpel, Sven; Kuhn, Thomas</t>
  </si>
  <si>
    <t>Biodiversity and Host Specificity of Monogenea in Antarctic Fish Species</t>
  </si>
  <si>
    <t>Parasitology Research Monographs</t>
  </si>
  <si>
    <t>DISSOSTICHUS-ELEGINOIDES SMITT; PATAGONIAN TOOTHFISH; NOTOTHENIA-CORIICEPS; LIFE-CYCLE; PARASITES; DIVERSITY; ECTOPARASITES; HELMINTHS; REVISION; BIOLOGY</t>
  </si>
  <si>
    <t>[Klapper, Regina; Muenster, Julian; Kochmann, Judith; Klimpel, Sven; Kuhn, Thomas] Goethe Univ, Inst Ecol Evolut &amp; Divers, Max von Laue Str 13, D-60438 Frankfurt, Germany; [Klapper, Regina; Muenster, Julian; Kochmann, Judith; Klimpel, Sven; Kuhn, Thomas] Senckenberg Gesell Nat Forsch, Senckenberg Biodivers &amp; Climate Res Ctr, Senckenberganlage 25, D-60325 Frankfurt, Germany</t>
  </si>
  <si>
    <t>Goethe University Frankfurt; Senckenberg Biodiversitat &amp; Klima- Forschungszentrum (BiK-F); Senckenberg Gesellschaft fur Naturforschung (SGN)</t>
  </si>
  <si>
    <t>Klapper, R (corresponding author), Goethe Univ, Inst Ecol Evolut &amp; Divers, Max von Laue Str 13, D-60438 Frankfurt, Germany.;Klapper, R (corresponding author), Senckenberg Gesell Nat Forsch, Senckenberg Biodivers &amp; Climate Res Ctr, Senckenberganlage 25, D-60325 Frankfurt, Germany.</t>
  </si>
  <si>
    <t>r.klapper@em.uni-frankfurt.de</t>
  </si>
  <si>
    <t>10.1007/978-3-319-46343-8_4</t>
  </si>
  <si>
    <t>WOS:000416895300005</t>
  </si>
  <si>
    <t>Faltynková, A; Georgieva, S; Kostadinova, A; Bray, RA</t>
  </si>
  <si>
    <t>Faltynkova, Anna; Georgieva, Simona; Kostadinova, Aneta; Bray, Rodney A.</t>
  </si>
  <si>
    <t>Biodiversity and Evolution of Digeneans of Fishes in the Southern Ocean</t>
  </si>
  <si>
    <t>ANTARCTIC ICE-SHEET; PINE ISLAND BAY; N. SP DIGENEA; WEDDELL SEA; PHYLOGENETIC ANALYSIS; NOTOTHENIA-CORIICEPS; OPECOELID TREMATODE; MACVICARIA GIBSON; MCMURDO SOUND; AMUNDSEN SEA</t>
  </si>
  <si>
    <t>[Faltynkova, Anna; Georgieva, Simona; Kostadinova, Aneta] Czech Acad Sci, Biol Ctr, Inst Parasitol, Branisovska 31, Ceske Budejovice 37005, Czech Republic; [Bray, Rodney A.] Nat Hist Museum, Dept Life Sci, Cromwell Rd, London SW7 5BD, England</t>
  </si>
  <si>
    <t>Czech Academy of Sciences; Biology Centre of the Czech Academy of Sciences; Natural History Museum London</t>
  </si>
  <si>
    <t>Bray, RA (corresponding author), Nat Hist Museum, Dept Life Sci, Cromwell Rd, London SW7 5BD, England.</t>
  </si>
  <si>
    <t>faltyn@paru.cas.cz; simona.georgieva@gmail.com; aneta.kostadinova@uv.es; r.bray@nhm.ac.uk</t>
  </si>
  <si>
    <t>Faltynkova, Anna/L-9321-2014; Kostadinova, Aneta/H-1488-2014; Georgieva, Simona/I-3852-2018; Georgieva, Simona/N-5193-2015</t>
  </si>
  <si>
    <t>Faltynkova, Anna/0000-0003-3013-5881; Georgieva, Simona/0000-0001-8887-472X; Georgieva, Simona/0000-0003-1721-5035</t>
  </si>
  <si>
    <t>10.1007/978-3-319-46343-8_5</t>
  </si>
  <si>
    <t>WOS:000416895300006</t>
  </si>
  <si>
    <t>Rocka, A</t>
  </si>
  <si>
    <t>Rocka, Anna</t>
  </si>
  <si>
    <t>Cestodes and Nematodes of Antarctic Fishes and Birds</t>
  </si>
  <si>
    <t>ENDOPARASITIC WORMS; PARASITIC NEMATODE; EMPEROR PENGUINS; GEORGE ISLAND; MCMURDO SOUND; LIFE-CYCLE; N-SP; TETRAPHYLLIDEA; EUCESTODA; IDENTIFICATION</t>
  </si>
  <si>
    <t>[Rocka, Anna] Polish Acad Sci, W Stefanski Inst Parasitol, Ul Twarda 51-55, PL-00818 Warsaw, Poland</t>
  </si>
  <si>
    <t>Polish Academy of Sciences</t>
  </si>
  <si>
    <t>Rocka, A (corresponding author), Polish Acad Sci, W Stefanski Inst Parasitol, Ul Twarda 51-55, PL-00818 Warsaw, Poland.</t>
  </si>
  <si>
    <t>abroccy@poczta.onet.pl</t>
  </si>
  <si>
    <t>10.1007/978-3-319-46343-8_6</t>
  </si>
  <si>
    <t>WOS:000416895300007</t>
  </si>
  <si>
    <t>Laskowski, Z; Zdzitowiecki, K</t>
  </si>
  <si>
    <t>Laskowski, Zdzislaw; Zdzitowiecki, Krzysztof</t>
  </si>
  <si>
    <t>Acanthocephalans in Sub-Antarctic and Antarctic</t>
  </si>
  <si>
    <t>ADMIRALTY BAY; NOTOTHENIA-CORIICEPS; MORPHOLOGICAL DATA; FISH; INFECTION; PALAEACANTHOCEPHALA; PARASITES; ECOLOGY</t>
  </si>
  <si>
    <t>[Laskowski, Zdzislaw; Zdzitowiecki, Krzysztof] Polish Acad Sci, Witold Stefanski Inst Parasitol, Twarda 51-55, PL-00818 Warsaw, Poland</t>
  </si>
  <si>
    <t>Polish Academy of Sciences; Witold Stefanski Institute of Parasitology of the Polish Academy of Sciences</t>
  </si>
  <si>
    <t>Laskowski, Z (corresponding author), Polish Acad Sci, Witold Stefanski Inst Parasitol, Twarda 51-55, PL-00818 Warsaw, Poland.</t>
  </si>
  <si>
    <t>laskowz@twarda.pan.pl</t>
  </si>
  <si>
    <t>Laskowski, Zdzislaw/V-5682-2018</t>
  </si>
  <si>
    <t>Laskowski, Zdzislaw/0000-0001-8542-6307</t>
  </si>
  <si>
    <t>10.1007/978-3-319-46343-8_8</t>
  </si>
  <si>
    <t>WOS:000416895300009</t>
  </si>
  <si>
    <t>Diaz, JI; Fusaro, B; Vidal, V; González-Acuña, D; Costa, ES; Dewar, M; Gray, R; Power, M; Miller, G; Blyton, M; Vanstreels, R; Barbosa, A</t>
  </si>
  <si>
    <t>Diaz, Julia I.; Fusaro, Bruno; Vidal, Virginia; Gonzalez-Acuna, Daniel; Costa, Erli Schneider; Dewar, Meagan; Gray, Rachael; Power, Michelle; Miller, Gary; Blyton, Michaela; Vanstreels, Ralph; Barbosa, Andres</t>
  </si>
  <si>
    <t>Macroparasites in Antarctic Penguins</t>
  </si>
  <si>
    <t>TICKS IXODES-URIAE; PYGOSCELIS-PAPUA; APTENODYTES-PATAGONICUS; ADELIE PENGUINS; GASTROINTESTINAL HELMINTHS; PHALACROCORAX-ATRICEPS; BORRELIA-BURGDORFERI; TEMPORAL VARIATION; POPULATION-CHANGES; CLIMATE-CHANGE</t>
  </si>
  <si>
    <t>[Diaz, Julia I.] UNLP, CONICET, FCNyM, Ctr Estudios Parasitol &amp; Vectores CEPAVE, La Plata, Buenos Aires, Argentina; [Fusaro, Bruno] Inst Antartico Argentino IIA, Plan Anual, Argentina; [Vidal, Virginia; Barbosa, Andres] Museo Nacl Ciencias Nat CSIC, Dept Ecol Evolut, Madrid, Spain; [Gonzalez-Acuna, Daniel] Univ Concepcion, Fac Ciencias Vet, Concepcion, Chile; [Costa, Erli Schneider] Univ Estadual Rio Grande do Sul, Porto Alegre, RS, Brazil; [Costa, Erli Schneider] APECS Brazil, Porto Alegre, RS, Brazil; [Dewar, Meagan] Deakin Univ, Waurn Ponds, Australia; [Gray, Rachael] Univ Sydney, Sch Life &amp; Environm Sci, Fac Vet Sci, Sydney, NSW, Australia; [Power, Michelle] Macquarie Univ, Dept Biol Sci, Sydney, NSW, Australia; [Miller, Gary] Univ Tasmania, Inst Marine &amp; Antarctic Studies, Hobart, Tas, Australia; [Blyton, Michaela] Western Sydney Univ, Richmond, Australia; [Vanstreels, Ralph] Univ Sao Paulo, Dept Pathol, Fac Vet Med &amp; Anim Sci, Sao Paulo, Brazil</t>
  </si>
  <si>
    <t>Consejo Nacional de Investigaciones Cientificas y Tecnicas (CONICET); National University of La Plata; Consejo Superior de Investigaciones Cientificas (CSIC); CSIC - Museo Nacional de Ciencias Naturales (MNCN); Universidad de Concepcion; Universidade Estadual do Rio Grande do Sul (UERGS); Deakin University; University of Sydney; Macquarie University; University of Tasmania; Western Sydney University; Universidade de Sao Paulo</t>
  </si>
  <si>
    <t>Diaz, JI (corresponding author), UNLP, CONICET, FCNyM, Ctr Estudios Parasitol &amp; Vectores CEPAVE, La Plata, Buenos Aires, Argentina.;Barbosa, A (corresponding author), Museo Nacl Ciencias Nat CSIC, Dept Ecol Evolut, Madrid, Spain.</t>
  </si>
  <si>
    <t>jidiaz@cepave.edu.ar; barbosa@mncn.csic.es</t>
  </si>
  <si>
    <t>Dewar, Meagan/AAI-3969-2021; COSTA, ERLI SCHNEIDER/AAP-2375-2020; , Ralph ET Vanstreels/H-8029-2015; Blyton, Michaela/ABA-4463-2021; Barbosa, Andrés/C-3208-2008</t>
  </si>
  <si>
    <t>COSTA, ERLI SCHNEIDER/0000-0002-3739-1178; Barbosa, Andrés/0000-0001-8434-3649; Power, Michelle/0000-0003-3160-4301</t>
  </si>
  <si>
    <t>10.1007/978-3-319-46343-8_9</t>
  </si>
  <si>
    <t>WOS:000416895300010</t>
  </si>
  <si>
    <t>Mehlhorn, B; Mehlhorn, H</t>
  </si>
  <si>
    <t>Mehlhorn, Birgit; Mehlhorn, Heinz</t>
  </si>
  <si>
    <t>Lice on Seals in the Antarctic Waters and Lice in Temperate Climates</t>
  </si>
  <si>
    <t>SCANNING-ELECTRON-MICROSCOPY; ANOPLURA-ECHINOPHTHIRIIDAE; BARTONELLA-QUINTANA; HEAD LICE; OTARIA-FLAVESCENS; AMPHIBIOUS LOUSE; AFRICAN BODY; LIFE; LION; PATAGONIA</t>
  </si>
  <si>
    <t>[Mehlhorn, Birgit; Mehlhorn, Heinz] Heinrich Heine Univ, Inst Parasitol, Dusseldorf, Germany</t>
  </si>
  <si>
    <t>Heinrich Heine University Dusseldorf</t>
  </si>
  <si>
    <t>Mehlhorn, H (corresponding author), Heinrich Heine Univ, Inst Parasitol, Dusseldorf, Germany.</t>
  </si>
  <si>
    <t>mehlhorn@uni-duesseldorf.de</t>
  </si>
  <si>
    <t>10.1007/978-3-319-46343-8_10</t>
  </si>
  <si>
    <t>WOS:000416895300011</t>
  </si>
  <si>
    <t>Arnberg, M; Moodley, L; Dunaevskaya, E; Ramanand, S; Ingvarsdóttira, A; Nilsen, M; Ravagnan, E; Westerlund, S; Sanni, S; Tarling, GA; Bechmann, RK</t>
  </si>
  <si>
    <t>Arnberg, Maj; Moodley, Leon; Dunaevskaya, Evgenia; Ramanand, Sreerekha; Ingvarsdottira, Anna; Nilsen, Marianne; Ravagnan, Elisa; Westerlund, Stig; Sanni, Steinar; Tarling, Geraint A.; Bechmann, Renee K.</t>
  </si>
  <si>
    <t>Effects of chronic crude oil exposure on early developmental stages of the Northern krill (Meganyctiphanes norvegica)</t>
  </si>
  <si>
    <t>JOURNAL OF TOXICOLOGY AND ENVIRONMENTAL HEALTH-PART A-CURRENT ISSUES</t>
  </si>
  <si>
    <t>POLYCYCLIC AROMATIC-HYDROCARBONS; PANDALUS-BOREALIS; EUPHAUSIA-SUPERBA; WATER; TOXICITY; LARVAE; COPEPODS; GROWTH; PHOTOMODIFICATION; BIOCONCENTRATION</t>
  </si>
  <si>
    <t>Rising oil and gas activities in northern high latitudes have led to an increased risk of petroleum pollution in these ecosystems. Further, seasonal high UV radiation at high latitudes may elevate photo-enhanced toxicity of petroleum pollution to marine organisms. Zooplanktons are a key ecological component of northern ecosystems; therefore, it is important to assess their sensitivity to potential pollutants of oil and gas activity. As ontogenetic development may be particularly sensitive, the aim of this study was to examine the impact of chronic exposure to oil water dispersion (OWD) on development and feeding of early life stages of the Northern krill, Meganyctiphanes norvegica. In a range of experiments, embryonic, nonfeeding, and feeding larval stages were exposed to concentrations of between 0.01 and 0.1 mg/L of oil or photo-modified oil for 19 and 21 d. No significant effects on egg respiration, hatching success, development, length and larval survival were observed from these treatments. Similarly, evolution of fatty acid composition patterns during ontogenetic development was unaffected. The results indicates a high degree of resilience of these early developmental stages to such types and concentrations of pollutants. However, feeding and motility in later calyptopis-stage larvae were significantly impaired at exposure of 0.1 mg/L oil. Data indicate that feeding larval stage of krill was more sensitive to OWD than early nonfeeding life stages. This might be attributed to the narcotic effects of oil pollutants, their direct ingestion, or accumulated adverse effects over early development.</t>
  </si>
  <si>
    <t>[Arnberg, Maj; Moodley, Leon; Dunaevskaya, Evgenia; Ramanand, Sreerekha; Ingvarsdottira, Anna; Ravagnan, Elisa; Westerlund, Stig; Sanni, Steinar; Bechmann, Renee K.] IRIS Int Res Inst Stavanger, Mekjarvik 12, N-4070 Randaberg, Norway; [Nilsen, Marianne] Western Norway Univ Appl Sci HVL, Sogndal, Norway; [Sanni, Steinar] Univ Stavanger, Fac Sci &amp; Technol, Stavanger, Norway; [Tarling, Geraint A.] British Antarctic Survey, Nat Environm Res Council, Cambridge, England</t>
  </si>
  <si>
    <t>Western Norway University of Applied Sciences; Universitetet i Stavanger; UK Research &amp; Innovation (UKRI); Natural Environment Research Council (NERC); NERC British Antarctic Survey</t>
  </si>
  <si>
    <t>Arnberg, M (corresponding author), IRIS Int Res Inst Stavanger, Mekjarvik 12, N-4070 Randaberg, Norway.</t>
  </si>
  <si>
    <t>Maj.Arnberg@iris.no</t>
  </si>
  <si>
    <t>Bechmann, Renee/KFR-1966-2024; moodley, leon/AAH-1674-2019</t>
  </si>
  <si>
    <t>Bechmann, Renee/0000-0002-7113-4386; Moodley, Leon/0000-0002-0617-3514</t>
  </si>
  <si>
    <t>Research Council of Norway (RCN) [234291, 204023/E40]; NERC [bas0100035] Funding Source: UKRI; Natural Environment Research Council [bas0100035] Funding Source: researchfish</t>
  </si>
  <si>
    <t>Research Council of Norway (RCN)(Research Council of Norway); NERC(UK Research &amp; Innovation (UKRI)Natural Environment Research Council (NERC)); Natural Environment Research Council(UK Research &amp; Innovation (UKRI)Natural Environment Research Council (NERC))</t>
  </si>
  <si>
    <t>This study was funded by The Research Council of Norway (RCN) through two projects where the main objectives were to study seasonal variation in the sensitivity of Northern krill to oil (NRC SEASENS no#234291) and biological effects/risk and environmental indicators in integrated model system based management of pelagic Arctic ecosystems (NRC IMS no#204023/E40).</t>
  </si>
  <si>
    <t>1528-7394</t>
  </si>
  <si>
    <t>1087-2620</t>
  </si>
  <si>
    <t>J TOXICOL ENV HEAL A</t>
  </si>
  <si>
    <t>J. Toxicol. Env. Health Part A</t>
  </si>
  <si>
    <t>16-18</t>
  </si>
  <si>
    <t>10.1080/15287394.2017.1352204</t>
  </si>
  <si>
    <t>Environmental Sciences; Public, Environmental &amp; Occupational Health; Toxicology</t>
  </si>
  <si>
    <t>Environmental Sciences &amp; Ecology; Public, Environmental &amp; Occupational Health; Toxicology</t>
  </si>
  <si>
    <t>FN9IT</t>
  </si>
  <si>
    <t>WOS:000416346600010</t>
  </si>
  <si>
    <t>Zagarese, HE; Ferraro, M; Queimalinos, C; Diéguez, MD; Suárez, DA; Llames, ME</t>
  </si>
  <si>
    <t>Zagarese, Horacio E.; Ferraro, Marcela; Queimalinos, Claudia; del Carmen Dieguez, Maria; Anon Suarez, Diego; Eugenia Llames, Maria</t>
  </si>
  <si>
    <t>Patterns of dissolved organic matter across the Patagonian landscape: a broad-scale survey of Chilean and Argentine lakes</t>
  </si>
  <si>
    <t>climate change; ecosystem processes; limnology</t>
  </si>
  <si>
    <t>FRESH-WATER; NORTHERN PATAGONIA; CLIMATE-CHANGE; CARBON; PRECIPITATION; ABSORPTION; TEMPERATE; QUALITY; FLUORESCENCE; DEGRADATION</t>
  </si>
  <si>
    <t>Dissolved organic matter (DOM) is a complex mixture of carbon compounds from autochthonous and allochthonous sources. Dissolved organic carbon (DOC) concentrations and optical metrics of DOM provide clues as to the sources and processes affecting the DOM pool. Herein we provide the first broad-scale characterisation of DOM from Patagonian lakes across a strong west-east precipitation gradient. Fifty-eight lakes from Northern Patagonia (Argentina and Chile) plus six lakes from the Antarctic Peninsula were sampled during summer 2000-01. Six DOM metrics were evaluated: DOC absorbance at 254nm (a(254)) and 350nm (a(350)), DOC-specific absorbance at 254nm (a(254)/DOC) and 350nm (a(350)/DOC) and spectral slope between 275 and 295nm (S275-295). The DOM of Chilean maritime lakes and shallow (&lt;15m) Andean lakes exhibited terrestrial signatures and a pattern of variation consistent with their occurrence across the longitudinal precipitation gradient (i.e. S275-295 increased, whereas a(350)/DOC decreased from west to east). The contribution of allochthonous DOM was smaller in deep (&gt;15m) Andean lakes, which is consistent with their longer water retention time. Steppe lakes, mostly from endorheic basins, made up the most heterogeneous group with regard to DOM characteristics.</t>
  </si>
  <si>
    <t>[Zagarese, Horacio E.; Ferraro, Marcela; Eugenia Llames, Maria] Univ Nacl San Martin, CONICET, Lab Ecol &amp; Fotobiol Acuat, Inst Invest Biotecnol,Inst Tecnol Chascomus, Ave Intendente Marino Kilometro 8,200,B7130IWA, Chascomus, Argentina; [Queimalinos, Claudia; del Carmen Dieguez, Maria; Anon Suarez, Diego] Univ Nacl Comahue, CONICET, Lab Fotobiol, Inst Invest Biodiversidad &amp; Medio Ambiente, Quintral 1250, RA-8400 San Carlos De Bariloche, Rio Negro, Argentina</t>
  </si>
  <si>
    <t>Consejo Nacional de Investigaciones Cientificas y Tecnicas (CONICET); Consejo Nacional de Investigaciones Cientificas y Tecnicas (CONICET); Universidad Nacional del Comahue</t>
  </si>
  <si>
    <t>Zagarese, HE (corresponding author), Univ Nacl San Martin, CONICET, Lab Ecol &amp; Fotobiol Acuat, Inst Invest Biotecnol,Inst Tecnol Chascomus, Ave Intendente Marino Kilometro 8,200,B7130IWA, Chascomus, Argentina.</t>
  </si>
  <si>
    <t>zagarese@intech.gov.ar</t>
  </si>
  <si>
    <t>Dieguez, Maria/0000-0002-8241-3719; Llames, Maria Eugenia/0000-0001-6984-8016; Zagarese, Horacio/0000-0001-6588-5960</t>
  </si>
  <si>
    <t>Inter American Institute for Global Change Research [CRN26]; Argentine network for the assessment and monitoring aquatic systems (Proyecto Argentino de Monitoreo y Prospeccion de Ambientes Acuaticos, PAMPA2), Consejo Nacional de Investigaciones Cientificas y Tecnicas (CONICET)</t>
  </si>
  <si>
    <t>Inter American Institute for Global Change Research; Argentine network for the assessment and monitoring aquatic systems (Proyecto Argentino de Monitoreo y Prospeccion de Ambientes Acuaticos, PAMPA2), Consejo Nacional de Investigaciones Cientificas y Tecnicas (CONICET)</t>
  </si>
  <si>
    <t>This work was supported by the Inter American Institute for Global Change Research (Grant CRN26) and the Argentine network for the assessment and monitoring aquatic systems (Proyecto Argentino de Monitoreo y Prospeccion de Ambientes Acuaticos, PAMPA2), Consejo Nacional de Investigaciones Cientificas y Tecnicas (CONICET). The authors thank Don Morris, Bruce Hargreaves, Doris Sotto, Patricio de los Rios, Jorge Jaramillo and Patricia A. Perez for their support during this study.</t>
  </si>
  <si>
    <t>10.1071/MF17023</t>
  </si>
  <si>
    <t>WOS:000416334800017</t>
  </si>
  <si>
    <t>Lamus, FV</t>
  </si>
  <si>
    <t>Villamizar Lamus, Fernando</t>
  </si>
  <si>
    <t>Evolution of the Antarctic Treaty System: the Antarctic Treaty and the instruments that complement it</t>
  </si>
  <si>
    <t>MAS ALLA DE LAS FRONTERAS: LOS HORIZONTES GEOPOLITICOS DE LA ANTARTICA</t>
  </si>
  <si>
    <t>Acontecer Mundial</t>
  </si>
  <si>
    <t>UNIV COOPERATIVE COLOMBIA</t>
  </si>
  <si>
    <t>MEDELLIN</t>
  </si>
  <si>
    <t>COLOMBIA 41-70, MEDELLIN, ANTIOQUIA 00000, COLOMBIA</t>
  </si>
  <si>
    <t>2500-7696</t>
  </si>
  <si>
    <t>978-958-760-076-6; 978-958-760-075-9</t>
  </si>
  <si>
    <t>ACONTEC MUND</t>
  </si>
  <si>
    <t>10.16925/9789587600766</t>
  </si>
  <si>
    <t>BJ0DT</t>
  </si>
  <si>
    <t>WOS:000416671400004</t>
  </si>
  <si>
    <t>Román, JZ; Gómez, JDZ; Rey, JJH</t>
  </si>
  <si>
    <t>Zuniga Roman, Juan; Zornoza Gomez, Juan de Dios; Hernadez Rey, Juan Jose</t>
  </si>
  <si>
    <t>A NEW WAY OF LOOKING AT THE SKY NEUTRINO TELESCOPES</t>
  </si>
  <si>
    <t>METODE SCIENCE STUDIES JOURNAL</t>
  </si>
  <si>
    <t>neutrino astronomy; neutrino telescopes; astroparticle physics; IceCube; KM3NeT</t>
  </si>
  <si>
    <t>Neutrinos are weakly-interacting neutral particles, which makes them powerful sources of information about the most energetic processes in the universe, such as the origin of ultra-energetic cosmic rays or gamma-ray bursts. However, a price must be paid in order to detect them: gargantuan detectors at the bottom of the sea or under the Antarctic ice are required. The detection of the first high-energy cosmic neutrinos in 2013 by the IceCube observatory represented the start of so-called neutrino astronomy, a new way of observing the universe, which can play a key role in future discoveries. In this article, we describe how neutrino telescopes work, as well as the different initial configurations that made this new twenty-first century astronomy possible.</t>
  </si>
  <si>
    <t>[Zuniga Roman, Juan] Univ Valencia, Dept Atom Mol &amp; Nucl Phys, Valencia, Spain; [Zuniga Roman, Juan; Zornoza Gomez, Juan de Dios; Hernadez Rey, Juan Jose] Inst Corpuscular Phys CSIC UV, Valencia, Spain; [Zuniga Roman, Juan] Univ Valencia, Adv Phys, Valencia, Spain; [Zornoza Gomez, Juan de Dios] Univ Wisconsin Madison, Madison, WI USA; [Hernadez Rey, Juan Jose] Inst Corpuscular Phys, Valencia, Spain; [Hernadez Rey, Juan Jose] Inst Corpuscular Phys, Project Severo Ochoa, Ctr Excellence, Valencia, Spain</t>
  </si>
  <si>
    <t>University of Valencia; Consejo Superior de Investigaciones Cientificas (CSIC); CSIC - Instituto de Fisica Corpuscular (IFIC); University of Valencia; University of Wisconsin System; University of Wisconsin Madison; Consejo Superior de Investigaciones Cientificas (CSIC); CSIC - Instituto de Fisica Corpuscular (IFIC); Consejo Superior de Investigaciones Cientificas (CSIC); CSIC - Instituto de Fisica Corpuscular (IFIC)</t>
  </si>
  <si>
    <t>Román, JZ (corresponding author), Univ Valencia, Dept Atom Mol &amp; Nucl Phys, Valencia, Spain.;Román, JZ (corresponding author), Inst Corpuscular Phys CSIC UV, Valencia, Spain.;Román, JZ (corresponding author), Univ Valencia, Adv Phys, Valencia, Spain.</t>
  </si>
  <si>
    <t>Zornoza, Juan de Dios/L-1604-2014</t>
  </si>
  <si>
    <t>Zornoza, Juan de Dios/0000-0002-1834-0690</t>
  </si>
  <si>
    <t>UNIV VALENCIA, BOTANICAL GARDEN UV</t>
  </si>
  <si>
    <t>VALENCIA</t>
  </si>
  <si>
    <t>C/QUART, 80, VALENCIA, 46008, SPAIN</t>
  </si>
  <si>
    <t>2174-3487</t>
  </si>
  <si>
    <t>2174-9221</t>
  </si>
  <si>
    <t>METODE SCI STUD J</t>
  </si>
  <si>
    <t>Metode Sci. Stud. J.</t>
  </si>
  <si>
    <t>10.7203/metode.7.8504</t>
  </si>
  <si>
    <t>History &amp; Philosophy Of Science</t>
  </si>
  <si>
    <t>History &amp; Philosophy of Science</t>
  </si>
  <si>
    <t>FO2IA</t>
  </si>
  <si>
    <t>WOS:000416598100023</t>
  </si>
  <si>
    <t>Shanmugam, G</t>
  </si>
  <si>
    <t>Mazumder, R</t>
  </si>
  <si>
    <t>Shanmugam, G.</t>
  </si>
  <si>
    <t>The Contourite Problem</t>
  </si>
  <si>
    <t>SEDIMENT PROVENANCE: INFLUENCES ON COMPOSITIONAL CHANGE FROM SOURCE TO SINK</t>
  </si>
  <si>
    <t>INTERNAL-TIDE DEPOSITS; GULF-OF-MEXICO; CURRENT-CONTROLLED SEDIMENTATION; OCEANIC PYCNOCLINES CHALLENGES; ANTARCTIC CIRCUMPOLAR CURRENT; MEDITERRANEAN OUTFLOW WATER; GRADED TURBIDITE SEQUENCES; CURRENT REWORKED SANDS; DEEP-MARINE; BOTTOM CURRENTS</t>
  </si>
  <si>
    <t>[Shanmugam, G.] Univ Texas Arlington, Arlington, TX 76019 USA</t>
  </si>
  <si>
    <t>University of Texas System; University of Texas Arlington</t>
  </si>
  <si>
    <t>Shanmugam, G (corresponding author), Univ Texas Arlington, Arlington, TX 76019 USA.</t>
  </si>
  <si>
    <t>SARA BURGERHARTSTRAAT 25, PO BOX 211, 1000 AE AMSTERDAM, NETHERLANDS</t>
  </si>
  <si>
    <t>978-0-12-803387-6; 978-0-12-803386-9</t>
  </si>
  <si>
    <t>10.1016/B978-0-12-803386-9.00009-5</t>
  </si>
  <si>
    <t>BI8KE</t>
  </si>
  <si>
    <t>WOS:000415231800009</t>
  </si>
  <si>
    <t>McMahon, CR; Thums, M; Bradshaw, M; Busby, S; Chapple, V; Evans, M; Goodlich, S; Holland, C; Raudino, H; Rebuck, P; Hindell, MA</t>
  </si>
  <si>
    <t>McMahon, Clive R.; Thums, Michele; Bradshaw, Miecha; Busby, Steven; Chapple, Vaughn; Evans, Melissa; Goodlich, Stephen; Holland, Clair; Raudino, Holly; Rebuck, Paul; Hindell, Mark A.</t>
  </si>
  <si>
    <t>It's a girl! A female southern elephant seal born in Western Australia</t>
  </si>
  <si>
    <t>AUSTRALIAN JOURNAL OF ZOOLOGY</t>
  </si>
  <si>
    <t>Integrated Marine Observing System; Mirounga leonina; survival</t>
  </si>
  <si>
    <t>MIROUNGA-LEONINA; POPULATION; ISLAND; CLIMATE</t>
  </si>
  <si>
    <t>Southern elephant seals typically breed on subantarctic islands and breeding in more temperate regions is rare. This small female (similar to 1.42m) that weaned after 25 days is smaller than the average weaned female elephant seal and her survival prospects are correspondingly low (20-35%). The fact that the elephant seal was successfully weaned offers some insight into the breeding plasticity in this species.</t>
  </si>
  <si>
    <t>[McMahon, Clive R.] Sydney Inst Marine Sci, 19 Chowder Bay Rd, Mosman, NSW 2088, Australia; [Thums, Michele] Univ Western Australia, Australian Inst Marine Sci, Indian Ocean Marine Res Ctr, M096,35 Stirling Highway, Crawley, WA 6009, Australia; [Bradshaw, Miecha; Busby, Steven; Chapple, Vaughn; Evans, Melissa; Goodlich, Stephen; Rebuck, Paul] Metropolitan Marine Pk, Swan Coastal Dist, 39 Northside Dr, Hillarys, WA 6025, Australia; [Holland, Clair] Perth Zoo, 20 Labouchere Rd, S Perth, WA 6151, Australia; [Raudino, Holly] Bentley Delivery Ctr, Dept Parks &amp; Wildlife, Locked Bag 104, Bentley, WA 6983, Australia; [Hindell, Mark A.] Univ Tasmania, Inst Marine &amp; Antarct Studies, Hobart, Tas 7001, Australia</t>
  </si>
  <si>
    <t>Sydney Institute of Marine Science; Australian Institute of Marine Science; University of Western Australia; University of Tasmania</t>
  </si>
  <si>
    <t>McMahon, CR (corresponding author), Sydney Inst Marine Sci, 19 Chowder Bay Rd, Mosman, NSW 2088, Australia.</t>
  </si>
  <si>
    <t>clive.mcmahon@utas.edu.au</t>
  </si>
  <si>
    <t>Hindell, Mark A/K-1131-2013; McMahon, Clive R/D-5713-2013; Thums, Michele/A-3850-2013</t>
  </si>
  <si>
    <t>McMahon, Clive R/0000-0001-5241-8917; Hindell, Mark/0000-0002-7823-7185; Thums, Michele/0000-0002-8669-8440; Raudino, Holly/0000-0002-2661-6431</t>
  </si>
  <si>
    <t>Australian Government</t>
  </si>
  <si>
    <t>Australian Government(Australian Government)</t>
  </si>
  <si>
    <t>The Australian Antarctic Division through the Australian National Antarctic Research Expeditions (ANARE) and the French Polar Program through the Institute Polarie Emile Victor supported the field logistics to collect the tracking data used in this study. The ARGOS seal tracking data were sourced from the Integrated Marine Observing System (IMOS). IMOS is a national collaborative research infrastructure, supported by the Australian Government. It is operated by a consortium of institutions as an unincorporated joint venture, with the University of Tasmania as lead agent. Doug Coughran and Kelly Waples provided information on previous pupping events in Australia and advice on managing the unusual event and public interest. We are grateful to John van den Hoff and an anonymous reviewer for their positive critique of our paper.</t>
  </si>
  <si>
    <t>0004-959X</t>
  </si>
  <si>
    <t>1446-5698</t>
  </si>
  <si>
    <t>AUST J ZOOL</t>
  </si>
  <si>
    <t>Aust. J. Zool.</t>
  </si>
  <si>
    <t>10.1071/ZO17036</t>
  </si>
  <si>
    <t>FN4SC</t>
  </si>
  <si>
    <t>WOS:000415996000004</t>
  </si>
  <si>
    <t>Bratchkova, A; Ivanova, V</t>
  </si>
  <si>
    <t>Bratchkova, Anna; Ivanova, Veneta</t>
  </si>
  <si>
    <t>ISOLATION, IDENTIFICATION AND BIOLOGICAL ACTIVITIES OF CYCLIC DIPEPTIDES FROM ANTARCTIC MICROORGANISMS</t>
  </si>
  <si>
    <t>Antarctica; Livingston Island; Thermoactinomyces sp imbas-22; cyclic dipeptides; (HPLC-DAD-ESIMS) analysis and one-dimensional NMR experiments</t>
  </si>
  <si>
    <t>Two natural cyclic dipeptides (diketopiperazines) were isolated from the culture broth of Thermoactinomyces sp. imbas-22 strain. The organism was isolated from penguin excrements, collected on the Antarctic Livingston Island. Based on the effect of temperature on its growth rate, the strain is thermophilic with an optimal growth temperature at 50 degrees C. The compounds were purified by solvent extraction, silica gel column chromatography and preparative TLC consecutively. The structures of the two compounds were identified by using high-performance liquid chromatography, using double online detection with a diode array spectrophotometer and a mass spectrometer (HPLC-DAD-ESIMS), one-dimensional NMR experiments and comparison with standard compounds. Both substances - Cyclo (Phenylalanyl-Leucyl) (1) and Cyclo (Leucyl-Leucyl) (2) are natural products and isolated for the first time from the culture broth of the Antarctic strain Thermoactinomyces sp. imbas-22. These compounds showed activity against important Gram-positive bacteria, fungi and yeasts: Bacillus subtilis, Staphylococcus aureus, Streptomyces viridochromogenes, Mucor miehei and Candida albicans.</t>
  </si>
  <si>
    <t>[Bratchkova, Anna; Ivanova, Veneta] Bulgarian Acad Sci, Stephan Angeloff Inst Microbiol, Acad G Bonchev St,Bl 26, BU-1113 Sofia, Bulgaria</t>
  </si>
  <si>
    <t>Bulgarian Academy of Sciences; Stephan Angeloff Institute of Microbiology, Bulgarian Academy of Sciences</t>
  </si>
  <si>
    <t>Bratchkova, A (corresponding author), Bulgarian Acad Sci, Stephan Angeloff Inst Microbiol, Acad G Bonchev St,Bl 26, BU-1113 Sofia, Bulgaria.</t>
  </si>
  <si>
    <t>kaamos@abv.bg; venibiva@yahoo.com</t>
  </si>
  <si>
    <t>FN8SV</t>
  </si>
  <si>
    <t>WOS:000416296700008</t>
  </si>
  <si>
    <t>Wang, MY; Liu, DC</t>
  </si>
  <si>
    <t>Wang, Mengyao; Liu, Daicheng</t>
  </si>
  <si>
    <t>Detection of antioxidant butylated hydroxytoluene (BHT) in Antarctic krill (Euphausia superba Dana)</t>
  </si>
  <si>
    <t>JOURNAL OF LIQUID CHROMATOGRAPHY &amp; RELATED TECHNOLOGIES</t>
  </si>
  <si>
    <t>Antarctic krill; antioxidant; BHT; HPTLC</t>
  </si>
  <si>
    <t>EXTRACT</t>
  </si>
  <si>
    <t>In this study, butylated hydroxytoluene (BHT) was separated and prepared from Antarctic krill. BHT was separated from the volatile oil of Antarctic krill using high performance thin layer chromatography (HPTLC) with petroleum ether/ethyl acetate/hexane (4:1:0.5, v/v/v) was used as the developing solvent. The content of BHT in volatile oil was 9.20mg/g and the content of BHT in dried Antarctic krill was 0.35mg/g (0.070mg/g in frozen whole Antarctic krill). The linearity, accuracy, stability, and recovery of the analysis showed that HPTLC is the most suitable method for the determination of BHT in Antarctic krill. The BHT crude sample was obtained by scraping the separated spot in the thin layer chromatography plate, which was then analyzed using high performance liquid chromatography (HPLC). The resulting sample was identified with 96.05% purity based on the HPLC analysis. The structure of BHT was determined using gas chromatography-mass spectrometry (GC-MS). The results of the HPLC and GC-MS analysis validated the HPTLC method. BHT is a widely used antioxidant in food, pharmaceuticals, and in industrial production. The exploitation and utilization of BHT in Antarctic krill is of great economic value.</t>
  </si>
  <si>
    <t>[Wang, Mengyao; Liu, Daicheng] Shandong Normal Univ, Coll Life Sci, Key Lab Anim Resistance, 88 East Wenhua Rd, Jinan 250014, Shandong, Peoples R China</t>
  </si>
  <si>
    <t>Shandong Normal University</t>
  </si>
  <si>
    <t>Liu, DC (corresponding author), Shandong Normal Univ, Coll Life Sci, Key Lab Anim Resistance, 88 East Wenhua Rd, Jinan 250014, Shandong, Peoples R China.</t>
  </si>
  <si>
    <t>liudch@sdnu.edu.cn</t>
  </si>
  <si>
    <t>1082-6076</t>
  </si>
  <si>
    <t>1520-572X</t>
  </si>
  <si>
    <t>J LIQ CHROMATOGR R T</t>
  </si>
  <si>
    <t>J. Liq. Chromatogr. Relat. Technol.</t>
  </si>
  <si>
    <t>10.1080/10826076.2017.1357570</t>
  </si>
  <si>
    <t>Biochemical Research Methods; Chemistry, Analytical</t>
  </si>
  <si>
    <t>Biochemistry &amp; Molecular Biology; Chemistry</t>
  </si>
  <si>
    <t>FN2EC</t>
  </si>
  <si>
    <t>WOS:000415802300003</t>
  </si>
  <si>
    <t>Niaounakis, M</t>
  </si>
  <si>
    <t>Niaounakis, Michael</t>
  </si>
  <si>
    <t>Environmental, Social, and Economic Impacts</t>
  </si>
  <si>
    <t>MANAGEMENT OF MARINE PLASTIC DEBRIS: PREVENTION, RECYCLING, AND WASTE MANAGEMENT</t>
  </si>
  <si>
    <t>PDL Handbook Series</t>
  </si>
  <si>
    <t>PERSISTENT ORGANIC POLLUTANTS; MARINE DEBRIS INGESTION; ANTARCTIC FUR SEALS; MAN-MADE DEBRIS; NORTHWESTERN HAWAIIAN-ISLANDS; BROMINATED FLAME RETARDANTS; MONOFILAMENT FISHING LINES; SHORT-TAILED SHEARWATERS; GANNETS MORUS-BASSANUS; PLASTIC RESIN PELLETS</t>
  </si>
  <si>
    <t>WILLIAM ANDREW INC</t>
  </si>
  <si>
    <t>NORWICH</t>
  </si>
  <si>
    <t>13 EATON AVE, NORWICH, NY 13815 USA</t>
  </si>
  <si>
    <t>978-0-323-44399-9; 978-0-323-44354-8</t>
  </si>
  <si>
    <t>PDL HANDB SER</t>
  </si>
  <si>
    <t>10.1016/B978-0-323-44354-8.00002-1</t>
  </si>
  <si>
    <t>Engineering, Environmental; Materials Science, Composites</t>
  </si>
  <si>
    <t>Engineering; Materials Science</t>
  </si>
  <si>
    <t>BI9IY</t>
  </si>
  <si>
    <t>WOS:000416162300003</t>
  </si>
  <si>
    <t>Direen, NG; Cohen, BE; Maas, R; Frey, FA; Whittaker, JM; Coffin, MF; Meffre, S; Halpin, JA; Crawford, AJ</t>
  </si>
  <si>
    <t>Direen, N. G.; Cohen, B. E.; Maas, R.; Frey, F. A.; Whittaker, J. M.; Coffin, M. F.; Meffre, S.; Halpin, J. A.; Crawford, A. J.</t>
  </si>
  <si>
    <t>Naturaliste Plateau: constraints on the timing and evolution of the Kerguelen Large Igneous Province and its role in Gondwana breakup</t>
  </si>
  <si>
    <t>Naturaliste Plateau; Kerguelen hotspot; Gondwanaland breakup; geochronology; geochemistry; Tibet; Wallaby Plateau</t>
  </si>
  <si>
    <t>BROKEN RIDGE; WESTERN-AUSTRALIA; CONTINENTAL-MARGIN; BUNBURY BASALT; MANTLE SOURCES; PLUME; ORIGIN; ROCKS; INDIA; PETROGENESIS</t>
  </si>
  <si>
    <t>Volcanism associated with the Kerguelen Large Igneous Province is found scattered in southwestern Australia (the ca 136 to ca 130 Ma Bunbury Basalts, and ca 124 Ma Wallaby Plateau), India (ca 118 Ma Rajmahal Traps and Cona Basalts), and Tibet (the ca 132 Ma Comei Basalts), but apart from the similar to 70 000 km(2) Wallaby Plateau, these examples are spatially and volumetrically minor. Here, we report dredge, geochronological and geochemical results from the similar to 90 000 km(2) Naturaliste Plateau, located similar to 170 to similar to 500 km southwest of Australia. Dredged lavas and intrusive rocks range from mafic to felsic compositions, and prior geophysical analyses indicate these units comprise much of the plateau substrate. 40Ar/39Ar plagioclase ages from mafic units and U-Pb zircon ages from silicic rocks indicate magmatic emplacement from 130.6 +/- 1.2 to 129.4 +/- 1.3 Ma for mafic rocks and 131.8 +/- 3.9 to 128.2 +/- 2.3 Ma for silicic rocks (2s). These Cretaceous Naturaliste magmas incorporated a significant component of continental crust, with relatively high Sr-87/Sr-86 (up to 0.78), high Pb-207/(204) Pb ratios (15.5-15.6), low Nd-143/Nd-144 (0.511-0.512) and primitive-mantle normalised Th/Nb of 11.3 and La/Nb of 3.97. These geochemical results are consistent with the plateau being underlain by continental basement, as indicated by prior interpretations of seismic and gravity data, corroborated by dredging of Mesoproterozoic granites and gneisses on the southern plateau flank. The Cretaceous Naturaliste Plateau igneous rocks have signatures indicative of extraction from a depleted mantle, with trace-element and isotopic values that overlap with Kerguelen Plateau lavas reflect crustal contamination. Our chemical and geochronological results therefore show the Naturaliste Plateau contains evidence of an extensive igneous event representing some of the earliest voluminous Kerguelen hotspot magmas. Prior work reports that contemporaneous correlative volcanic sequences underlie the nearby Mentelle Basin, and the Enderby Basin and Princess Elizabeth Trough in the Antarctic. When combined, the igneous rocks in the Naturaliste, Mentelle, Wallaby, Enderby, Princess Elizabeth, Bunbury and Comei-Cona areas form a 136-124 Ma Large Igneous Province covering &gt;244 000 km(2).</t>
  </si>
  <si>
    <t>[Direen, N. G.; Meffre, S.; Halpin, J. A.; Crawford, A. J.] Univ Tasmania, Sch Phys Sci, Private Bag 126, Hobart, Tas 7001, Australia; [Direen, N. G.; Whittaker, J. M.; Coffin, M. F.; Halpin, J. A.] Univ Tasmania, Inst Marine &amp; Antarctic Studies, Private Bag 126, Hobart, Tas 7001, Australia; [Cohen, B. E.] Univ Queensland, Sch Earth Sci, St Lucia, Qld 4072, Australia; [Cohen, B. E.] Scottish Univ Environm Res Ctr, E Kilbride G75 0QF, Lanark, Scotland; [Maas, R.] Univ Melbourne, Sch Earth Sci, Parkville, Vic 3010, Australia; [Frey, F. A.] MIT, Earth Atmosphere &amp; Planetary Sci, 77 Massachusetts Ave, Cambridge, MA 02139 USA; [Coffin, M. F.] Woods Hole Oceanog Inst, Woods Hole, MA 02543 USA; [Coffin, M. F.] Univ Maine, Sch Earth &amp; Climate Sci, Orono, ME 04473 USA; [Meffre, S.; Halpin, J. A.; Crawford, A. J.] Univ Tasmania, ARC Ctr Excellence Ore Deposits, Private Bag 126, Hobart, Tas 7001, Australia</t>
  </si>
  <si>
    <t>University of Tasmania; University of Tasmania; University of Queensland; Scottish Universities Research &amp; Reactor Center; University of Melbourne; Massachusetts Institute of Technology (MIT); Woods Hole Oceanographic Institution; University of Maine System; University of Maine Orono; University of Tasmania</t>
  </si>
  <si>
    <t>Direen, NG (corresponding author), Univ Tasmania, Sch Phys Sci, Private Bag 126, Hobart, Tas 7001, Australia.;Direen, NG (corresponding author), Univ Tasmania, Inst Marine &amp; Antarctic Studies, Private Bag 126, Hobart, Tas 7001, Australia.</t>
  </si>
  <si>
    <t>n_direen@utas.edu.au</t>
  </si>
  <si>
    <t>Meffre, Sebastien/O-6896-2019; Direen, Nicholas/P-5949-2019; Coffin, Millard F/H-4619-2011; Meffre, Sebastien/J-8700-2014; Halpin, Jacqueline A/A-3776-2014; Whittaker, Joanne/B-3695-2010</t>
  </si>
  <si>
    <t>Meffre, Sebastien/0000-0003-2741-6076; Direen, Nicholas/0000-0002-4466-7064; Coffin, Millard F/0000-0001-9960-0038; Meffre, Sebastien/0000-0003-2741-6076; Halpin, Jacqueline A/0000-0002-4992-8681; Cohen, Benjamin/0000-0002-1634-8998; Whittaker, Joanne/0000-0002-3170-3935</t>
  </si>
  <si>
    <t>Major National Research Facility [SS09/2005]; Frogtech Pty Ltd; Geoscience Australia; Australian Research Council [DE150130, DP0666062]; Australian Research Council [DP0666062] Funding Source: Australian Research Council</t>
  </si>
  <si>
    <t>Major National Research Facility; Frogtech Pty Ltd; Geoscience Australia; Australian Research Council(Australian Research Council); Australian Research Council(Australian Research Council)</t>
  </si>
  <si>
    <t>Major National Research Facility [grant number Southern Surveyor Voyage SS09/2005] Frogtech Pty Ltd, Geoscience Australia, Australian Research Council [grant number DE150130, DP0666062]</t>
  </si>
  <si>
    <t>10.1080/08120099.2017.1367326</t>
  </si>
  <si>
    <t>FN0LU</t>
  </si>
  <si>
    <t>WOS:000415670200002</t>
  </si>
  <si>
    <t>Lindgren, C; Panetta, FD; Wilson, JR</t>
  </si>
  <si>
    <t>Wilson, JR; Panetta, FD; Lindgren, C</t>
  </si>
  <si>
    <t>Lindgren, Cory; Panetta, F. Dane; Wilson, John R.</t>
  </si>
  <si>
    <t>Legislation and Agreements</t>
  </si>
  <si>
    <t>DETECTING AND RESPONDING TO ALIEN PLANT INCURSIONS</t>
  </si>
  <si>
    <t>Ecology Biodiversity and Conservation</t>
  </si>
  <si>
    <t>Australian Antarctic Div, Kingston, Tas, Australia</t>
  </si>
  <si>
    <t>Wilson, John/B-4101-2008</t>
  </si>
  <si>
    <t>Wilson, John/0000-0003-0174-3239</t>
  </si>
  <si>
    <t>978-1-107-47948-7; 978-1-107-09560-1</t>
  </si>
  <si>
    <t>ECOL BIODIVERS CONS</t>
  </si>
  <si>
    <t>10.1017/CBO9781316155318</t>
  </si>
  <si>
    <t>Biodiversity Conservation; Ecology</t>
  </si>
  <si>
    <t>BI3NJ</t>
  </si>
  <si>
    <t>WOS:000411314000008</t>
  </si>
  <si>
    <t>Wilks, JV; Armand, LK</t>
  </si>
  <si>
    <t>Wilks, Jessica V.; Armand, Leanne K.</t>
  </si>
  <si>
    <t>Diversity and taxonomic identification of Shionodiscus spp. in the Australian sector of the Subantarctic Zone</t>
  </si>
  <si>
    <t>diatom; Shionodiscus; taxonomy; Southern Ocean; sediment traps</t>
  </si>
  <si>
    <t>POLAR FRONTAL ZONES; OCEAN SURFACE SEDIMENTS; MAJOR DIATOM TAXA; SOUTHERN-OCEAN; GENUS THALASSIOSIRA; PACIFIC-OCEAN; BERING-SEA; PHYTOPLANKTON; ASSEMBLAGES; WATERS</t>
  </si>
  <si>
    <t>Diatoms are siliceous phytoplankton that play a major role in global carbon fixation, as well as forming the basis of most marine food webs. In the Southern Ocean, diatoms are responsible for significant volumes of carbon export and sequestration in the deep sea. Diatoms are unicellular and microscopic, thus diatom taxonomy has naturally progressed as imaging and molecular technologies have developed. Despite recent advancements, some aspects of diatom taxonomy remain unclear. The genus Shionodiscus was separated from Thalassiosira in 2006, and possesses, as a group, internal extensions of the marginal strutted processes as well as a labiate process on the valve face, usually distant from the margin. The features distinguishing Shionodiscus from Thalassiosira, and Shionodiscus spp. from each other, are difficult to examine under light microscopy, and most taxonomists will group similar Shionodiscus species together when encountered, rather than discriminating species. As a result, the full extent of Shionodiscus diversity is rarely examined in individual studies. In this study, sediment trap material captured in the Australian sector of the Subantarctic Zone was examined using both light and scanning electron microscopy, and compared to known measurements on Shionodiscus species and varieties. This study had two aims; to catalogue for the first time the diversity of Shionodiscus spp. within the Australian sector, and to create a formalized set of criteria for grouping Shionodiscus species, when only light microscopy analysis is possible. By documenting Shionodiscus diversity in the Australian sector and establishing a standard identification protocol, researchers will be better able to determine the ecological significance of the genus in diatom assemblages.</t>
  </si>
  <si>
    <t>[Wilks, Jessica V.] Macquarie Univ, MQ Marine Res Ctr, N Ryde, NSW 2109, Australia; Macquarie Univ, Dept Biol Sci, N Ryde, NSW 2109, Australia</t>
  </si>
  <si>
    <t>Macquarie University; Macquarie University</t>
  </si>
  <si>
    <t>Wilks, JV (corresponding author), Macquarie Univ, MQ Marine Res Ctr, N Ryde, NSW 2109, Australia.</t>
  </si>
  <si>
    <t>jessica.wilks@mq.edu.au</t>
  </si>
  <si>
    <t>Armand, Leanne K/C-9004-2009</t>
  </si>
  <si>
    <t>Armand, Leanne/0000-0003-3995-308X; Wilks, Jessica/0000-0001-6217-4952</t>
  </si>
  <si>
    <t>Macquarie University under an MQRES scholarship; Australian Antarctic Science (AAS) [4078]; Australian Antarctic Division; ASAC grant [1156, 2256]; National Science Foundation (NSF); Belgian Science and Policy Office; CSIRO Marine Laboratories; Australian Integrated Marine Observing System (IMOS)</t>
  </si>
  <si>
    <t>Macquarie University under an MQRES scholarship; Australian Antarctic Science (AAS); Australian Antarctic Division; ASAC grant; National Science Foundation (NSF)(National Science Foundation (NSF)); Belgian Science and Policy Office; CSIRO Marine Laboratories(Commonwealth Scientific &amp; Industrial Research Organisation (CSIRO)); Australian Integrated Marine Observing System (IMOS)</t>
  </si>
  <si>
    <t>This study was funded by Macquarie University under an MQRES scholarship to JW, and Australian Antarctic Science (AAS) grant 4078 (LA, TT, SB, ARH). The SAZ Project, from which the material was obtained, was funded by the Australian Antarctic Division, ASAC grants, 1156 and 2256 (TT), as well as the National Science Foundation (NSF) Grant (R. Francois, T. Trull, S. Honjo and S. Manganini), the Belgian Science and Policy Office (F. Dehairs), CSIRO Marine Laboratories, and the Australian Integrated Marine Observing System (IMOS).</t>
  </si>
  <si>
    <t>10.1080/0269249X.2017.1365015</t>
  </si>
  <si>
    <t>FM3ZF</t>
  </si>
  <si>
    <t>WOS:000414949300005</t>
  </si>
  <si>
    <t>Abidin, AFZ; Jusoh, MH; Junid, SAMA; Razak, AHA</t>
  </si>
  <si>
    <t>Abidin, A. F. Z.; Jusoh, M. H.; Junid, S. A. M. A.; Razak, A. H. A.</t>
  </si>
  <si>
    <t>DEVELOPMENT OF LOW POWER WIRELESS FLUXGATE MAGNETOMETER INSTRUMENTATION FOR REAL-TIME GEOMAGNETIC MONITORING</t>
  </si>
  <si>
    <t>JOURNAL OF FUNDAMENTAL AND APPLIED SCIENCES</t>
  </si>
  <si>
    <t>wireless magnetometer; geomagnetic; fluxgate; wireless data acquisition</t>
  </si>
  <si>
    <t>Current magnetometers for continuous geomagnetic monitoring are costly, discrete part by part system and require authority permission due to facility needed to sustain the operation such as on-grid power supply and field permission. In this research project, a low cost and mobile magnetometer was designed to overcome the stated issues. The developed magnetometer consists of only two units system which consist of magnetometer and data acquisition units. These two units communicate via IEEE 802.11 Wireless Local Area Network (WLAN). Horizontal (H) and field intensity (F) components magnetic parameters shows reading uniformity with the existing observatory, while declination (D) and vertical (Z) component graph pattern strongly effected by local activities, the details of the magnetometer development will be discussed in the paper.</t>
  </si>
  <si>
    <t>[Abidin, A. F. Z.; Jusoh, M. H.; Junid, S. A. M. A.; Razak, A. H. A.] Univ Teknol MARA, Fac Elect Engn, Shah Alam 40450, Selangor, Malaysia; [Abidin, A. F. Z.; Jusoh, M. H.] Univ Teknol MARA, Appl Electromagnet Res Ctr, Shah Alam 40450, Selangor, Malaysia</t>
  </si>
  <si>
    <t>Universiti Teknologi MARA; Universiti Teknologi MARA</t>
  </si>
  <si>
    <t>Abidin, AFZ (corresponding author), Univ Teknol MARA, Fac Elect Engn, Shah Alam 40450, Selangor, Malaysia.;Abidin, AFZ (corresponding author), Univ Teknol MARA, Appl Electromagnet Res Ctr, Shah Alam 40450, Selangor, Malaysia.</t>
  </si>
  <si>
    <t>ahmadfaizal91@gmail.com</t>
  </si>
  <si>
    <t>Razak, Abdul Hadi Abdul/AAF-4207-2020; JUSOH, MOHAMAD HUZAIMY/AAL-9610-2021; Razak, Abdul Hadi/AAL-8320-2020; Aljunid, Syed Alwee/D-9379-2011</t>
  </si>
  <si>
    <t>Razak, Abdul Hadi/0000-0001-8025-5414; Aljunid, Syed Alwee/0000-0003-2739-6220</t>
  </si>
  <si>
    <t>Sultan Mizan Antarctic Research Foundation, YPASM [YPASM/RGrant/12-2014/JLD.1(23)]; Research Acculturation Grant Scheme, RAGS by Ministry of Education [600-RMI/RAGS 5/3 (155/2014)]</t>
  </si>
  <si>
    <t>Sultan Mizan Antarctic Research Foundation, YPASM; Research Acculturation Grant Scheme, RAGS by Ministry of Education</t>
  </si>
  <si>
    <t>We would like to thank Mr. ShamryMubdiSubraMullisi and his team from Luimewah (M) Sdn. Bhd. for series of helpful discussions and technical support. We would like also to thank UniversitiTeknologi MARA (UiTM) for providing research facilities and platform. We acknowledge British Geological Survey (BGS) for providing the data of world magnetic modelling isodynamic chart. We also acknowledge International Center for Space Weather Science and Education Kyushu University (ICSWSE) and National Space Agency (ANGKASA) for providing magnetic field data reading from their established Magnetic Data Acquisition System (MAGDAS) magnetometer observatory. This work is financially supported by Sultan Mizan Antarctic Research Foundation, YPASM (Code No. YPASM/RGrant/12-2014/JLD.1(23)) and Research Acculturation Grant Scheme, RAGS, (600-RMI/RAGS 5/3 (155/2014)) by Ministry of Education. The authors also would like to thank UniversitiTeknologi MARA for the management support and consideration throughout for project.</t>
  </si>
  <si>
    <t>UNIV EL OUED, FAC SCIENCE &amp; TECHNOLOGY</t>
  </si>
  <si>
    <t>EL OUED</t>
  </si>
  <si>
    <t>PO BOX 789, EL OUED, 39000, ALGERIA</t>
  </si>
  <si>
    <t>1112-9867</t>
  </si>
  <si>
    <t>J FUNDAM APPL SCI</t>
  </si>
  <si>
    <t>J. Fundam. Appl. Sci.</t>
  </si>
  <si>
    <t>10.4314/jfas.v9i5s.34</t>
  </si>
  <si>
    <t>FM1PS</t>
  </si>
  <si>
    <t>WOS:000414751200034</t>
  </si>
  <si>
    <t>Juhari, KN; Kasran, FAM; Jusoh, MH</t>
  </si>
  <si>
    <t>Juhari, K. N.; Kasran, F. A. M.; Jusoh, M. H.</t>
  </si>
  <si>
    <t>INVESTIGATION OF UNDERGROUND RESISTIVITY MEASUREMENT AT KING SEJONG STATION, ANTARCTIC</t>
  </si>
  <si>
    <t>resistivity method; Wenner; Antarctic; soil; solar variation</t>
  </si>
  <si>
    <t>ELECTRICAL-RESISTIVITY</t>
  </si>
  <si>
    <t>The present work has been made to investigate underground resistivity variation at King Sejong Station, Antarctic by conducting a four-point resistivity method of Wennerarray. The 3-hour interval of underground resistivity data were collected and analysed in order to evaluate the underground resistivity variation at high-latitude region. From the analysis, it reveals that the underground resistivity is controlled by solar variation as it shows increasing pattern during day-time and decline as night-time approaches. Furthermore, we also analysed the space weather activities to observe any electromagnetic anomaly that could contribute to the underground resistivity variation. Plus, a comparison analysis of underground resistivity at high-latitude region and equatorial region is discussed in this paper. This research serves as a basis in understanding the characteristic of underground resistivity at polar region.</t>
  </si>
  <si>
    <t>[Juhari, K. N.; Kasran, F. A. M.; Jusoh, M. H.] Univ Teknol MARA, Fac Elect Engn, Shah Alam 40450, Selangor, Malaysia; [Jusoh, M. H.] Univ Teknol MARA, Adv Comp &amp; Commun Communities Res, Appl Electromagnet Res Grp, Shah Alam 40450, Selangor, Malaysia</t>
  </si>
  <si>
    <t>Jusoh, MH (corresponding author), Univ Teknol MARA, Fac Elect Engn, Shah Alam 40450, Selangor, Malaysia.;Jusoh, MH (corresponding author), Univ Teknol MARA, Adv Comp &amp; Commun Communities Res, Appl Electromagnet Res Grp, Shah Alam 40450, Selangor, Malaysia.</t>
  </si>
  <si>
    <t>huzaimy_uitm@yahoo.com</t>
  </si>
  <si>
    <t>JUSOH, MOHAMAD HUZAIMY/AAL-9610-2021</t>
  </si>
  <si>
    <t>Sultan Mizan Antarctic Research Foundation, YPASM [YPASM/Grant/12-2014/JLD.1 (23)]; Research Acculturation Grant Scheme, RAGS [600-RMI/RAGS 5/3 (155/2014)]; Faculty of Electrical Engineering, UiTM Shah Alam</t>
  </si>
  <si>
    <t>Sultan Mizan Antarctic Research Foundation, YPASM; Research Acculturation Grant Scheme, RAGS; Faculty of Electrical Engineering, UiTM Shah Alam</t>
  </si>
  <si>
    <t>We acknowledge King Sejong Station, Antarctic and Langkawi National Observatory (LNO), Malaysia for providing us place to conduct underground resistivity measurement. The authors also would like to express our gratitude to ACE Science Center website, National Aeronautics and Space Administration (NASA) for supplying 5-minute average of space weather data. PC index data were retrieved from the Department of Geophysics, Arctic and Antarctic Research Institute. This project is financially supported by Sultan Mizan Antarctic Research Foundation, YPASM (Code No. YPASM/Grant/12-2014/JLD.1 (23)), Research Acculturation Grant Scheme, RAGS (600-RMI/RAGS 5/3 (155/2014)) and Faculty of Electrical Engineering, UiTM Shah Alam for their continuous support and valuable suggestions in order to complete this project.</t>
  </si>
  <si>
    <t>10.4314/jfas.v9i5s.35</t>
  </si>
  <si>
    <t>WOS:000414751200035</t>
  </si>
  <si>
    <t>Karanovic, T; Koomput, K; Sanoamuang, LO</t>
  </si>
  <si>
    <t>Karanovic, Tomislav; Koomput, Kamonwan; Sanoamuang, La-orsri</t>
  </si>
  <si>
    <t>Two new Thermocyclops species (Copepoda, Cyclopoida) from Thailand, with notes on the genus phylogeny inferred from 18S and ITS sequences</t>
  </si>
  <si>
    <t>ZOOLOGISCHER ANZEIGER</t>
  </si>
  <si>
    <t>Cave; Mesocyclops affinis; Thermocyclops parahastatus sp nov; Thermocyclops thailandensis sp nov; Taxonomy</t>
  </si>
  <si>
    <t>TIGRIOPUS-CALIFORNICUS; CRYPTIC SPECIATION; CRUSTACEA COPEPODA; WESTERN-AUSTRALIA; GENETIC DIFFERENTIATION; SIZE DIFFERENTIATION; BAYESIAN-INFERENCE; YUCATAN PENINSULA; COMPLEX COPEPODA; MESOCYCLOPS</t>
  </si>
  <si>
    <t>With nearly 80 valid species, the genus Thermocyclops Kiefer, 1927 is one of the most speciose members of the family Cyclopidae. Although its centre of diversity is in the Sub-Saharan Africa, different species can be found in almost any non-glaciated part of the world. Six of them have been recorded so far from Thailand, all from lacustrine environments and with very wide distribution. It was therefore surprising to discover two endemic new species living sympatrically in a single cave. We describe their morphology in detail and assess affinities between them, and among them and the rest of their congeners. Judging by their morphology, one species has no close living relatives, while the other is very similar to the African T. hastatus Kiefer, 1952 and the Carribean T. antillensis Herbst, 1986.We use 18S and ITS nuclear markers to assess phylogenetic relationships of the new species, as well as to test the monophyly of Thermocyclops and a closely related genus Mesocyclops Sars, 1914. Both morphological data and reconstructed phylogenies reveal the two new species as only distantly related, which probably facilitates their sympatry. We were unable to challenge monophyly of either Mesocyclops or Thermocyclops, despite their diagnosis being essentially based on a single morphological character. (C) 2017 Published by Elsevier GmbH.</t>
  </si>
  <si>
    <t>[Karanovic, Tomislav] Sungkyunkwan Univ, Coll Sci, Gen Studies Bldg,Room 51311, Suwon 16419, South Korea; [Karanovic, Tomislav] Univ Tasmania, Inst Marine &amp; Antarctic Studies, Hobart, Tas 7001, Australia; [Koomput, Kamonwan; Sanoamuang, La-orsri] Khon Kaen Univ, Dept Biol, Appl Taxon Res Ctr, Khon Kaen 40002, Thailand; [Sanoamuang, La-orsri] Khon Kaen Univ, Int Coll, Khon Kaen 40002, Thailand</t>
  </si>
  <si>
    <t>Sungkyunkwan University (SKKU); University of Tasmania; Khon Kaen University; Khon Kaen University</t>
  </si>
  <si>
    <t>Karanovic, T (corresponding author), Univ Tasmania, Inst Marine &amp; Antarctic Studies, Hobart, Tas 7001, Australia.</t>
  </si>
  <si>
    <t>Tomislay.Karanovic@gmail.com</t>
  </si>
  <si>
    <t>National Institute of Biological Resources (NIBR) - ministry of Environment (MOE) of the Republic of Korea [NIBR201704101]; Applied Taxonomic Research Center of Khon Kaen University</t>
  </si>
  <si>
    <t>National Institute of Biological Resources (NIBR) - ministry of Environment (MOE) of the Republic of Korea; Applied Taxonomic Research Center of Khon Kaen University</t>
  </si>
  <si>
    <t>This work was supported by a grant from the National Institute of Biological Resources (NIBR), funded by the ministry of Environment (MOE) of the Republic of Korea (NIBR201704101), to the first author. The scanning electron microscope was made available through the courtesy of Prof. Jin Hyun Jun (Eulji University, Seoul), and we also want to thank Mr. Junho Kim (Eulji University, Seoul) for the technical help provided. The first author is grateful to the Applied Taxonomic Research Center of Khon Kaen University for financial support of his visit to Thailand. Remarks from two anonymous reviewers improved the manuscript considerably, and we also thank Dr. Joachim T. Haug (Ludwig-Maximilians-Universitat, Munchen) for his careful edits.</t>
  </si>
  <si>
    <t>ELSEVIER GMBH, URBAN &amp; FISCHER VERLAG</t>
  </si>
  <si>
    <t>JENA</t>
  </si>
  <si>
    <t>OFFICE JENA, P O BOX 100537, 07705 JENA, GERMANY</t>
  </si>
  <si>
    <t>0044-5231</t>
  </si>
  <si>
    <t>ZOOL ANZ</t>
  </si>
  <si>
    <t>Zool. Anz.</t>
  </si>
  <si>
    <t>10.1016/j.jcz.2017.07.003</t>
  </si>
  <si>
    <t>FM3AW</t>
  </si>
  <si>
    <t>WOS:000414877600003</t>
  </si>
  <si>
    <t>Shen, XY; Zhang, J; Meng, JM; Zhang, J; Ke, CQ</t>
  </si>
  <si>
    <t>Shen, Xiao-yi; Zhang, Jie; Meng, Jun-min; Zhang, Jie; Ke, Chang-qing</t>
  </si>
  <si>
    <t>Sea ice type classification based on random forest machine learning with Cryosat-2 altimeter data</t>
  </si>
  <si>
    <t>2017 INTERNATIONAL WORKSHOP ON REMOTE SENSING WITH INTELLIGENT PROCESSING (RSIP 2017)</t>
  </si>
  <si>
    <t>International Workshop on Remote Sensing with Intelligent Processing (RSIP)</t>
  </si>
  <si>
    <t>MAY 18-21, 2017</t>
  </si>
  <si>
    <t>sea ice type; classification; random forest; Cryosat-2; waveform</t>
  </si>
  <si>
    <t>RADAR ALTIMETER</t>
  </si>
  <si>
    <t>Sea ice type is the most sensitive variables in Arctic ice monitoring and its detailed information is essential for ice situation evaluation, climate prediction and vessels navigating. In this study, we analyzed the different sea ice types with the Cryosat-2 (CS-2) SAR mode waveform data. The waveform of CS-2 data was describe by a set of parameters: pulse peakiness (PP), leading-edge width (LeW), trailing-edge width (TeW), stack standard deviation (SSD) and Maximum value of the echo waveform (Max)] and backscatter coefficient (Sigma0). Random forest (RF) classifier was chosen to classify ice type and the classification results were compared with Arctic and Antarctic Research Institute (AARI) operational ice charts. The results show that 85% of the Arctic surface type can be correctly classified from November 2015 to May 2016, 83% of the FYI can be correctly identified which is the domain ice type in Arctic. In comparison with Bayesian and K nearest-neighbor classifiers, the classification accuracy of RF increased by 5% and 3% respectively.</t>
  </si>
  <si>
    <t>[Shen, Xiao-yi; Ke, Chang-qing] Nanjing Univ, Jiangsu Prov Key Lab Geog Informat Sci &amp; Technol, Collaborat Innovat Ctr South China Sea Studies, Nanjing, Jiangsu, Peoples R China; [Zhang, Jie; Meng, Jun-min] State Ocean Adm, Inst Oceanog 1, Qingdao, Peoples R China</t>
  </si>
  <si>
    <t>Nanjing University; First Institute of Oceanography, Ministry of Natural Resources</t>
  </si>
  <si>
    <t>Shen, XY (corresponding author), Nanjing Univ, Jiangsu Prov Key Lab Geog Informat Sci &amp; Technol, Collaborat Innovat Ctr South China Sea Studies, Nanjing, Jiangsu, Peoples R China.</t>
  </si>
  <si>
    <t>MENG, Junmin/0000-0003-3358-8245</t>
  </si>
  <si>
    <t>National Key Research and Development program of China [2016YFA0600102]; R&amp;D Special Foundation for Public Welfare Industry [201305025]; Ministry of Science and Technology of the P. R. China [32292]</t>
  </si>
  <si>
    <t>National Key Research and Development program of China; R&amp;D Special Foundation for Public Welfare Industry; Ministry of Science and Technology of the P. R. China(Ministry of Science and Technology, China)</t>
  </si>
  <si>
    <t>This study was supported by the National Key Research and Development program of China (2016YFA0600102), and R&amp;D Special Foundation for Public Welfare Industry (201305025). This work was carried out as part of the Dragon-4 Programme (32292) by the Ministry of Science and Technology of the P. R. China and the European Space Agency. The authors would like to thank ESA for providing the CS-2 data and we are very thankful to Russian AARI institute for providing sea ice charts.</t>
  </si>
  <si>
    <t>978-1-5386-1990-2</t>
  </si>
  <si>
    <t>Computer Science, Artificial Intelligence; Remote Sensing</t>
  </si>
  <si>
    <t>Computer Science; Remote Sensing</t>
  </si>
  <si>
    <t>BI7JS</t>
  </si>
  <si>
    <t>WOS:000414285000002</t>
  </si>
  <si>
    <t>Suparta, Wayan</t>
  </si>
  <si>
    <t>Utilization of GPS Tropospheric Delays for Climate Research</t>
  </si>
  <si>
    <t>5TH INTERNATIONAL CONFERENCE ON THEORETICAL AND APPLIED PHYSICS 2015</t>
  </si>
  <si>
    <t>5th International Conference on Theoretical and Applied Physics (ICTAP) / 28th National Physics Symposium (SFN)</t>
  </si>
  <si>
    <t>Univ Halu Oleo, Kendari, INDONESIA</t>
  </si>
  <si>
    <t>Univ Halu Oleo</t>
  </si>
  <si>
    <t>WATER-VAPOR; METEOROLOGY</t>
  </si>
  <si>
    <t>The tropospheric delay is one of the main error sources in Global Positioning Systems (GPS) and its impact plays a crucial role in near real-time weather forecasting. Accessibility and accurate estimation of this parameter are essential for weather and climate research. Advances in GPS application has allowed the measurements of zenith tropospheric delay (ZTD) in all weather conditions and on a global scale with fine temporal and spatial resolution. In addition to the rapid advancement of GPS technology and informatics and the development of research in the field of Earth and Planetary Sciences, the GPS data has been available free of charge. Now only required sophisticated processing techniques but user friendly. On the other hand, the ZTD parameter obtained from the models or measurements needs to be converted into precipitable water vapor (PWV) to make it more useful as a component of weather forecasting and analysis atmospheric hazards such as tropical storms, flash floods, landslide, pollution, and earthquake as well as for climate change studies. This paper addresses the determination of ZTD as a signal error or delay source during the propagation from the satellite to a receiver on the ground and is a key driving force behind the atmospheric events. Some results in terms of ZTD and PWV will be highlighted in this paper.</t>
  </si>
  <si>
    <t>[Suparta, Wayan] Univ Kebangsaan Malaysia, Inst Climate Change, Space Sci Ctr ANGKASA, Bangi 43600, Selangor Darul, Malaysia</t>
  </si>
  <si>
    <t>Ministry of Education Malaysia (MoE) [FRGS/2/2013/SG02/UKM/02/3]; Ministry of Science, Innovation and Technology Malaysia (MOSTI) under Flagship Program [ZF-2014-016]</t>
  </si>
  <si>
    <t>Ministry of Education Malaysia (MoE); Ministry of Science, Innovation and Technology Malaysia (MOSTI) under Flagship Program</t>
  </si>
  <si>
    <t>This research is supported by the Ministry of Education Malaysia (MoE) under grant FRGS/2/2013/SG02/UKM/02/3 and Ministry of Science, Innovation and Technology Malaysia (MOSTI) under Flagship Program: ZF-2014-016. The author acknowledges the Crustal Dynamics Data Information System (CDDIS) NASA for archiving the ZTD. My appreciation also goes to SOPAC for GPS data archived, the Australian Antarctic Data Center (AADC) and the British Antarctic Survey (BAS) for meteorological data archive.</t>
  </si>
  <si>
    <t>10.1088/1742-6596/846/1/012001</t>
  </si>
  <si>
    <t>Physics, Applied; Physics, Multidisciplinary</t>
  </si>
  <si>
    <t>BI7CH</t>
  </si>
  <si>
    <t>WOS:000414149000001</t>
  </si>
  <si>
    <t>Rastogi, RP; Sonani, RR; Madamwar, D</t>
  </si>
  <si>
    <t>Rastogi, RP; Madamwar, D; Pandey, A</t>
  </si>
  <si>
    <t>Rastogi, R. P.; Sonani, R. R.; Madamwar, D.</t>
  </si>
  <si>
    <t>UV Photoprotectants From Algae-Synthesis and Bio-Functionalities</t>
  </si>
  <si>
    <t>ALGAL GREEN CHEMISTRY: RECENT PROGRESS IN BIOTECHNOLOGY</t>
  </si>
  <si>
    <t>AMINO-ACIDS MAAS; CYANOBACTERIAL SUNSCREEN SCYTONEMIN; EXCITED-STATE PROPERTIES; ABSORBING COMPOUNDS; ULTRAVIOLET-RADIATION; RED ALGA; SHEATH PIGMENT; STYLOPHORA-PISTILLATA; ANTARCTIC MACROALGAE; SCREENING COMPOUND</t>
  </si>
  <si>
    <t>[Rastogi, R. P.; Madamwar, D.] Sardar Patel Univ, Post Grad Dept Biosci, Satellite Campus,Vadtal Rd, Anand 388315, Gujarat, India; [Sonani, R. R.] Sardar Patel Univ, Anand, Gujarat, India</t>
  </si>
  <si>
    <t>Sardar Patel University; Sardar Patel University</t>
  </si>
  <si>
    <t>Rastogi, RP (corresponding author), Sardar Patel Univ, Post Grad Dept Biosci, Satellite Campus,Vadtal Rd, Anand 388315, Gujarat, India.</t>
  </si>
  <si>
    <t>raj_rastogi@rediffmail.com; datta_madamwar@yahoo.com</t>
  </si>
  <si>
    <t>Madamwar, Datta/AFA-1433-2022; Sonani, Ravi/Q-5096-2019</t>
  </si>
  <si>
    <t>Madamwar, Datta/0000-0003-3301-1120; Sonani, Ravi/0000-0002-6212-2869</t>
  </si>
  <si>
    <t>978-0-444-63794-9; 978-0-444-64041-3</t>
  </si>
  <si>
    <t>10.1016/B978-0-444-63784-0.00002-3</t>
  </si>
  <si>
    <t>BI5NR</t>
  </si>
  <si>
    <t>WOS:000412584100003</t>
  </si>
  <si>
    <t>Grygar, TM; Mach, K; Hosek, M; Schnabl, P; Martinez, M; Koubová, M</t>
  </si>
  <si>
    <t>Grygar, Tomas Matys; Mach, Karel; Hosek, Michal; Schnabl, Petr; Martinez, Mathieu; Koubova, Magdalena</t>
  </si>
  <si>
    <t>Early stages of clastic deposition in the Most Basin (Ohre Rift, Czech Republic, Early Miocene): timing and possible controls</t>
  </si>
  <si>
    <t>BULLETIN OF GEOSCIENCES</t>
  </si>
  <si>
    <t>cyclostratigraphy; chemostratigraphy; lake sediments; climate forcing; Burdigalian</t>
  </si>
  <si>
    <t>EGER GRABEN; ALPINE FORELAND; PEAT COMPACTION; CENTRAL-EUROPE; SYSTEM; RECORD; EVOLUTION; SEDIMENTS; MINERALS; LIGNITE</t>
  </si>
  <si>
    <t>This study examines the early stages of clastic deposition above the main coal seam in the Most Basin (Ohre Rift, NW Czech Republic). Eight drill cores were subjected to chemical analysis by X-ray fluorescence spectroscopy (XRF) and cation exchange capacity determination (CEC) to corroborate the local chemostratigraphic scheme and extend its temporal and spatial ranges. Additionally, four drill cores were subjected to palaeomagnetic polarity analysis for magnetostratigraphic dating, and two cores were subjected to the frequency analysis of variations in elemental compositions to obtain cyclostratigraphic patterns and more detailed insight into depositional dynamics. We demonstrate that a local lake was present in the Bilina area from the end of palaeomagnetic chron C5Er through chron C5En (18.524-18.056 Ma according to the Astronomically Tuned Neogene Time Scale 2012) to the beginning of the C5Dr chrons. This finding extends the previous age models for the Most Formation by more than 0.5 My (18.6 to 17.9 Ma). The chemostratigraphic scheme, which is based on variations in the concentrations of K and the values of CEC, was successfully extended from the basin centre to its north-east periphery, which reflects the basin-wide environmental changes that terminated the peat accumulation (coal formation) in the basin. The basin-wide lacustrine body formed by the coalescence of local lakes and the flooding of the remaining peatlands ca. 17.8 Ma (during C5Dn), which is coeval with the substantial reduction of the Antarctic ice sheet prior to the onset of the Miocene climatic optimum (MCO). The Most Basin deposits are the most detailed (with respect to temporal resolution) continental sedimentary archive of the time period preceding the MCO that have not been described to date.</t>
  </si>
  <si>
    <t>[Grygar, Tomas Matys; Hosek, Michal] Inst Inorgan Chem AS CR, Vvi, Rez 25068, Czech Republic; [Mach, Karel] Jsc, North Bohemian Mines, Ul 5 Kvetna 2013, Bilina 41801, Czech Republic; [Schnabl, Petr] CAS, Inst Geol, Vvi, Prague, Czech Republic; [Martinez, Mathieu] Univ Bremen, MARUM, Leobener Str 8, D-28359 Bremen, Germany; [Koubova, Magdalena] Czech Geol Survey, Geol 6, Prague 15200 5, Czech Republic</t>
  </si>
  <si>
    <t>Czech Academy of Sciences; Institute of Inorganic Chemistry of the Czech Academy of Sciences; Czech Academy of Sciences; Institute of Geology of the Czech Academy of Sciences; University of Bremen; Czech Geological Survey</t>
  </si>
  <si>
    <t>Grygar, TM (corresponding author), Inst Inorgan Chem AS CR, Vvi, Rez 25068, Czech Republic.</t>
  </si>
  <si>
    <t>grygar@iic.cas.cz; mach@sdas.cz; hosek@iic.cas.cz; schnabl@gli.cas.cz; mmartinez@marum.de</t>
  </si>
  <si>
    <t>Martinez, Mathieu/AAA-7127-2020; Hosek, Michal/KFG-5600-2024; Hosek, Martin/K-9805-2018; Schnabl, Petr/I-7125-2012</t>
  </si>
  <si>
    <t>Martinez, Mathieu/0000-0003-0741-2940; Hosek, Martin/0000-0002-6044-8910; Hosek, Michal/0000-0002-2951-0982; Schnabl, Petr/0000-0003-0654-0449; Matys Grygar, Tomas/0000-0003-0931-0390</t>
  </si>
  <si>
    <t>VODAMIN project; Czech Science Foundation [GACR 16-00800S]</t>
  </si>
  <si>
    <t>VODAMIN project; Czech Science Foundation(Grant Agency of the Czech Republic)</t>
  </si>
  <si>
    <t>Martin Famera, Monika Marikova, and Petr Vorm (Institute of Inorganic Chemistry) assisted with sampling of drill cores for chemical analyses, Monina Marikova and Petr Vorm performed most laboratory analyses (XRF and CEC). Kristyna Cizkova and Simon Kdyr (Institute of Geology) assisted in sampling of drill cores and their palaeomagnetic analysis (Institute of Geology, AS CR). Palivovy Kombinat Usti, s.p., kindly permitted to sample drill cores A24, A26, and ZU5A. This work would not be possible without the access to drill cores LB432 and HD50 provided generously by VODAMIN project coordinated by Palivovy Kombinat Usti, s.p. Drill core LB297 was kindly provided by North Bohemian Mines. All laboratory analyses (XRF, CEC, and palaeomagnetism) and manuscript preparation were funded by the Czech Science Foundation (GACR 16-00800S). The final shape of the manuscript was improved by two reviewers (O. Mandic and Anonymous Reviewer).</t>
  </si>
  <si>
    <t>CZECH GEOLOGICAL SURVEY</t>
  </si>
  <si>
    <t>PRAGUE</t>
  </si>
  <si>
    <t>KLAROV 131/3, PRAGUE, CZECH REPUBLIC</t>
  </si>
  <si>
    <t>1214-1119</t>
  </si>
  <si>
    <t>1802-8225</t>
  </si>
  <si>
    <t>B GEOSCI</t>
  </si>
  <si>
    <t>Bull. Geosci.</t>
  </si>
  <si>
    <t>10.3140/bull.geosci.1656</t>
  </si>
  <si>
    <t>Geosciences, Multidisciplinary; Paleontology</t>
  </si>
  <si>
    <t>FL1TO</t>
  </si>
  <si>
    <t>WOS:000413997500005</t>
  </si>
  <si>
    <t>Ramma, TD; White, CJ; Chan, AHC; Watson, CS</t>
  </si>
  <si>
    <t>Ramma, Timothy David; White, Christopher John; Chan, Andrew Hin Cheong; Watson, Christopher Stephen</t>
  </si>
  <si>
    <t>A review of methodologies applied in Australian practice to evaluate long-term coastal adaptation options</t>
  </si>
  <si>
    <t>CLIMATE RISK MANAGEMENT</t>
  </si>
  <si>
    <t>Adaptation; Climate change; Coastal inundation; Evaluation; Sea level rise; Uncertainty</t>
  </si>
  <si>
    <t>CLIMATE-CHANGE ADAPTATION; FLOOD RISK-MANAGEMENT; SEA-LEVEL RISE; DEEP UNCERTAINTY; ROBUST; OPTIMIZATION; DECISIONS; PATHWAYS; WORLD</t>
  </si>
  <si>
    <t>Rising sea levels have the potential to alter coastal flooding regimes around the world and local governments are beginning to consider how to manage uncertain coastal change. In doing so, there is increasing recognition that such change is deeply uncertain and unable to be reliably described with probabilities or a small number of scenarios. Characteristics of methodologies applied in Australian practice to evaluate long-term coastal adaptation options are reviewed and benchmarked against two state-of-the-art international methods suited for conditions of uncertainty (Robust Decision Making and Dynamic Adaptive Policy Pathways). Seven out of the ten Australian case studies assumed the uncertain parameters, such as sea level rise, could be described deterministically or stochastically when identifying risk and evaluating adaptation options across multi-decadal periods. This basis is not considered sophisticated enough for long-term decision-making, implying that Australian practice needs to increase the use of scenarios to explore a much larger uncertainty space when assessing the performance of adaptation options. Two Australian case studies mapped flexible adaptation pathways to manage uncertainty, and there remains an opportunity to incorporate quantitative methodologies to support the identification of risk thresholds. The contextual framing of risk, including the approach taken to identify risk (top-down or bottom-up) and treatment of uncertain parameters, were found to be fundamental characteristics that influenced the methodology selected to evaluate adaptation options. The small sample of case studies available suggests that long-term coastal adaptation in Australian is in its infancy and there is a timely opportunity to guide local government towards robust methodologies for developing long-term coastal adaptation plans. (C) 2017 The Authors. Published by Elsevier B.V. This is an open access article under the CC BY-NC-ND license (http://creativecommons.org/licenses/by-nc-nd/4.0/).</t>
  </si>
  <si>
    <t>[Ramma, Timothy David; White, Christopher John; Chan, Andrew Hin Cheong] Univ Tasmania, Sch Engn, Private Bag 65, Hobart, Tas 7001, Australia; [Ramma, Timothy David; White, Christopher John; Chan, Andrew Hin Cheong] Univ Tasmania, ICT, Private Bag 65, Hobart, Tas 7001, Australia; [Ramma, Timothy David] Bushfire &amp; Nat Hazards Cooperat Res Ctr, Melbourne, Vic, Australia; [White, Christopher John] Antarctic Climate &amp; Ecosyst Cooperat Res Ctr, Hobart, Tas, Australia; [White, Christopher John] JBA Consulting, Skipton, England; [Watson, Christopher Stephen] Univ Tasmania, Sch Land &amp; Food, Hobart, Tas, Australia</t>
  </si>
  <si>
    <t>University of Tasmania; University of Tasmania; Melbourne Genomics Health Alliance; Bushfire &amp; Natural Hazards CRC; Antarctic Climate &amp; Ecosystems Cooperative Research Centre (ACE CRC); University of Tasmania</t>
  </si>
  <si>
    <t>Ramma, TD (corresponding author), Univ Tasmania, Sch Engn, Private Bag 65, Hobart, Tas 7001, Australia.;Ramma, TD (corresponding author), Univ Tasmania, ICT, Private Bag 65, Hobart, Tas 7001, Australia.</t>
  </si>
  <si>
    <t>timothy.ramm@utas.edu.au</t>
  </si>
  <si>
    <t>Watson, Christopher S/D-4707-2013</t>
  </si>
  <si>
    <t>Watson, Christopher/0000-0002-7464-4592</t>
  </si>
  <si>
    <t>Commonwealth of Australia through Bushfire and Natural Hazards Cooperative Research Centre program; Australian Postgraduate Award</t>
  </si>
  <si>
    <t>Commonwealth of Australia through Bushfire and Natural Hazards Cooperative Research Centre program; Australian Postgraduate Award(Australian Government)</t>
  </si>
  <si>
    <t>The authors are grateful for the financial support of the Commonwealth of Australia through the Bushfire and Natural Hazards Cooperative Research Centre program and the Australian Postgraduate Award. The authors also wish to acknowledge Stewart Franks for the useful comments and suggestions in the early stages of this paper.</t>
  </si>
  <si>
    <t>2212-0963</t>
  </si>
  <si>
    <t>CLIM RISK MANAG</t>
  </si>
  <si>
    <t>CLIM. RISK MANAG.</t>
  </si>
  <si>
    <t>10.1016/j.crm.2017.06.005</t>
  </si>
  <si>
    <t>FL8ER</t>
  </si>
  <si>
    <t>Green Accepted, gold, Green Published</t>
  </si>
  <si>
    <t>WOS:000414483600004</t>
  </si>
  <si>
    <t>Dilley, BJ; Davies, D; Schramm, M; Connan, M; Ryan, PG</t>
  </si>
  <si>
    <t>Dilley, Ben J.; Davies, Delia; Schramm, Michael; Connan, Maelle; Ryan, Peter G.</t>
  </si>
  <si>
    <t>The distribution and abundance of Blue Petrels (Halobaena caerulea) breeding at subantarctic Marion Island</t>
  </si>
  <si>
    <t>EMU-AUSTRAL ORNITHOLOGY</t>
  </si>
  <si>
    <t>Burrowing petrel; population size; burrow densities; introduced predators; Felis catus; Mus musculus; eradication</t>
  </si>
  <si>
    <t>FERAL CATS; HOUSE MICE; SEABIRDS; PREDATION; BEHAVIOR; AREAS; FOOD</t>
  </si>
  <si>
    <t>Blue Petrels (Halobaena caerulea) are known to breed at seven locations in the Southern Ocean. Population estimates have been made recently for the two major breeding sites, but accurate estimates are lacking for the remaining locations. We used a systematic survey technique to estimate the size of the population breeding at Marion Island (290 km(2)), the larger of the two Prince Edward Islands. A combination of colony area and density estimates suggested there were 214 700 Blue Petrel burrows on Marion Island in 2012. Burrow occupancy rates at the mid-incubation stage averaged 82% (range 36-98%), suggesting a total breeding population of 145 000 pairs (95% confidence interval 110 000-180 000). There appeared to be some range expansion since the population was mapped in the mid-1980s. Predation of chicks and eggs by introduced house mice (Mus musculus) could be affecting the recovery of Blue Petrels since feral cats (Felis catus) were eradicated in 1991. Based on our count from Marion Island alone, the Prince Edward Islands support the third largest population of Blue Petrels globally, after Diego Ramirez Islands and the Kerguelen Islands.</t>
  </si>
  <si>
    <t>[Dilley, Ben J.; Davies, Delia; Schramm, Michael; Connan, Maelle; Ryan, Peter G.] Univ Cape Town, DST NRF Ctr Excellence, FitzPatrick Inst African Ornithol, Rondebosch, South Africa; [Schramm, Michael] NISC Pty Ltd, Grahamstown, South Africa; [Connan, Maelle] Rhodes Univ, Dept Zool &amp; Entomol, Grahamstown, South Africa</t>
  </si>
  <si>
    <t>University of Cape Town; National Research Foundation - South Africa; Rhodes University</t>
  </si>
  <si>
    <t>Dilley, BJ (corresponding author), Univ Cape Town, DST NRF Ctr Excellence, FitzPatrick Inst African Ornithol, Rondebosch, South Africa.</t>
  </si>
  <si>
    <t>dilleyben@gmail.com</t>
  </si>
  <si>
    <t>Connan, Maelle/A-8468-2008</t>
  </si>
  <si>
    <t>Connan, Maelle/0000-0002-1308-9118</t>
  </si>
  <si>
    <t>South African National Antarctic Programme (SANAP); University of Cape Town; National Research Foundation (SANAP)</t>
  </si>
  <si>
    <t>This work was supported by the South African National Antarctic Programme (SANAP); University of Cape Town; National Research Foundation (SANAP).</t>
  </si>
  <si>
    <t>TAYLOR &amp; FRANCIS AUSTRALIA</t>
  </si>
  <si>
    <t>MELBOURNE</t>
  </si>
  <si>
    <t>LEVEL 2, 11 QUEENS RD, MELBOURNE, VIC 3004, AUSTRALIA</t>
  </si>
  <si>
    <t>10.1080/01584197.2017.1298403</t>
  </si>
  <si>
    <t>FK9CD</t>
  </si>
  <si>
    <t>WOS:000413807700003</t>
  </si>
  <si>
    <t>Burbidge, AH; Joseph, L; Toon, A; White, LC; McGuire, A; Austin, JJ</t>
  </si>
  <si>
    <t>Burbidge, Allan H.; Joseph, Leo; Toon, Alicia; White, Lauren C.; McGuire, Angela; Austin, Jeremy J.</t>
  </si>
  <si>
    <t>A case for realigning species limits in the southern Australian whipbirds long recognised as the Western Whipbird (Psophodes nigrogularis)</t>
  </si>
  <si>
    <t>Psophodes; whipbird; mtDNA; systematics; southern Australia</t>
  </si>
  <si>
    <t>BIRDS; PHYLOGEOGRAPHY; SPECIATION</t>
  </si>
  <si>
    <t>The Western Whipbird (Psophodes nigrogularis) has a highly disjunct west-east distribution across southern Australia. Earlier morphological analyses recognised four subspecies in one species: P. n. nigrogularis and P. n. oberon in south-west Western Australia, and P. n. leucogaster of the Eyre and Yorke Peninsulas and the Murray Mallee, and P. n. lashmari, restricted to Kangaroo Island, both in eastern Australia. Later morphological analyses elevated P. n. nigrogularis to monotypic species rank, and placed the remaining western and two eastern taxa as three subspecies of a second species P. leucogaster. Initial mtDNA analysis questioned both arrangements but could not include all taxa. We used mtDNA sequence data from all available specimens of the entire group (DNA extracted from cryo-preserved tissues, toe-pads and feathers; holotypes excepted) to derive a more stable view of species limits. The samples fell into two strongly divergent but geographically structured groups, completely reflecting the eastern and western components of the distribution. Thus we see merit in treating the two geographical groupings as two species, P. nigrogularis in the west and P. leucogaster in the east, each having two subspecies. Nuclear data could test whether the two western subspecies in particular are genetically isolated or currently exchanging genes.</t>
  </si>
  <si>
    <t>[Burbidge, Allan H.] Dept Pk &amp; Wildlife, Bentley Delivery Ctr, Bentley, WA, Australia; [Burbidge, Allan H.] Edith Cowan Univ, Sch Sci, Perth, WA, Australia; [Joseph, Leo] CSIRO, Natl Res Collect Australia, Australian Natl Wildlife Collect, Canberra, ACT, Australia; [Toon, Alicia] Univ Queensland, Sch Biol Sci, Brisbane, Qld, Australia; [White, Lauren C.; Austin, Jeremy J.] Univ Adelaide, Sch Biol Sci, Australian Ctr Ancient DNA, Adelaide, SA, Australia; [McGuire, Angela] Flinders Univ South Australia, Sch Biol Sci, Adelaide, SA, Australia; [Austin, Jeremy J.] Museum Victoria, Sci Dept, Melbourne, Australia; [McGuire, Angela] Univ Tasmania, Inst Marine &amp; Antarctic Studies, Hobart, Tas 7004, Australia</t>
  </si>
  <si>
    <t>Edith Cowan University; Commonwealth Scientific &amp; Industrial Research Organisation (CSIRO); University of Queensland; University of Adelaide; Flinders University South Australia; University of Tasmania</t>
  </si>
  <si>
    <t>Burbidge, AH (corresponding author), Dept Pk &amp; Wildlife, Bentley Delivery Ctr, Bentley, WA, Australia.;Burbidge, AH (corresponding author), Edith Cowan Univ, Sch Sci, Perth, WA, Australia.</t>
  </si>
  <si>
    <t>Allan.Burbidge@dpaw.wa.gov.au</t>
  </si>
  <si>
    <t>Joseph, Leo/F-9235-2010; White, Lauren C/I-6101-2019; Austin, Jeremy/F-8729-2010; Toon, Alicia/C-2175-2016</t>
  </si>
  <si>
    <t>Joseph, Leo/0000-0001-7564-1978; White, Lauren C/0000-0001-8085-9293; McGuire, Angela/0000-0002-5398-2349; Austin, Jeremy/0000-0003-4244-2942; Toon, Alicia/0000-0002-1517-2601</t>
  </si>
  <si>
    <t>BHP Billiton's Ravensthorpe Nickel project; Australian Federation of University Women - Doreen McCarthy Bursary; Holsworth Wildlife Research Endowment; Nature Foundation of South Australia</t>
  </si>
  <si>
    <t>This work was supported by BHP Billiton's Ravensthorpe Nickel project; Australian Federation of University Women - Doreen McCarthy Bursary; Holsworth Wildlife Research Endowment; Nature Foundation of South Australia.</t>
  </si>
  <si>
    <t>10.1080/01584197.2017.1313685</t>
  </si>
  <si>
    <t>WOS:000413807700006</t>
  </si>
  <si>
    <t>Rayner, MJ; Taylor, GA; Gaskin, CP; Dunphy, BJ</t>
  </si>
  <si>
    <t>Rayner, Matt J.; Taylor, Graeme A.; Gaskin, Chris P.; Dunphy, Brendon J.</t>
  </si>
  <si>
    <t>Seasonal activity and unpredicted polar front migration of northern New Zealand Common Diving Petrels (Pelecanoides urinatrix)</t>
  </si>
  <si>
    <t>Antarctic birds; seabirds; telemetry; breeding</t>
  </si>
  <si>
    <t>FLIGHT; SHEARWATERS; PATTERNS; MOLT; DIET</t>
  </si>
  <si>
    <t>The Common Diving Petrel (Pelecanoides urinatrix) is an abundant seabird species within New Zealand waters. Breeding in this species occurs from late July through to December and adults are thought to remain in New Zealand waters during non-breeding months. Yet no studies of the spatial ecology of the species within New Zealand have been undertaken to confirm this. We used geolocation loggers with seawater immersion probes to characterise the year-round distribution and activity of P. urinatrix from two colonies (Kauwahaia Island and Burgess Island) in northern New Zealand. Adult birds exhibited extended pre-laying occupation of breeding sites (similar to 95 days) and throughout breeding remained within 300 km of their colony. Burgess Island birds returned near nightly to their burrows throughout the breeding season. During non-breeding birds made a rapid and unpredicted migration south-east to the Antarctic polar front (covering 3000-5000 km in 3-13 days) and exhibited a dramatic shift in behaviour by spending 95% of their time on (and under) the water surface. Given its already high wing loading, it appears that the primary moult reduced flight efficiency during this time. But by targeting highly productive oceanic regions, and the improved foraging opportunities therein, P. urinatrix may offset this reduced flight capacity.</t>
  </si>
  <si>
    <t>[Rayner, Matt J.] Auckland Museum, Auckland, New Zealand; [Rayner, Matt J.; Dunphy, Brendon J.] Univ Auckland, Sch Biol Sci, Auckland, New Zealand; [Taylor, Graeme A.] New Zealand Dept Conservat, Wellington, New Zealand; [Gaskin, Chris P.] Northern New Zealand Seabirds Trust, Warkworth, New Zealand; [Dunphy, Brendon J.] Univ Auckland, Inst Marine Sci, Auckland, New Zealand</t>
  </si>
  <si>
    <t>University of Auckland; University of Auckland</t>
  </si>
  <si>
    <t>Rayner, MJ (corresponding author), Auckland Museum, Auckland, New Zealand.;Rayner, MJ (corresponding author), Univ Auckland, Sch Biol Sci, Auckland, New Zealand.</t>
  </si>
  <si>
    <t>mrayner@aucklandmuseum.com</t>
  </si>
  <si>
    <t>Rayner, Matt/0000-0002-1168-6699; Dunphy, Brendon/0000-0003-1811-4092</t>
  </si>
  <si>
    <t>10.1080/01584197.2017.1303332</t>
  </si>
  <si>
    <t>WOS:000413807700010</t>
  </si>
  <si>
    <t>Shahsavari, E; Poi, G; Aburto-Medina, A; Haleyur, N; Ball, AS</t>
  </si>
  <si>
    <t>Anjum, NA; Gill, SS; Tuteja, N</t>
  </si>
  <si>
    <t>Shahsavari, Esmaeil; Poi, Gregory; Aburto-Medina, Arturo; Haleyur, Nagalakshmi; Ball, Andrew S.</t>
  </si>
  <si>
    <t>Bioremediation Approaches for Petroleum Hydrocarbon-Contaminated Environments</t>
  </si>
  <si>
    <t>ENHANCING CLEANUP OF ENVIRONMENTAL POLLUTANTS, VOL 1: BIOLOGICAL APPROACHES</t>
  </si>
  <si>
    <t>Petroleum hydrocarbons; Environmental contamination; Bioremediation</t>
  </si>
  <si>
    <t>EX-SITU BIOREMEDIATION; POLYCYCLIC AROMATIC-HYDROCARBONS; SUB-ANTARCTIC SOILS; CRUDE-OIL; ENHANCED BIOREMEDIATION; MICROBIAL COMMUNITY; PSEUDOMONAS-AERUGINOSA; NATURAL ATTENUATION; FIELD-SCALE; SPILL SITE</t>
  </si>
  <si>
    <t>Despite the many positive impacts of petroleum hydrocarbons to human industrialization and activity, environmental contamination by petroleum hydrocarbons represents a major cause of marine and terrestrial pollution. Petroleum hydrocarbons contain various compounds such as alkanes, light aromatics (MAHs), cycloalkanes, heavy aromatics (PAHs) and asphaltenes, among others. A number of these compounds are potentially carcinogenic and mutagenic. Among the various remediation technologies, bioremediation or the use of microorganisms to degrade the hydrocarbons is considered a clean, cost-effective and environmentally friendly approach. Unlike other physical and chemical methods, it does not lead to secondary contamination, generally resulting in the complete mineralization of hydrocarbons. Several reports have now confirmed bioremediation as a promising technology to clean up the environments. This chapter presents an overview of current bioremediation approaches for the treatment of petroleum hydrocarbons.</t>
  </si>
  <si>
    <t>[Shahsavari, Esmaeil; Aburto-Medina, Arturo; Haleyur, Nagalakshmi; Ball, Andrew S.] RMIT Univ, Ctr Environm Sustainabil &amp; Remediat, Sch Sci, Bundoora, Vic 3083, Australia; [Shahsavari, Esmaeil] Benha Univ, Fac Agr, Dept Biochem, Moshtohor 13736, Toukh, Egypt; [Poi, Gregory] Singapore Polytech, Sch Chem &amp; Life Sci, Singapore 139651, Singapore; [Poi, Gregory] Flinders Univ S Australia, Sch Biol Sci, Bedford Pk, SA 5042, Australia; [Aburto-Medina, Arturo] ITESM, Puebla 72800, Mexico</t>
  </si>
  <si>
    <t>Royal Melbourne Institute of Technology (RMIT); Egyptian Knowledge Bank (EKB); Benha University; Singapore Polytechnic; Flinders University South Australia; Tecnologico de Monterrey</t>
  </si>
  <si>
    <t>Shahsavari, E (corresponding author), RMIT Univ, Ctr Environm Sustainabil &amp; Remediat, Sch Sci, Bundoora, Vic 3083, Australia.;Shahsavari, E (corresponding author), Benha Univ, Fac Agr, Dept Biochem, Moshtohor 13736, Toukh, Egypt.</t>
  </si>
  <si>
    <t>esmaeil.shahsavari@rmit.edu.au</t>
  </si>
  <si>
    <t>Ball, Andrew S/I-3389-2013; Shahsavari, Esmaeil/L-1653-2016; Aburto-Medina, Arturo/O-3288-2013</t>
  </si>
  <si>
    <t>Ball, Andrew/0000-0003-2387-968X; Aburto-Medina, Arturo/0000-0002-2871-609X</t>
  </si>
  <si>
    <t>978-3-319-55426-6; 978-3-319-55425-9</t>
  </si>
  <si>
    <t>10.1007/978-3-319-55426-6_3</t>
  </si>
  <si>
    <t>10.1007/978-3-319-55426-6</t>
  </si>
  <si>
    <t>BI5OU</t>
  </si>
  <si>
    <t>WOS:000412670800004</t>
  </si>
  <si>
    <t>Solovev, VD; Korchagin, IN</t>
  </si>
  <si>
    <t>Solovev, V. D.; Korchagin, I. N.</t>
  </si>
  <si>
    <t>Magnetic anomalies and the features of geodynamic development of the Antarctic Peninsula continental margin structures</t>
  </si>
  <si>
    <t>GEOFIZICHESKIY ZHURNAL-GEOPHYSICAL JOURNAL</t>
  </si>
  <si>
    <t>Antarctic Peninsula; crust; Pacific Margin anomaly; sources of magnetic anomalies; geodynamics</t>
  </si>
  <si>
    <t>AEROMAGNETIC SURVEYS; PALMER LAND; GRAVITY</t>
  </si>
  <si>
    <t>New geophysical models of the Earth's crust were used to study the possible nature of the Pacific Margin Anomaly (PMA) near the Antarctic Peninsula (AP). The data have been presented, which permitted analyzing spatial distribution of PMA and its deep sources on the continental margin of AP. Western and Eastern PMA-branches may correspond to different crustal blocks associated with predominantly Cretaceous magmatic intrusions of basic rocks. These branches of PMA were formed in the Early Cretaceous in structures, separated by a fault zone. Spatial heterogeneity of different segments of D I A may also be connected with different depth, thickness and magnetic susceptibility of separate bodies, which form the sources of regional anomalies. Active tectonic processes in the Mesozoic-Cenozoic resulted in the complex evolution of the structures of the region and appearance of vast deep magnetic sources of PMA along the AP margin formed during the phases of magmatic activity. Formation of separate segments of PMA can be connected with processes of tectonic movements near the border of the plates (Antarctica and Scotia) as well as in the areas of paleo-rifts formation. New geophysical results for different PMA-segments (from the Palmer Land to Powell Basin) replenish current ideas on the sources and origin of this big positive magnetic anomaly of the Pacific coast and show the necessity of searching new mechanisms of forming the structures of continental margin of AP.</t>
  </si>
  <si>
    <t>[Solovev, V. D.; Korchagin, I. N.] Natl Acad Sci Ukraine, Inst Geophys, Kiev, Ukraine</t>
  </si>
  <si>
    <t>National Academy of Sciences Ukraine; Subbotin Institute of Geophysics, National Academy of Sciences of Ukraine</t>
  </si>
  <si>
    <t>Solovev, VD (corresponding author), Natl Acad Sci Ukraine, Inst Geophys, Kiev, Ukraine.</t>
  </si>
  <si>
    <t>S I SUBBOTIN INST GEOPHYSICS NATL ACAD</t>
  </si>
  <si>
    <t>KIEV</t>
  </si>
  <si>
    <t>PR PALLADINA 32, KIEV, 252142, UKRAINE</t>
  </si>
  <si>
    <t>0203-3100</t>
  </si>
  <si>
    <t>2524-1052</t>
  </si>
  <si>
    <t>GEOFIZ ZHURNAL</t>
  </si>
  <si>
    <t>Geofiz. Zhurnal</t>
  </si>
  <si>
    <t>10.24028/gzh.0203-3100.v39i3.2017.104036</t>
  </si>
  <si>
    <t>FK2CU</t>
  </si>
  <si>
    <t>WOS:000413290900006</t>
  </si>
  <si>
    <t>Solovev, VD; Levashov, SP; Yakimchuk, NA; Korchagin, IN; Bozhezha, DN</t>
  </si>
  <si>
    <t>Solovev, V. D.; Levashov, S. P.; Yakimchuk, N. A.; Korchagin, I. N.; Bozhezha, D. N.</t>
  </si>
  <si>
    <t>The experiment of integrated mobile technologies used for deep hydrocarbon accumulation prospecting and geophysical mapping at the West Antarctic bottom structures</t>
  </si>
  <si>
    <t>West Antarctica; continental margins; mud volcanoes; oil; gas hydrates; mobile technologies; geo-electric prospecting methods</t>
  </si>
  <si>
    <t>GAS HYDRATE; MARGIN</t>
  </si>
  <si>
    <t>The data obtained confirm earlier assumption about possible existence of large accumulations of oil and gas hydrates in this part of the West Antarctica. Their formation in the structures of passive continental margin of the Antarctic Peninsula occurred as a result of repeated intrusions of deep geo-fluids into the earth crust different horizons during regional reactivation of paleo-fractures and attenuated zones. Materials of geophysical studies in the region have shown the presence of complicated system of local structures, considered as typical for passive continental margins. Shared feature for these structures of continental margin of Antarctica as well as for other similar structures of the great ocean is sufficiently close regional, and possibly genetic connection of mud volcanoes with explored areas of BSR-reflections and the places of formation of gas and gas hydrates accumulations. The data obtained attest the considerable role of deep fluids in formation of hydrocarbon accumulations in different horizons of the Eearth's crust of the passive margins of West Antarctica.</t>
  </si>
  <si>
    <t>[Solovev, V. D.; Korchagin, I. N.] Natl Acad Sci Ukraine, Inst Geophys, Kiev, Ukraine; [Levashov, S. P.; Yakimchuk, N. A.] Inst Appl Problems Ecol Geophys &amp; Geochem, Kiev, Ukraine; [Levashov, S. P.; Yakimchuk, N. A.; Bozhezha, D. N.] Natl Acad Sci Ukraine, Inst Geol Sci, Ctr Management &amp; Marketing Field Earth Sci, Kiev, Ukraine</t>
  </si>
  <si>
    <t>National Academy of Sciences Ukraine; Subbotin Institute of Geophysics, National Academy of Sciences of Ukraine; National Academy of Sciences Ukraine; Institute of Geological Sciences, National Academy of Sciences of Ukraine; Center for Management &amp; Marketing in Earth Sciences, Institute of Geological Sciences; Institute of Telecommunications &amp; Global Information Space</t>
  </si>
  <si>
    <t>10.24028/gzh.0203-3100.v39i1.2017.94016</t>
  </si>
  <si>
    <t>FK2CS</t>
  </si>
  <si>
    <t>WOS:000413290700008</t>
  </si>
  <si>
    <t>Etemadi-Khah, A; Pourbabaee, AA; Alikhani, HA; Noroozi, M; Bruno, L</t>
  </si>
  <si>
    <t>Etemadi-Khah, Atefeh; Pourbabaee, Ahmad Ali; Alikhani, Hossein Ali; Noroozi, Mostafa; Bruno, Laura</t>
  </si>
  <si>
    <t>Biodiversity of Isolated Cyanobacteria from Desert Soils in Iran</t>
  </si>
  <si>
    <t>GEOMICROBIOLOGY JOURNAL</t>
  </si>
  <si>
    <t>Kavir National Park; morphology; phylogeny; soil cyanobacteria; 16S rRNA gene</t>
  </si>
  <si>
    <t>ANTARCTIC CYANOBACTERIA; PHENOTYPIC DIVERSITY; MICROBIOTIC CRUSTS; CRYPTOGAMIC CRUSTS; SEQUENCE-ANALYSIS; OSCILLATORIALES; PHORMIDIUM; MICROCOLEUS; STRAINS; ALGAE</t>
  </si>
  <si>
    <t>Cyanobacteria are among the most ubiquitous, ecologically important photo-autotrophs on the Earth. They play important roles in terrestrial environments, especially in arid and semi-arid regions. In this study, the morphological and genetic diversity of the cyanobacteria inhabiting desert soil in Iran were investigated for the first time. The samples were collected at 40 different sites in the Kavir National Park. After cultivation and morphological identification, the 16S rRNA gene was sequenced from the cyanobacterial cultures. Twenty-seven different isolates were genetically and morphologically identified in 23 sites. Morphotypes fitted the description of five genera Phormidium, Trichocoleus, Leptolyngbya, Microcoleus and Tychonema with an abundance of 44.45, 37.04, 11.11, 3.7 and 3.7%, respectively. Sequence comparisons of samples in the National Center for Biotechnology Information (NCBI) and morphological data showed that 48et and 50et strains had 94% similarity to P. animale and 97% similarity to Microcoleus sp., respectively. These strains formed a separate and longer branch in the phylogenetic tree, suggesting relatively distant phylogenetic relationships with other sequences in this study. It seems that these sequences are new strains and other markers are needed for further investigation. Soil analysis showed salinity ranged from 0.23 to 87.8 dS/m and the genus that showed the highest salinity tolerance was Phormidium. The presence of cyanobacterial strains in the Kavir National Park showed that despite the harsh conditions, this place is biologically active.</t>
  </si>
  <si>
    <t>[Etemadi-Khah, Atefeh; Pourbabaee, Ahmad Ali; Alikhani, Hossein Ali] Univ Tehran, Univ Coll Agr &amp; Nat Resources, Dept Soil Sci, Karaj, Iran; [Pourbabaee, Ahmad Ali] ACECR, IBRC, Microorganisms Bank, Tehran 3158777871, Iran; [Noroozi, Mostafa] Alzahra Univ, Fac Biol Sci, Dept Biotechnol, Tehran, Iran; [Bruno, Laura] Univ Roma Tor Vergata, Dept Biol, Rome, Italy</t>
  </si>
  <si>
    <t>University of Tehran; Academic Center for Education, Culture &amp; Research (ACECR); Alzahra University; University of Rome Tor Vergata</t>
  </si>
  <si>
    <t>Pourbabaee, AA (corresponding author), Univ Tehran, Univ Coll Agr &amp; Nat Resources, Dept Soil Sci, Karaj, Iran.;Pourbabaee, AA (corresponding author), ACECR, IBRC, Microorganisms Bank, Tehran 3158777871, Iran.</t>
  </si>
  <si>
    <t>pourbabaei@ut.ac.ir</t>
  </si>
  <si>
    <t>Etemadi-Khah, Atefeh/JXN-8470-2024; Pourbabaee, Ahmad/ABD-9376-2021; Alikhani, Hossein Ali/Y-8783-2018</t>
  </si>
  <si>
    <t>Etemadi-Khah, Atefeh/0000-0003-4046-3723; Alikhani, Hossein Ali/0000-0002-8740-6059; pourbabaei, Ahmad Ali/0000-0002-5273-2161</t>
  </si>
  <si>
    <t>Iranian Biological Resource Center (IBRC); Laboratory of Biology of Algae, Department of Biology, University of Rome 'Tor Vergata'</t>
  </si>
  <si>
    <t>We greatly acknowledge the Iranian Biological Resource Center (IBRC) and the Laboratory of Biology of Algae, Department of Biology, University of Rome 'Tor Vergata' for their financial support of the present study and excellent technical assistance.</t>
  </si>
  <si>
    <t>0149-0451</t>
  </si>
  <si>
    <t>1521-0529</t>
  </si>
  <si>
    <t>GEOMICROBIOL J</t>
  </si>
  <si>
    <t>Geomicrobiol. J.</t>
  </si>
  <si>
    <t>10.1080/01490451.2016.1271064</t>
  </si>
  <si>
    <t>Environmental Sciences; Geosciences, Multidisciplinary</t>
  </si>
  <si>
    <t>FL3PT</t>
  </si>
  <si>
    <t>WOS:000414136100006</t>
  </si>
  <si>
    <t>Southwell, C; Emmerson, L; Takahashi, A; Barbraud, C; Delord, K; Weimerskirch, H</t>
  </si>
  <si>
    <t>Southwell, Colin; Emmerson, Louise; Takahashi, Akinori; Barbraud, Christophe; Delord, Karine; Weimerskirch, Henri</t>
  </si>
  <si>
    <t>Large-scale population assessment informs conservation management for seabirds in Antarctica and the Southern Ocean: A case study of Adelie penguins</t>
  </si>
  <si>
    <t>GLOBAL ECOLOGY AND CONSERVATION</t>
  </si>
  <si>
    <t>Abundance; Area protection; Fisheries management; Seabird</t>
  </si>
  <si>
    <t>CLIMATE-CHANGE; ENVIRONMENTAL-CHANGE; FORAGING BEHAVIOR; MARINE ECOSYSTEM; ABUNDANCE; FISHERIES; RESPONSES; COLONIES; SUCCESS; CCAMLR</t>
  </si>
  <si>
    <t>Antarctica and the Southern Ocean are increasingly affected by fisheries, climate change and human presence. Antarctic seabirds are vulnerable to all these threats because they depend on terrestrial and marine environments to breed and forage. We assess the current distribution and total abundance of Adelie penguins in East Antarctica and find there are 3.5 (95% CI 2.9-4.2) million individuals of breeding age along the East Antarctic coastline and 5.9 (4.2-7.7) million individuals foraging in the adjacent ocean after the breeding season. One third of the breeding population numbering over 1 million individuals breed within 10 km of research stations, highlighting the potential for human activities to impact Adelie penguin populations despite their current high abundance. The 16 Antarctic Specially Protected Areas currently designated in East Antarctica offer protection to breeding populations close to stations in four of six regional populations. The East Antarctic breeding population consumes an average of 193 500 tonnes of krill and 18 800 tonnes of fish during a breeding season, with consumption peaking at the end of the breeding season. These findings can inform future conservation management decisions in the terrestrial environment under the Protocol on Environmental Protection to develop a systematic network of protected areas, and in the marine environment under the Convention for the Conservation of Antarctic Marine Living Resources to allow the consumption needs of Adelie penguins to be taken into account when setting fishery catch limits. Extending this work to other penguin, flying seabird, seal and whale species is a priority for conservation management in Antarctica and the Southern Ocean. (C) 2016 The Authors. Published by Elsevier B.V.</t>
  </si>
  <si>
    <t>[Southwell, Colin; Emmerson, Louise] Australian Antarctic Div, Dept Environm &amp; Energy, 203 Channel Highway, Kingston, Tas 7050, Australia; [Takahashi, Akinori] Natl Inst Polar Res, 10-3 Midori Cho, Tachikawa, Tokyo 1908518, Japan; [Barbraud, Christophe; Delord, Karine; Weimerskirch, Henri] Univ La Rochelle, CNRS UMR7372, Ctr Etud Biol Chize, F-79360 Villiers En Bois, France</t>
  </si>
  <si>
    <t>Australian Antarctic Division; Research Organization of Information &amp; Systems (ROIS); National Institute of Polar Research (NIPR) - Japan; Centre National de la Recherche Scientifique (CNRS); CNRS - Institute of Ecology &amp; Environment (INEE); La Rochelle Universite</t>
  </si>
  <si>
    <t>Southwell, C (corresponding author), Australian Antarctic Div, Dept Environm &amp; Energy, 203 Channel Highway, Kingston, Tas 7050, Australia.</t>
  </si>
  <si>
    <t>colin.southwell@aad.gov.au</t>
  </si>
  <si>
    <t>Barbraud, Christophe/A-5870-2012; Weimerskirch, Henri/F-5562-2013; Weimerskirch, Henri/K-7306-2019</t>
  </si>
  <si>
    <t>Barbraud, Christophe/0000-0003-0146-212X; Weimerskirch, Henri/0000-0002-0457-586X; Takahashi, Akinori/0000-0002-9868-0408</t>
  </si>
  <si>
    <t>Australian Antarctic Program (AAS project) [2722, 4087, 4088]; Japanese Antarctic Research Expeditions [AMB1, AP12]; Institut Paul Emile Victor (IPEV program) [109]; Zone Atelier Antarctique (CNRS-INEE); Terres Australes et Antarctiques Francaise</t>
  </si>
  <si>
    <t>Australian Antarctic Program (AAS project); Japanese Antarctic Research Expeditions; Institut Paul Emile Victor (IPEV program); Zone Atelier Antarctique (CNRS-INEE); Terres Australes et Antarctiques Francaise</t>
  </si>
  <si>
    <t>This work was supported by the Australian Antarctic Program (AAS projects 2722, 4087 and 4088), the Japanese Antarctic Research Expeditions (programs AMB1 and AP12), and the Institut Paul Emile Victor (IPEV program 109), Zone Atelier Antarctique (CNRS-INEE), and Terres Australes et Antarctiques Francaise. The study sponsors had no role in the study design, analysis or interpretation.</t>
  </si>
  <si>
    <t>2351-9894</t>
  </si>
  <si>
    <t>GLOB ECOL CONSERV</t>
  </si>
  <si>
    <t>Glob. Ecol. Conserv.</t>
  </si>
  <si>
    <t>10.1016/j.gecco.2016.12.004</t>
  </si>
  <si>
    <t>FK1XW</t>
  </si>
  <si>
    <t>WOS:000413277900010</t>
  </si>
  <si>
    <t>Ancel, A; Cristofari, R; Trathan, PN; Gilbert, C; Fretwell, PT; Beaulieu, M</t>
  </si>
  <si>
    <t>Ancel, Andre; Cristofari, Robin; Trathan, Phil N.; Gilbert, Caroline; Fretwell, Peter T.; Beaulieu, Michael</t>
  </si>
  <si>
    <t>Looking for new emperor penguin colonies? Filling the gaps</t>
  </si>
  <si>
    <t>Antarctica; Aptenodytes forsteri; Biogeography; Climate change; Environmental variability; Population census; Satellite imagery</t>
  </si>
  <si>
    <t>CLIMATE-CHANGE; SOUTHERN-OCEAN; VARIABILITY; POPULATIONS; ANTARCTICA; DYNAMICS; BEHAVIOR; ISLANDS; WINTER; SPACE</t>
  </si>
  <si>
    <t>Detecting and predicting how populations respond to environmental variability are crucial challenges for their conservation. Knowledge about the abundance and distribution of the emperor penguin is far from complete despite recent information from satellites. When exploring the locations where emperor penguins breed, it is apparent that their distribution is circumpolar, but with a few gaps between known colonies. The purpose of this paper is therefore to identify those remaining areas where emperor penguins might possibly breed. Using the locations of emperor penguin breeding colonies, we calculated the separation distance between each pair of geographically adjacent colonies. Based on mean separation distances between colonies following a circumpolar distribution, and known foraging ranges, we suggest that there may yet be six undiscovered breeding locations with half of these in Eastern and the remainder in Western Antarctica. Productivity in these regions suggests that food resources are likely to sustain emperor penguin populations. Our analysis highlights a fundamental requirement, that in order to predict how species might respond to regional climate change, we must better understand their biogeography and the factors that lead to their occupation of particular sites. Regarding emperor penguins, remote sensing should target the identified gaps apparently devoid of penguins in order to update the total number of colonies, to re-evaluate both the regional and global population of emperor penguins, and to gain a better understanding of their biogeography. Crown Copyright (C) 2017 Published by Elsevier B.V.</t>
  </si>
  <si>
    <t>[Ancel, Andre; Cristofari, Robin] Univ Strasbourg, CNRS, IPHC UMR 7178, F-67000 Strasbourg, France; [Cristofari, Robin] Ctr Sci Monaco, LIA 647 BioSensib,8 Quai Antoine 1er, MC-98000 Monaco, Monaco; [Cristofari, Robin] Univ Oslo, Ctr Ecol &amp; Evolutionary Synth, Dept Biosci, Postboks 1066, NO-0316 Oslo, Norway; [Trathan, Phil N.; Fretwell, Peter T.] British Antarctic Survey, Madingley Rd, Cambridge CB3 OET, England; [Gilbert, Caroline] Univ Paris Est, Ecole Natl Vet Alfort, UMR CNRS MNHN 7179, 7 Ave Gen Gaulle, F-94704 Maisons Alfort, France; [Beaulieu, Michael] Ernst Moritz Arndt Univ Greifswald, Zool Inst &amp; Museum, Johann Sebastian Bach Str 11-12, D-17489 Greifswald, Germany</t>
  </si>
  <si>
    <t>Universites de Strasbourg Etablissements Associes; Universite de Strasbourg; Centre National de la Recherche Scientifique (CNRS); CNRS - National Institute of Nuclear and Particle Physics (IN2P3); University of Oslo; UK Research &amp; Innovation (UKRI); Natural Environment Research Council (NERC); NERC British Antarctic Survey; Centre National de la Recherche Scientifique (CNRS); CNRS - Institute of Ecology &amp; Environment (INEE); Ecole Nationale Veterinaire d'Alfort (ENVA); Museum National d'Histoire Naturelle (MNHN); Universitat Greifswald</t>
  </si>
  <si>
    <t>Ancel, A (corresponding author), Univ Strasbourg, CNRS, IPHC UMR 7178, F-67000 Strasbourg, France.;Ancel, A (corresponding author), CNRS IPHC, UMR 7178, 23 Rue Becquerel, F-67087 Strasbourg 02, France.</t>
  </si>
  <si>
    <t>andre.ancel@iphc.cnrs.fr; robin.cristofari@iphc.cnrs.fr; pnt@bas.ac.uk; caroline.gilbert@vet-alfort.fr; ptf@bas.ac.uk; miklvet@hotmail.fr</t>
  </si>
  <si>
    <t>Beaulieu, Michaël/A-5261-2011; Gilbert, Caroline/HKV-2124-2023; Cristofari, Robin/AAO-8097-2021</t>
  </si>
  <si>
    <t>Beaulieu, Michaël/0000-0002-9948-269X; Gilbert, Caroline/0000-0002-9957-405X;</t>
  </si>
  <si>
    <t>NERC [bas010011, bas0100035] Funding Source: UKRI; Natural Environment Research Council [bas010011, bas0100035] Funding Source: researchfish</t>
  </si>
  <si>
    <t>NERC(UK Research &amp; Innovation (UKRI)Natural Environment Research Council (NERC)); Natural Environment Research Council(UK Research &amp; Innovation (UKRI)Natural Environment Research Council (NERC))</t>
  </si>
  <si>
    <t>10.1016/j.gecco.2017.01.003</t>
  </si>
  <si>
    <t>WOS:000413277900015</t>
  </si>
  <si>
    <t>Sen Ozdemir, N; Feyzioglu, AM; Caf, F; Yildiz, I</t>
  </si>
  <si>
    <t>Sen Ozdemir, N.; Feyzioglu, A. M.; Caf, F.; Yildiz, I.</t>
  </si>
  <si>
    <t>Seasonal changes in abundance, lipid and fatty acid composition of Calanus euxinus in the South-eastern Black Sea</t>
  </si>
  <si>
    <t>INDIAN JOURNAL OF FISHERIES</t>
  </si>
  <si>
    <t>Abundance; Black Sea; Calanus euxinus; Chlorophyll-a; HUFA; PUFA; Total lipids</t>
  </si>
  <si>
    <t>WAX ESTERS; VERTICAL MIGRATION; ANTARCTIC COPEPODS; CALANOIDES-ACUTUS; MARINE COPEPODS; PHYTOPLANKTON; HELGOLANDICUS; ZOOPLANKTON; VARIABILITY; DIET</t>
  </si>
  <si>
    <t>Seasonal changes in abundance, lipid and fatty acid composition of Calanus euxinus Hulsemann, 1991 were analysed monthly during the period from March 2012 to February 2013. The highest abundance of C. euxinus was recorded in February (847 ind. m(-3)) during the sampling period. Female and male C. euxinus peaked in February (587 ind. m(3), 169 ind. m-3, respectively). However, copepodites peaked in November (107 ind. m(-3)). Average total lipid content was determined as percentage (%) and per individual (mg ind(-1)). It was proportionally highest in February (7.03%) and lowest in September (3.02%). However, average lipid content per individual was highest in February (0.11 mg ind(-1)) and lowest in September and November (0.04 mg ind(-1)). Major fatty acids in C. euxinus were identified as 16: 0, 16: 1 n(-7), EPA and DHA. Sigma SSFA, Sigma SMUFA, Sigma SPUFA and Sigma SHUFA were observed to be correlated with temperature. SSFA and Sigma SMUFA increased with the rise in temperature (r(2)= 0.74, r(2)= 0.73, p&lt; 0.05, respectively) whereas Sigma SPUFA and Sigma SHUFA increased as temperature decreased (r(2)=-0.73, r2=-0.80, respectively, p&lt; 0.05). Additionally, while Sigma SPUFA and Sigma SHUFA increased (r(2)= 0.61, r(2)=-0.68, respectively, p&lt; 0.05), Sigma SMUFA decreased (r(2)=-0.68, p&lt; 0.05) as chlorophyll-a increased. It was observed that the degree of unsaturation increased as temperature decreased. Results of the study revealed that C. euxinus has rich lipid content as well as fatty acid composition and it plays an important role in the South-eastern Black Sea ecosystem functionalities especially having key role in energy fluxes to higher trophic levels.</t>
  </si>
  <si>
    <t>[Sen Ozdemir, N.] Bingol Univ, Dept Fisheries, Fac Agr, TR-12000 Bingol, Turkey; [Feyzioglu, A. M.] Karadeniz Tech Univ, Dept Marine Sci &amp; Technol Engn, Surmene Fac Marine Sci, TR-61530 Trabzon, Turkey; [Caf, F.] Bingol Univ, Vocat Sch Tech Sci, Dept Vet Med, TR-12000 Bingol, Turkey; [Yildiz, I.] Karadeniz Tech Univ, Marine Sci &amp; Technol Inst, TR-61000 Trabzon, Turkey</t>
  </si>
  <si>
    <t>Bingol University; Karadeniz Technical University; Bingol University; Dokuz Eylul University; Karadeniz Technical University</t>
  </si>
  <si>
    <t>Sen Ozdemir, N (corresponding author), Bingol Univ, Dept Fisheries, Fac Agr, TR-12000 Bingol, Turkey.</t>
  </si>
  <si>
    <t>nsozdemir@bingol.edu.tr</t>
  </si>
  <si>
    <t>yıldız, İlknur/AAH-1989-2019; Feyzioglu, Ali Muzaffer/AAT-5956-2020</t>
  </si>
  <si>
    <t>yıldız, İlknur/0000-0003-2424-8644; Feyzioglu, Ali Muzaffer/0000-0003-1171-5493</t>
  </si>
  <si>
    <t>CENTRAL MARINE FISHERIES RESEARCH INST</t>
  </si>
  <si>
    <t>ERNAKULAM</t>
  </si>
  <si>
    <t>INDIAN COUNCIL AGRICULTURAL RES, DR. SALIM ALI RD, P B NO 1603, TATAPURAM P O, ERNAKULAM, COCHIN 682 014, INDIA</t>
  </si>
  <si>
    <t>0970-6011</t>
  </si>
  <si>
    <t>INDIAN J FISH</t>
  </si>
  <si>
    <t>Indian J. Fish.</t>
  </si>
  <si>
    <t>10.21077/ijf.2017.64.3.62172-09</t>
  </si>
  <si>
    <t>FK4BM</t>
  </si>
  <si>
    <t>WOS:000413432700009</t>
  </si>
  <si>
    <t>Gould, FJ</t>
  </si>
  <si>
    <t>Gould, Fraser John</t>
  </si>
  <si>
    <t>Non-operative management of a patella fracture: environmental considerations in the Subantarctic</t>
  </si>
  <si>
    <t>INTERNATIONAL MARITIME HEALTH</t>
  </si>
  <si>
    <t>knee; South Georgia; remote; evacuation</t>
  </si>
  <si>
    <t>KNEE</t>
  </si>
  <si>
    <t>Injuries occurring in the remote environment present particular challenges to healthcare professionals, and decisions need to be carefully made on an individual basis. This report describes the successful management of a patella fracture sustained on the Subantarctic island of South Georgia. A 36-year-old boating officer presented to the island surgery after sustaining an isolated closed injury to his left knee. On physical examination there was a large effusion palpable within the joint, and on subsequent radiography an undisplaced transverse fracture of the patella was apparent. The patient had an intact and competent extensor mechanism, and fulfilled indications for non-operative management. His clinical case was discussed with supervising consultants at the British Antarctic Survey Medical Unit in the United Kingdom, and radiographs forwarded electronically for an orthopaedic review. The decision was made to undertake medical evacuation of the patient. There were additional environmental factors to be considered in this situation. The terrain on South Georgia is rugged and unforgiving, there is a risk of injury posed by the local fauna (Arctocephalus gazella) during summer months, and emergency evacuation from the base would be difficult for any person with restricted mobility. A planned retrieval enabled our patient to continue rehabilitation and physiotherapy in the preferrential setting of his home country, without causing undue delay in time taken returning to work in this remote location.</t>
  </si>
  <si>
    <t>[Gould, Fraser John] British Antarctic Survey, Med Unit, Port Stanley, Falkland Island</t>
  </si>
  <si>
    <t>Gould, FJ (corresponding author), British Antarctic Survey, King Edward Point Res Stn, Port Stanley SIQQ 1ZZ, Falkland Island.</t>
  </si>
  <si>
    <t>f.gould@nhs.net</t>
  </si>
  <si>
    <t>NERC [bas010011] Funding Source: UKRI; Natural Environment Research Council [bas010011] Funding Source: researchfish</t>
  </si>
  <si>
    <t>VIA MEDICA</t>
  </si>
  <si>
    <t>GDANSK</t>
  </si>
  <si>
    <t>UL SWIETOKRZYSKA 73, 80-180 GDANSK, POLAND</t>
  </si>
  <si>
    <t>1641-9251</t>
  </si>
  <si>
    <t>2081-3252</t>
  </si>
  <si>
    <t>INT MARIT HEALTH</t>
  </si>
  <si>
    <t>Int. Marit. Health</t>
  </si>
  <si>
    <t>10.5603/IMH.2017.0028</t>
  </si>
  <si>
    <t>Public, Environmental &amp; Occupational Health</t>
  </si>
  <si>
    <t>FI3CE</t>
  </si>
  <si>
    <t>WOS:000411833200005</t>
  </si>
  <si>
    <t>Badmington, N</t>
  </si>
  <si>
    <t>Badmington, Neil</t>
  </si>
  <si>
    <t>The bothersome details of the world: Richard Byrd, Little America, and the problem of retreat</t>
  </si>
  <si>
    <t>JOURNAL FOR CULTURAL RESEARCH</t>
  </si>
  <si>
    <t>Richard E. Byrd; Little America; retreat; technology; modernity; Antarctica</t>
  </si>
  <si>
    <t>In 1934, Admiral Richard E. Byrd retreated from his crew at the remote Little America encampment in Antarctica to an even more isolated setting: a small underground shack on the dark immensity of the Ross Ice Barrier, on a line between Little America and the South Pole'. Byrd remained there in solitude for a little over four months and later wrote about his ordeal in Alone. This essay considers Byrd's account alongside his earlier Antarctic writings in order to ask what they reveal about the difficulties of retreating and maintaining critical distance from civilisation'.</t>
  </si>
  <si>
    <t>[Badmington, Neil] Cardiff Univ, Sch English Commun &amp; Philosophy, Cardiff, S Glam, Wales</t>
  </si>
  <si>
    <t>Cardiff University</t>
  </si>
  <si>
    <t>Badmington, N (corresponding author), Cardiff Univ, Sch English Commun &amp; Philosophy, Cardiff, S Glam, Wales.</t>
  </si>
  <si>
    <t>Badmington@cardiff.ac.uk</t>
  </si>
  <si>
    <t>1479-7585</t>
  </si>
  <si>
    <t>1740-1666</t>
  </si>
  <si>
    <t>J CULT RES</t>
  </si>
  <si>
    <t>J. Cult. Res.</t>
  </si>
  <si>
    <t>10.1080/14797585.2017.1370491</t>
  </si>
  <si>
    <t>Cultural Studies</t>
  </si>
  <si>
    <t>FL4BX</t>
  </si>
  <si>
    <t>WOS:000414172500010</t>
  </si>
  <si>
    <t>Yin, FW; Zhou, DY; Liu, YF; Zhao, Q; Zhou, X; Song, L; Qin, L; Qi, H; Zhu, BW</t>
  </si>
  <si>
    <t>Yin, Fa-Wen; Zhou, Da-Yong; Liu, Yan-Fei; Zhao, Qi; Zhou, Xin; Song, Liang; Qin, Lei; Qi, Hang; Zhu, Bei-Wei</t>
  </si>
  <si>
    <t>The Forms of Fluoride in Antarctic Krill (Euphausia superba) Oil Extracted with Hexane and its Removal with Different Absorbents</t>
  </si>
  <si>
    <t>Antarctic krill (Euphausia superba); oil; fluoride; removal; absorbent</t>
  </si>
  <si>
    <t>MEGANYCTIPHANES-NORVEGICA; ELECTRODE</t>
  </si>
  <si>
    <t>Krill oils (KOs) were prepared using different extraction methods (hexane and supercritical carbon dioxide), different materials (heat-dried krill powder, freeze-dried krill powder, and freeze-dried krill tail meat powder), and different standing times during hexane extraction. The fluoride concentrations in the KOs were positively correlated with the protein concentrations. Absorbents were employed to remove fluoride from KO. Activated clay achieved the highest fluoride removal rate (70.66%), followed by calcium oxide (14.49%), activated carbon (11.97%), calcium chloride (9.32%), activated alumina (0.94%), and chitosan (0.52%). Meanwhile, the protein removal rates of the above absorbents were positively correlated with the fluoride removal rates.</t>
  </si>
  <si>
    <t>[Yin, Fa-Wen; Zhou, Da-Yong; Liu, Yan-Fei; Zhao, Qi; Zhou, Xin; Song, Liang; Qin, Lei; Qi, Hang; Zhu, Bei-Wei] Dalian Polytech Univ, Sch Food Sci &amp; Technol, Dalian 116034, Peoples R China; [Zhou, Da-Yong; Song, Liang; Qin, Lei; Qi, Hang; Zhu, Bei-Wei] Natl Engn Res Ctr Seafood, Dalian 116034, Peoples R China; [Zhu, Bei-Wei] China Agr Univ, Beijing Adv Innovat Ctr Food Nutr &amp; Human Hlth, Beijing, Peoples R China; [Zhu, Bei-Wei] Tianjin Food Safety &amp; Low Carbon Mfg Collaborat I, Tianjin, Peoples R China</t>
  </si>
  <si>
    <t>Dalian Polytechnic University; Dalian Polytechnic University; China Agricultural University</t>
  </si>
  <si>
    <t>Zhou, DY (corresponding author), Dalian Polytech Univ, Sch Food Sci &amp; Technol, Dalian 116034, Peoples R China.;Zhu, BW (corresponding author), Natl Engn Res Ctr Seafood, Dalian 116034, Peoples R China.</t>
  </si>
  <si>
    <t>zdyzf1@163.com; zhubeiwei@163.com</t>
  </si>
  <si>
    <t>Qin, Lei/0000-0002-3902-3192</t>
  </si>
  <si>
    <t>National High Technology Research and Development Program of China (863 Program) [2011AA090801]; Program for Liaoning Excellent Talents in University [LR2015006]; Liaoning Provincial Natural Science Foundation of China [2015020781]; Project of Distinguished Professor of Liaoning Province [2015-153]; Program for Dalian High-Level Innovative Talent [2015R0007]; Organization Project for National Engineering Research Center of Seafood - Ministry of Science and Technology of the People's Republic of China [2012FU125X03]</t>
  </si>
  <si>
    <t>National High Technology Research and Development Program of China (863 Program)(National High Technology Research and Development Program of China); Program for Liaoning Excellent Talents in University; Liaoning Provincial Natural Science Foundation of China; Project of Distinguished Professor of Liaoning Province; Program for Dalian High-Level Innovative Talent; Organization Project for National Engineering Research Center of Seafood - Ministry of Science and Technology of the People's Republic of China</t>
  </si>
  <si>
    <t>This work was financially supported by The National High Technology Research and Development Program of China (863 Program) (2011AA090801), the Program for Liaoning Excellent Talents in University (LR2015006), the Liaoning Provincial Natural Science Foundation of China (2015020781), the Project of Distinguished Professor of Liaoning Province (2015-153), the Program for Dalian High-Level Innovative Talent (2015R0007), and the Organization Project for National Engineering Research Center of Seafood funded by Ministry of Science and Technology of the People's Republic of China (2012FU125X03).</t>
  </si>
  <si>
    <t>10.1080/10498850.2017.1339756</t>
  </si>
  <si>
    <t>FK8QY</t>
  </si>
  <si>
    <t>WOS:000413774500008</t>
  </si>
  <si>
    <t>Yin, L; Jiang, XM; Fan, Y; Wang, JF; Xue, CH; Xue, Y</t>
  </si>
  <si>
    <t>Yin, Li'ang; Jiang, Xiaoming; Fan, Yan; Wang, Jingfeng; Xue, Changhu; Xue, Yong</t>
  </si>
  <si>
    <t>Preparation, Gel Electrophoresis Analysis, and Nutritional Evaluation of a Functional Krill Protein Concentrate with Low Fluoride Level from Antarctic krill (Euphausia superba)</t>
  </si>
  <si>
    <t>Electrophoresis; fluoride removal; functional krill protein concentrate; nutritional evaluation</t>
  </si>
  <si>
    <t>ISOELECTRIC SOLUBILIZATION/PRECIPITATION; HEALTH-BENEFITS; AMINO-ACID; LIPIDS; EXTRACTION; FISH; RECOVERY; TISSUES</t>
  </si>
  <si>
    <t>A functional krill protein concentrate (FKPC) with low level of fluoride was prepared from frozen Antarctic krill (Euphausia superba) using isoelectric precipitation and phosphoric acid treatment. Variations in proteins and nutritional properties of the FKPC were analyzed. Gel electrophoresis analysis indicated that some variations in protein composition were introduced by autolysis and pH shift during the process of isoelectric precipitation and fluoride removal. The FKPC was composed of 81.01% +/- 0.45% crude protein (dry basis) and 16.78% +/- 0.26% total lipid (dry basis), exhibited excellent amino-acid composition in all the essential amino acids, exceeding the requirements of the FAO/WHO/UNU for food protein, and was rich in omega-3 polyunsaturated fatty acids, especially eicosapentaenoic (EPA) and docosahexaenoic (DHA) acids present in phospholipids. The fluoride level of FKPC was 79.79 +/- 2.10 g/g (dry basis), which met the USFDA requirements. The surimi yield reached 43.74%, and the mean recovery rate of protein and fat was 52.68% and 41.44%, respectively. The nutritional value, safe level of fluoride, and high yield rate provide evidence that FKPC has a promising future in the food industry as a new aquatic protein and lipid resource.</t>
  </si>
  <si>
    <t>[Yin, Li'ang; Jiang, Xiaoming; Fan, Yan; Wang, Jingfeng; Xue, Changhu; Xue, Yong] Ocean Univ China, Coll Food Sci &amp; Engn, 5 Yushan Rd, Qingdao 266003, Shandong, Peoples R China</t>
  </si>
  <si>
    <t>Xue, Y (corresponding author), Ocean Univ China, Coll Food Sci &amp; Engn, 5 Yushan Rd, Qingdao 266003, Shandong, Peoples R China.</t>
  </si>
  <si>
    <t>xueyong@ouc.edu.cn</t>
  </si>
  <si>
    <t>Jiang, Xiaoming/AES-5733-2022; wang, jing/GRS-7509-2022</t>
  </si>
  <si>
    <t>Jiang, Xiaoming/0000-0002-1444-6121;</t>
  </si>
  <si>
    <t>10.1080/10498850.2017.1364315</t>
  </si>
  <si>
    <t>FL2VK</t>
  </si>
  <si>
    <t>WOS:000414077600008</t>
  </si>
  <si>
    <t>Gordillo, S; Malvé, ME; Moran, G</t>
  </si>
  <si>
    <t>Gordillo, Sandra; Malve, Mariano E.; Moran, Gisela</t>
  </si>
  <si>
    <t>Benthic mollusc assemblages in West Antarctica: taxa composition and ecological insights</t>
  </si>
  <si>
    <t>SOUTH-SHETLAND ISLANDS; BELLINGSHAUSEN SEA; DECEPTION-ISLAND; DIVERSITY; INVERTEBRATES; BIVALVES</t>
  </si>
  <si>
    <t>Although different studies in Antarctica have dealt with benthic communities, few studies have focused on molluscan assemblages and their ecology. During the austral summer of 2011, 17 stations between depths of 68.5 and 754 m were sampled in West Antarctica using a demersal bottom trawl pilot net on board RV ARA Puerto Deseado. In all, 1848 specimens of shelled molluscs were recorded. Gastropods were the most diverse group (species richness = 74) and bivalves were the most abundant (n = 1344). Shannon-Wiener diversity index values ranged between 0.58 and 2.99, with great variation at different stations. Cluster analysis using the Bray-Curtis coefficient showed three distinct assemblages types: one dominated by suspension feeders; a second with representatives from different trophic groups, including suspension feeders, grazers, scavengers, predators and deposit feeders; and a third, more differentiated, with few taxa and dominated by deposit feeders. Finally, multivariate analysis suggests that bivalves were more sensitive to temperature, whereas gastropods were more sensitive to depth.</t>
  </si>
  <si>
    <t>[Gordillo, Sandra; Moran, Gisela] UNC, CONICET, Ctr Invest Ciencias Tierra CICTERRA, Ave Velez Sarsfield 1611,X5016GCA, Cordoba, Argentina; [Malve, Mariano E.] Univ Nacl Cordoba, Fac Ciencias Exactas Fis &amp; Nat, Ave Velez Sarsfield 299,X5000JJC, Cordoba, Argentina</t>
  </si>
  <si>
    <t>Consejo Nacional de Investigaciones Cientificas y Tecnicas (CONICET); National University of Cordoba; National University of Cordoba</t>
  </si>
  <si>
    <t>Gordillo, S (corresponding author), UNC, CONICET, Ctr Invest Ciencias Tierra CICTERRA, Ave Velez Sarsfield 1611,X5016GCA, Cordoba, Argentina.</t>
  </si>
  <si>
    <t>sandra.gordillo@unc.edu.ar</t>
  </si>
  <si>
    <t>Moran, Gisela A./0000-0002-1477-5638; Gordillo, Sandra/0000-0002-3937-4865; Malve, Mariano/0000-0001-7797-5488</t>
  </si>
  <si>
    <t>Consejo Nacional de Investigaciones Cientificas y Tecnicas (CONICET) [PIP-114-201101-00238]; Direccion Nacional del Antartico (DNA); Instituto Antartico Argentino (IAA)</t>
  </si>
  <si>
    <t>Consejo Nacional de Investigaciones Cientificas y Tecnicas (CONICET)(Consejo Nacional de Investigaciones Cientificas y Tecnicas (CONICET)); Direccion Nacional del Antartico (DNA); Instituto Antartico Argentino (IAA)</t>
  </si>
  <si>
    <t>This research was supported by Consejo Nacional de Investigaciones Cientificas y Tecnicas (CONICET; Project- PIP-114-201101-00238 to SG), Direccion Nacional del Antartico (DNA) and Instituto Antartico Argentino (IAA). Thanks are due to all members of the team working aboard the oceanographic survey ship ARA Puerto Deseado during the Antarctic Expedition CAV 2011, especially Maria Eugenia Torroglosa and Andrea Tombari, who helped during the sampling on the ship and gave information on some specimens collected. The authors are also grateful to the two anonymous reviewers and the editor for their constructive criticism and useful suggestions that improved this manuscript.</t>
  </si>
  <si>
    <t>10.1071/MF16349</t>
  </si>
  <si>
    <t>FK7MF</t>
  </si>
  <si>
    <t>WOS:000413690000013</t>
  </si>
  <si>
    <t>McGill, LM; Fitzpatrick, DA; Pisani, D; Burnell, AM</t>
  </si>
  <si>
    <t>McGill, Lorraine M.; Fitzpatrick, David A.; Pisani, Davide; Burnell, Ann M.</t>
  </si>
  <si>
    <t>Estimation of phylogenetic divergence times in Panagrolaimidae and other nematodes using relaxed molecular clocks calibrated with insect and crustacean fossils</t>
  </si>
  <si>
    <t>NEMATOLOGY</t>
  </si>
  <si>
    <t>18S rDNA SSU; 28S rDNA; Antarctica; Bayesian methods; CIR process; Crustacea; divergence dates; evolutionary history; Insecta; Nematoda evolution; palaeoendemism; Panagrolaimus; Panagrolaimus davidi; Panagrolaimus superbus; Phylobayes; phylogeny; relaxed tree methods; Surtsey Island</t>
  </si>
  <si>
    <t>ANTARCTIC NEMATODE; SCOTTNEMA-LINDSAYAE; DRY VALLEYS; ANHYDROBIOSIS; EVOLUTION; HISTORY; DAVIDI; LIFE; SEQUENCE; CAENORHABDITIS</t>
  </si>
  <si>
    <t>This study presents the use of relaxed molecular clock methods to infer the dates of divergence between Panagrolaimus species. Autocorrelated relaxed tree methods, combined with well characterised fossil calibration dates, yield estimates of nematode divergence dates in accordance with the palaeontological age of fossil ascarid eggs and with the previously estimated date of 18 Ma (range 11.6 to 29.9 Ma) for the divergence of the Caenorhabditis lineage. Our data indicate that Panagrolaimus davidi from Antarctica separated ca 21.98 Ma from its currently known, most closely related strain. Thus, P. davidi may have existed in Antarctica prior to the Last Glacial Maximum, although this seems unlikely as it shares physiological and life history traits with closely related nematodes from temperate climates. These traits may have facilitated colonisation of Antarctica by P. davidi after the quaternary glaciation, analogous to the colonisation of Surtsey Island, Iceland, by P. superbus after its volcanic formation. This study demonstrates that autocorrelated relaxed tree methods combined with well characterised fossil calibration dates may be used as a method to estimate the divergence dates within nematodes in order to gain insight into their evolutionary history.</t>
  </si>
  <si>
    <t>[McGill, Lorraine M.; Fitzpatrick, David A.; Pisani, Davide; Burnell, Ann M.] Natl Univ Ireland Maynooth, Dept Biol, Maynooth, Kildare, Ireland; [Pisani, Davide] Univ Bristol, Sch Biol Sci, Woodland Rd, Bristol BS8 1UG, Avon, England; [Pisani, Davide] Univ Bristol, Sch Earth Sci, Woodland Rd, Bristol BS8 1UG, Avon, England</t>
  </si>
  <si>
    <t>Maynooth University; University of Bristol; University of Bristol</t>
  </si>
  <si>
    <t>McGill, LM (corresponding author), Natl Univ Ireland Maynooth, Dept Biol, Maynooth, Kildare, Ireland.</t>
  </si>
  <si>
    <t>lorrainemcgill@gmail.com</t>
  </si>
  <si>
    <t>Pisani, Davide/ABD-5225-2021</t>
  </si>
  <si>
    <t>Pisani, Davide/0000-0003-0949-6682; Fitzpatrick, David/0000-0001-7345-6998</t>
  </si>
  <si>
    <t>Science Foundation Ireland [08/RFP/EOB166, 09/RFP/EOB2506]; Science Foundation Ireland (SFI) [09/RFP/EOB2506] Funding Source: Science Foundation Ireland (SFI)</t>
  </si>
  <si>
    <t>Science Foundation Ireland(Science Foundation Ireland); Science Foundation Ireland (SFI)(Science Foundation Ireland)</t>
  </si>
  <si>
    <t>This project was funded by Science Foundation Ireland (Projects 08/RFP/EOB166 and 09/RFP/EOB2506).</t>
  </si>
  <si>
    <t>BRILL ACADEMIC PUBLISHERS</t>
  </si>
  <si>
    <t>PLANTIJNSTRAAT 2, P O BOX 9000, 2300 PA LEIDEN, NETHERLANDS</t>
  </si>
  <si>
    <t>1388-5545</t>
  </si>
  <si>
    <t>Nematology</t>
  </si>
  <si>
    <t>10.1163/15685411-00003096</t>
  </si>
  <si>
    <t>FJ2BS</t>
  </si>
  <si>
    <t>WOS:000412526600004</t>
  </si>
  <si>
    <t>Navarro, NP; Figueroa, FL; Korbee, N</t>
  </si>
  <si>
    <t>Navarro, Nelso P.; Figueroa, Felix L.; Korbee, Nathalie</t>
  </si>
  <si>
    <t>Mycosporine-like amino acids vs carrageenan yield in Mazzaella laminarioides (Gigartinales; Rhodophyta) under high and low UV solar irradiance</t>
  </si>
  <si>
    <t>Carragenan; Irradiance; MAA content; Mazzaella laminarioides; Reproductive phases; Rhodophyta; Sub-Antarctic region; UV solar radiation</t>
  </si>
  <si>
    <t>ULTRAVIOLET-B RADIATION; KAPPAPHYCUS-ALVAREZII RHODOPHYTA; RED ALGA; PHOTOSYNTHETIC PIGMENTS; ANTIOXIDANT ACTIVITY; ABSORBING COMPOUNDS; CHONDRUS-CRISPUS; MACROALGAE; ACCUMULATION; GROWTH</t>
  </si>
  <si>
    <t>The effects of increased solar photosynthetically active radiation (PAR) and ultraviolet radiation (UVR) on biomass, mycosporine-like amino acid (MAA) content, and carrageenan yield were studied for 14 days in tank-cultivated tetrasporophytes and gametophytes of Mazzaella laminarioides from the Magellan Strait. The initial values of carrageenan yield were similar between gametophytes and tetrasporophytes, whereas the MAA content was higher in gametophytes than that in tetrasporophytes. After 14 days of exposure to different combinations of solar radiation (PAR, PAR + UV-A, and PAR + UV-A + UV-B) and two irradiance levels (high and low), differences between gametophytes and tetrasporophytes of M. laminarioides in growth rate (GR), MAA, and carrageenan yield were observed. Higher GRs were observed in gametophytes than in tetrasporophytes under all radiation and irradiance treatments. A significant decrease in total MAA content was observed in both reproductive phases, with these decreases being more evident in gametophytes under all radiation and irradiance treatments (20 to 30% decrease compared with the initial value). Changes in the proportion of each MAA were also observed. The asterina-330 and palythine content decreased in gametophytes in all radiation and irradiance treatments, whereas tetrasporophytes exhibited an increase of these MAAs, mainly under PAR + UV-A at low irradiance. The carrageenan yield decreased in tetrasporophytes in all radiation treatments, whereas gametophytes exhibited an increase in this parameter under UV radiation at high irradiance. These results suggest that both reproductive phases have different strategies to cope with light stress, mainly under high UVR. Furthermore, both reproductive phases are adapted to high solar radiation, and the differences between gametophytes and tetrasporophytes could result from the vertical distribution on shore and from intrinsic differences related to ploidy level.</t>
  </si>
  <si>
    <t>[Navarro, Nelso P.] Univ Magallanes, Fac Ciencias, Punta Arenas, Chile; [Navarro, Nelso P.] Invest Dinam Ecosistemas Marinos Altas Latitudes, Ctr FONDAP, Punta Arenas, Chile; [Figueroa, Felix L.; Korbee, Nathalie] Univ Malaga, Fac Ciencias, Dept Ecol, Campus Univ Teatinos S-N, E-29071 Malaga, Spain</t>
  </si>
  <si>
    <t>Universidad de Magallanes; Universidad de Malaga</t>
  </si>
  <si>
    <t>Navarro, NP (corresponding author), Univ Magallanes, Fac Ciencias, Punta Arenas, Chile.;Navarro, NP (corresponding author), Invest Dinam Ecosistemas Marinos Altas Latitudes, Ctr FONDAP, Punta Arenas, Chile.</t>
  </si>
  <si>
    <t>nelso.navarro@umag.cl</t>
  </si>
  <si>
    <t>Korbee Peinado, Nathalie/K-5995-2014; Lopez Figueroa, Felix Diego/K-7720-2014</t>
  </si>
  <si>
    <t>Korbee Peinado, Nathalie/0000-0002-9780-4915; Lopez Figueroa, Felix Diego/0000-0003-3580-4693</t>
  </si>
  <si>
    <t>Universidad de Magallanes [027206]; Comision Nacional de Ciencia y Tecnologia (CONICYT) through Fondo de Financiamiento de Centros de Investigacion en Areas Prioritarias (FONDAP) [15150003]; Junta de Andalucia (FYBOA) [RNM-295]</t>
  </si>
  <si>
    <t>Universidad de Magallanes; Comision Nacional de Ciencia y Tecnologia (CONICYT) through Fondo de Financiamiento de Centros de Investigacion en Areas Prioritarias (FONDAP); Junta de Andalucia (FYBOA)(Junta de Andalucia)</t>
  </si>
  <si>
    <t>This work was financed in part by 027206 Program (Universidad de Magallanes). Additionally, partial funding was provided by Comision Nacional de Ciencia y Tecnologia (CONICYT) through the program Fondo de Financiamiento de Centros de Investigacion en Areas Prioritarias (FONDAP), project no. 15150003. F.L.F. and N.K. thank the Junta de Andalucia for the financial support of Photobiology and biotechnology of aquatic organisms'' (FYBOA, RNM-295).</t>
  </si>
  <si>
    <t>2330-2968</t>
  </si>
  <si>
    <t>10.2216/16-124.1</t>
  </si>
  <si>
    <t>FJ6US</t>
  </si>
  <si>
    <t>WOS:000412894100009</t>
  </si>
  <si>
    <t>Liang, LW</t>
  </si>
  <si>
    <t>Zhou, H; Xu, Z</t>
  </si>
  <si>
    <t>Liang, Liwen</t>
  </si>
  <si>
    <t>A Method of Antarctic Temperature Forecasting Based on Time Series Model</t>
  </si>
  <si>
    <t>PROCEEDINGS OF THE 2017 5TH INTERNATIONAL CONFERENCE ON FRONTIERS OF MANUFACTURING SCIENCE AND MEASURING TECHNOLOGY (FMSMT 2017)</t>
  </si>
  <si>
    <t>5th International Conference on Frontiers of Manufacturing Science and Measuring Technology (FMSMT)</t>
  </si>
  <si>
    <t>JUN 24-25, 2017</t>
  </si>
  <si>
    <t>Antarctic Temperature Forecasting; Correlation Analysis; Linear regression analysis; Time series analysis</t>
  </si>
  <si>
    <t>Based on the analysis of the Antarctic temperature change trend, this paper analyze the influence factors of the surface temperature in Antarctica, and established the corresponding model. Then, it extracts a part of the time series of dynamic data part provided by the site, and drew a timing diagram of sample data and some images about autocorrelation and partial correlation, correlation analysis.</t>
  </si>
  <si>
    <t>[Liang, Liwen] North China Elect Power Univ, Baoding 071000, Hebei, Peoples R China</t>
  </si>
  <si>
    <t>North China Electric Power University</t>
  </si>
  <si>
    <t>Liang, LW (corresponding author), North China Elect Power Univ, Baoding 071000, Hebei, Peoples R China.</t>
  </si>
  <si>
    <t>1325578456@qq.com</t>
  </si>
  <si>
    <t>978-94-6252-331-9</t>
  </si>
  <si>
    <t>Engineering, Multidisciplinary</t>
  </si>
  <si>
    <t>BI7AW</t>
  </si>
  <si>
    <t>WOS:000414088200203</t>
  </si>
  <si>
    <t>Dranitsina, AS; Taburets, OV; Dvorshchenko, KO; Grebinyk, DM; Beregova, TV; Ostapchenko, LI</t>
  </si>
  <si>
    <t>Dranitsina, A. S.; Taburets, O. V.; Dvorshchenko, K. O.; Grebinyk, D. M.; Beregova, T. V.; Ostapchenko, L. I.</t>
  </si>
  <si>
    <t>TGFB 1, PTGS 2 Genes Expression during Dynamics of Wound Healing and with the Treatment of Melanin</t>
  </si>
  <si>
    <t>RESEARCH JOURNAL OF PHARMACEUTICAL BIOLOGICAL AND CHEMICAL SCIENCES</t>
  </si>
  <si>
    <t>full-thickness skin wound; purulent necrotic wound; Ptgs2; Tgfb1 gene expression; melanin</t>
  </si>
  <si>
    <t>GROWTH-FACTOR BETA-1; VERSUS-HOST-DISEASE; INTERLEUKIN-6 IL-6; HYPERTROPHIC SCAR; HUMAN SCLERODERMA; PREVENTS SKIN; FETAL; FIBROSIS; REPAIR; MODEL</t>
  </si>
  <si>
    <t>Wound repair in adult skin begins with an acute inflammatory phase and ends with the formation of a permanent scar. TGF-beta 1 and COX2 are factors identified as reduced in scarless healing. Melanin, which is produced by Antarctic black yeast-like fungi Nadsoniella nigra, strain X1-M, has expressed cytoprotective effect and can be offered as a new dermotropic drug. Study was conducted on rat model of full-thickness skin wound and purulent necrotic wound. In each model one group was a control, while in others wound healing occurred without drugs or with administration of 0,5 % carbopol or with both 0,5 % carbopol and 0,1% melanin. Level of Tgfb1, Ptgs2 genes mRNA was determined with quantitative RT-PCR. Significant elevation of Tgfb1 and Ptgs2 genes expression was observed during healing of full-thickness skin wound and purulent necrotic wound. Reduction of expression of these genes on the background of absence of scarring was observed upon administration of melanin. Obtained results may indicate the advisability of melanin for the treatment of inflammatory processes.</t>
  </si>
  <si>
    <t>[Dranitsina, A. S.; Dvorshchenko, K. O.] Taras Shevchenko Natl Univ Kyiv, Inst Biol, Res Lab Biochem, Kiev, Ukraine; [Taburets, O. V.; Grebinyk, D. M.; Ostapchenko, L. I.] Taras Shevchenko Natl Univ Kyiv, Inst Biol, Chair Biochem, Kiev, Ukraine; [Beregova, T. V.] Taras Shevchenko Natl Univ Kyiv, Inst Biol, Educ &amp; Sci Ctr, Res Lab Pharmacol &amp; Expt Pathol, Kiev, Ukraine</t>
  </si>
  <si>
    <t>Ministry of Education &amp; Science of Ukraine; Taras Shevchenko National University of Kyiv; Ministry of Education &amp; Science of Ukraine; Taras Shevchenko National University of Kyiv; Ministry of Education &amp; Science of Ukraine; Taras Shevchenko National University of Kyiv</t>
  </si>
  <si>
    <t>Dranitsina, AS (corresponding author), Taras Shevchenko Natl Univ Kyiv, Inst Biol, Res Lab Biochem, Kiev, Ukraine.</t>
  </si>
  <si>
    <t>Grebinyk, Dmytro/H-9910-2018; Beregova, Tetyana V./P-9379-2018; Ostapchenko, Liudmyla/ISV-1878-2023</t>
  </si>
  <si>
    <t>Grebinyk, Dmytro/0000-0001-7065-346X; Ostapchenko, Liudmyla/0000-0001-7181-6048</t>
  </si>
  <si>
    <t>RJPBCS RESEARCH JOURNAL PHARMACEUTICAL, BIOLOGICAL &amp; CHEMICAL SCIENCES</t>
  </si>
  <si>
    <t>PRODDATUR</t>
  </si>
  <si>
    <t>RJPBCS RESEARCH JOURNAL PHARMACEUTICAL, BIOLOGICAL &amp; CHEMICAL SCIENCES, PRODDATUR, 00000, INDIA</t>
  </si>
  <si>
    <t>0975-8585</t>
  </si>
  <si>
    <t>RES J PHARM BIOL CHE</t>
  </si>
  <si>
    <t>Res. J. Pharm. Biol. Chem. Sci.</t>
  </si>
  <si>
    <t>FG7KI</t>
  </si>
  <si>
    <t>WOS:000410595600278</t>
  </si>
  <si>
    <t>Öztürk, B; Tonay, MA; Öz, MI; Yilmaz, IN; Ergül, HA; Öztürk, AA</t>
  </si>
  <si>
    <t>Ozturk, Bayram; Tonay, Mehmet Arda; Oz, Melike Idil; Yilmaz, Izzet Noyan; Ergul, Halim Aytekin; Ozturk, Ayaka Amaha</t>
  </si>
  <si>
    <t>Sightings of cetaceans in the Western Antarctic Peninsula during the first joint Turkish-Ukrainian Antarctic Research Expedition, 2016</t>
  </si>
  <si>
    <t>TURKISH JOURNAL OF ZOOLOGY</t>
  </si>
  <si>
    <t>Western Antarctic Peninsula; Argentine islands; humpback whale; Antarctic minke whale</t>
  </si>
  <si>
    <t>WHALES MEGAPTERA-NOVAEANGLIAE; HUMPBACK WHALES; MOVEMENTS; WATERS</t>
  </si>
  <si>
    <t>During the cetacean surveys of the first Turkish-Ukrainian Antarctic Research Expedition conducted on 5-8 April 2016 in Lemaire Channel, Penola Strait, Flanders Bay, southern Gerlache Strait, and southern Neumayer Channel in the Western Antarctic Peninsula, 74 humpback whales (Megaptera novaeangliae) in 24 sightings and 11 Antarctic minke whales (Balaenoptera bonaerensis) in 6 sightings were recorded. The overall encounter rate (number of sightings/survey effort in nautical miles) was 0.333 (0.266 for humpback whale, 0.066 for Antarctic minke whale). According to the sighting distribution, the Lemaire Channel and Penola Strait are important migration and feeding habitats for whales. Five humpback whales were photo-identified individually by natural features on their flukes; one of them had a match in the Antarctic Humpback Whale Catalogue. The matched individual was first recorded on 30 August 2007 at Salinas, Ecuador.</t>
  </si>
  <si>
    <t>[Ozturk, Bayram; Tonay, Mehmet Arda; Ozturk, Ayaka Amaha] Istanbul Univ, Fac Fisheries, Istanbul, Turkey; [Ozturk, Bayram; Tonay, Mehmet Arda; Oz, Melike Idil; Ozturk, Ayaka Amaha] Turkish Marine Res Fdn TUDAV, Istanbul, Turkey; [Oz, Melike Idil] Canakkale Onsekiz Mart Univ, Gokceada Sch Appl Sci, Canakkale, Turkey; [Yilmaz, Izzet Noyan] Istanbul Univ, Inst Marine Sci &amp; Management, Istanbul, Turkey; [Ergul, Halim Aytekin] Kocaeli Univ, Fac Sci &amp; Arts, Dept Biol, Kocaeli, Turkey</t>
  </si>
  <si>
    <t>Istanbul University; Turkish Marine Research Foundation; Canakkale Onsekiz Mart University; Istanbul University; Kocaeli University</t>
  </si>
  <si>
    <t>Öztürk, B (corresponding author), Istanbul Univ, Fac Fisheries, Istanbul, Turkey.;Öztürk, B (corresponding author), Turkish Marine Res Fdn TUDAV, Istanbul, Turkey.</t>
  </si>
  <si>
    <t>ozturkb@istanbul.edu.tr</t>
  </si>
  <si>
    <t>Ergül, Halim Aytekin/F-5129-2018; Yilmaz, Izzet Noyan N/B-4279-2013; Öztürk, Bayram/AAD-6228-2020; Tonay, Arda M./AAF-5092-2019; Öz, Melike idil/JQW-2918-2023; Ozturk, Ayaka Amaha/AAD-6380-2020; Tonay, Arda M/GSI-9532-2022; Amaha Ozturk, Ayaka/AAB-8197-2022; Ozturk, Ayaka Amaha/ABI-4939-2020</t>
  </si>
  <si>
    <t>Öztürk, Bayram/0000-0001-7844-2448; Tonay, Arda M./0000-0003-2718-9328; Öz, Melike idil/0000-0001-9235-7530; Tonay, Arda M/0000-0003-2718-9328;</t>
  </si>
  <si>
    <t>Scientific Research Projects Coordination Unit of Istanbul University [FOA-2016-20530]; Scientific Research Projects Coordination Unit of Kocaeli University [KOU-BAPB-2016/026]; first joint Turkish-Ukrainian Antarctic Research Expedition</t>
  </si>
  <si>
    <t>Scientific Research Projects Coordination Unit of Istanbul University(Istanbul University); Scientific Research Projects Coordination Unit of Kocaeli University(Kocaeli University); first joint Turkish-Ukrainian Antarctic Research Expedition</t>
  </si>
  <si>
    <t>This work was supported by the Scientific Research Projects Coordination Unit of Istanbul University (Project Number FOA-2016-20530), the Scientific Research Projects Coordination Unit of Kocaeli University (Project Number KOU-BAPB-2016/026), and the first joint Turkish-Ukrainian Antarctic Research Expedition. The authors thank the captain and crew of M/V Ushuaia as well as the Turkish and Ukrainian authorities for their valuable help and support; Joffrey Mandersloot for permission to use his photograph; Judith M Allen and Thomas Fernald from Allied Whale, College of the Atlantic, for their help in the matching process; Steve Geelhoed of IMARES for his comments on our draft; and Dr Ricardo Bastida and Dr Grace K Escobar for their kind help.</t>
  </si>
  <si>
    <t>Tubitak Scientific &amp; Technological Research Council Turkey</t>
  </si>
  <si>
    <t>ANKARA</t>
  </si>
  <si>
    <t>ATATURK BULVARI NO 221, KAVAKLIDERE, TR-06100 ANKARA, TURKIYE</t>
  </si>
  <si>
    <t>1300-0179</t>
  </si>
  <si>
    <t>1303-6114</t>
  </si>
  <si>
    <t>TURK J ZOOL</t>
  </si>
  <si>
    <t>Turk. J. Zool.</t>
  </si>
  <si>
    <t>10.3906/zoo-1611-48</t>
  </si>
  <si>
    <t>FI6SV</t>
  </si>
  <si>
    <t>WOS:000412127600020</t>
  </si>
  <si>
    <t>Kanao, M; Park, Y; Murayama, T; Lee, WS; Yamamoto, M; Yoo, HJ; Ishihara, Y; Kim, J; Oi, T; Jung, JH</t>
  </si>
  <si>
    <t>Kanao, Masaki; Park, Yongcheol; Murayama, Takahiko; Lee, Won Sang; Yamamoto, Masa-yuki; Yoo, Hyun Jae; Ishihara, Yoshiaki; Kim, Jinseok; Oi, Takuma; Jung, Jin Hoon</t>
  </si>
  <si>
    <t>Characteristic atmosphere and ocean interaction in the coastal and marine environment inferred from infrasound at Terra Nova Bay, Antarctica - observation and initial data -</t>
  </si>
  <si>
    <t>EAST ANTARCTICA; RIFT SYSTEM; STATION; ARRAY</t>
  </si>
  <si>
    <t>Characteristic features of infrasound waves observed in the Antarctic reveal physical interaction involving surface environments around the continent and Southern Ocean. In December 2015, an infrasound array (100 m spacing) by three sensors (Chaparral Physics Model 25, with a detectable frequency range of 0.1-200 Hz), together with a broadband barometer (Digiquartz Nano-Resolution Model 6000-16B Barometer, with a detectable frequency range of 0-22 Hz) were installed at Jang Bogo Staion, Terra Nova Bay, Antarctica by the Korea Arctic and Antarctic Research Program (KAARP). The initial data recorded by the broadband barometer contain characteristic signals originated by surrounding environment, including local noises such as katabatic winds. Clear oceanic signals (microbaroms) are continuously recorded as the background noises with predominant frequency around 0.2 s at the austral summer on December. Variations in their frequency context and amplitude strength in Power Spectral Density had been affected by an evolution of sea-ice surrounding the Terra Nova Bay. Microbaroms measurement is a useful tool for characterizing ocean wave climate, complementing other oceanographic, cryospheric and geophysical data in the Antarctic. Continuous infrasound observations in Terra Nova Bay attain a new proxy for monitoring environmental changes such as the global warming, involving cryosphere dynamics, as well as the volcanic eruptions in Northern Victoria Land, Antarctica.</t>
  </si>
  <si>
    <t>[Kanao, Masaki] Natl Inst Polar Res, Res Org Informat &amp; Syst, Tokyo, Japan; [Park, Yongcheol; Lee, Won Sang; Yoo, Hyun Jae; Kim, Jinseok; Jung, Jin Hoon] Korea Polar Res Inst, Incheon, South Korea; [Murayama, Takahiko] Japan Weather Assoc, Tokyo, Japan; [Yamamoto, Masa-yuki] Kochi Univ Technol, Kami, Japan; [Ishihara, Yoshiaki] Japan Aerosp Explorat Agcy, Sagamihara, Kanagawa, Japan; [Oi, Takuma] Toho Mercantile Co Ltd, Tokyo, Japan</t>
  </si>
  <si>
    <t>Research Organization of Information &amp; Systems (ROIS); National Institute of Polar Research (NIPR) - Japan; Korea Polar Research Institute (KOPRI); Kochi University Technology; Japan Aerospace Exploration Agency (JAXA)</t>
  </si>
  <si>
    <t>Kanao, M (corresponding author), Natl Inst Polar Res, Res Org Informat &amp; Syst, Tokyo, Japan.</t>
  </si>
  <si>
    <t>kanao@nipr.ac.jp</t>
  </si>
  <si>
    <t>Ishihara, Yoshiaki/A-8499-2011</t>
  </si>
  <si>
    <t>Lee, Won Sang/0000-0002-1074-7672</t>
  </si>
  <si>
    <t>JSPS KAKENHI [26241010]; Grants-in-Aid for Scientific Research [26241010]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</si>
  <si>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</si>
  <si>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would like to express our sincere appreciation to many collaborators for infrasound observations at Jang Bogo Station, as well as related members of the Korea Arctic and Antarctic Research Program. This work was supported by JSPS KAKENHI Grant Number 26241010 (P.I. by Dr. Masaki Kanao). The authors would like to express appreciaiton for an anonymous reviewer and an editorial office of Annals of Geophysics for publishing this paper.</t>
  </si>
  <si>
    <t>A0554</t>
  </si>
  <si>
    <t>10.4401/ag-7364</t>
  </si>
  <si>
    <t>WOS:000411625200004</t>
  </si>
  <si>
    <t>De Vido, S</t>
  </si>
  <si>
    <t>De Vido, Sara</t>
  </si>
  <si>
    <t>The future of the draft UN Convention on international terrorism</t>
  </si>
  <si>
    <t>JOURNAL OF CRIMINOLOGICAL RESEARCH POLICY AND PRACTICE</t>
  </si>
  <si>
    <t>International law; Antarctic system; ICAO system; International terrorism; List; Terrorist organisations</t>
  </si>
  <si>
    <t>SECURITY-COUNCIL; SANCTIONS; COMMITTEE</t>
  </si>
  <si>
    <t>Purpose - The paper is meant to analyse the debate over the revival of a comprehensive convention on international terrorism. The purpose of this paper is to demonstrate that a United Nations ( UN) Convention on international terrorism is still necessary - provided that it is updated considering the new challenges that have recently emerged - and could be complemented by an annex containing the list of terrorist organisations, the determination of which is of common concern of the entire international community. Design/methodology/approach - The analysis is conducted from an international law perspective. The paper uses a comparative perspective - counter-terrorism, Antarctic and ICAO system - to support the main argument. Findings - The paper proposes an annex to the convention including a list of terrorist organisations. Some terrorist organisations are unanimously labelled as terrorist and therefore this list will be useful in developing cooperation among States. A system of revision is also presented; a system which emphasises the role of the UN Ombudsperson. Research limitations/implications - The proposal presented does not delve into the content of the convention which should be based on the draft prepared by the UN General Assembly ad hoc Committee and should take into account the most recent forms of terrorism. The paper does not provide an answer to all the questions, and it does not linger over the tragedy of civilians living in Syria and Iraq who have been deprived - starting long before the rise of the Islamic State - of their land and lives. Practical implications - Revival of the debate on the draft convention - proposal for a renewed role of the Ombudsperson - legal implications of a list annexed to a convention on international terrorism - importance of multilateral cooperation in the field. Originality/value - The paper is innovative in changing the perspective of the problem. The point of view regarding the definition of international terrorism has usually been the following: to find a common definition of international terrorism trying to overcome all the differences regarding general exceptions. The proposed perspective is to find the lowest common denominator for the definition and to identify organisations on which States cannot but agree on their condemnation.</t>
  </si>
  <si>
    <t>[De Vido, Sara] Univ Ca Foscari, Dept Econ, Int Law, Venice, Italy</t>
  </si>
  <si>
    <t>Universita Ca Foscari Venezia</t>
  </si>
  <si>
    <t>De Vido, S (corresponding author), Univ Ca Foscari, Dept Econ, Int Law, Venice, Italy.</t>
  </si>
  <si>
    <t>sara.devido@unive.it</t>
  </si>
  <si>
    <t>De Vido, Sara/0000-0001-8581-9354</t>
  </si>
  <si>
    <t>EMERALD GROUP PUBLISHING LTD</t>
  </si>
  <si>
    <t>BINGLEY</t>
  </si>
  <si>
    <t>HOWARD HOUSE, WAGON LANE, BINGLEY BD16 1WA, W YORKSHIRE, ENGLAND</t>
  </si>
  <si>
    <t>2056-3841</t>
  </si>
  <si>
    <t>2056-385X</t>
  </si>
  <si>
    <t>J CRIMINOL RES POLIC</t>
  </si>
  <si>
    <t>J. Criminol. Res. Policy Pract.</t>
  </si>
  <si>
    <t>10.1108/JCRPP-09-2016-0020</t>
  </si>
  <si>
    <t>Criminology &amp; Penology</t>
  </si>
  <si>
    <t>FH5QQ</t>
  </si>
  <si>
    <t>WOS:000411223200007</t>
  </si>
  <si>
    <t>Sandtorv, AH</t>
  </si>
  <si>
    <t>Atta-ur-Rahman</t>
  </si>
  <si>
    <t>Sandtorv, A. H.</t>
  </si>
  <si>
    <t>Chemical Synthesis of Meridianins and Related Derivatives</t>
  </si>
  <si>
    <t>STUDIES IN NATURAL PRODUCTS CHEMISTRY, VOL 53</t>
  </si>
  <si>
    <t>Studies in Natural Products Chemistry</t>
  </si>
  <si>
    <t>VITRO ANTIPROLIFERATIVE ACTIVITIES; PALLADIUM-CATALYZED BORYLATION; ANTARCTIC COLONIAL ASCIDIANS; TUNICATE APLIDIUM-MERIDIANUM; KINASE INHIBITORY POTENCIES; ONE-POT SYNTHESIS; INDOLE ALKALOIDS; NEURODEGENERATIVE DISEASES; CONCISE SYNTHESES; NATURAL-PRODUCTS</t>
  </si>
  <si>
    <t>[Sandtorv, A. H.] Portland State Univ, Dept Chem, Portland, OR 97207 USA</t>
  </si>
  <si>
    <t>Portland State University</t>
  </si>
  <si>
    <t>Sandtorv, AH (corresponding author), Portland State Univ, Dept Chem, Portland, OR 97207 USA.</t>
  </si>
  <si>
    <t>sandtorv@pdx.edu</t>
  </si>
  <si>
    <t>1572-5995</t>
  </si>
  <si>
    <t>978-0-444-63936-3; 978-0-444-63930-1</t>
  </si>
  <si>
    <t>STUD NAT PROD CHEM</t>
  </si>
  <si>
    <t>Stud. Nat. Prod. Chem.</t>
  </si>
  <si>
    <t>10.1016/B978-0-444-63930-1.00005-3</t>
  </si>
  <si>
    <t>Chemistry, Medicinal</t>
  </si>
  <si>
    <t>Pharmacology &amp; Pharmacy</t>
  </si>
  <si>
    <t>BI3PS</t>
  </si>
  <si>
    <t>WOS:000411362500006</t>
  </si>
  <si>
    <t>Fullana, N; Braña, V; Marizcurrena, JJ; Morales, D; Betton, JM; Marín, M; Castro-Sowinski, S</t>
  </si>
  <si>
    <t>Fullana, Natalia; Brana, Victoria; Marizcurrena, Juan Jose; Morales, Danilo; Betton, Jean-Michel; Marin, Monica; Castro-Sowinski, Susana</t>
  </si>
  <si>
    <t>Identification, recombinant production and partial biochemical characterization of an extracellular cold-active serine-metalloprotease from an Antarctic Pseudomonas isolate</t>
  </si>
  <si>
    <t>AIMS BIOENGINEERING</t>
  </si>
  <si>
    <t>protease; Pseudomonas; cold-adaptation; surfactant; Antarctica</t>
  </si>
  <si>
    <t>ALKALINE PROTEASE; PURIFICATION; SECRETION; STRAINS; LIPASE</t>
  </si>
  <si>
    <t>Cold-adapted enzymes are generally derived from psychrophilic microorganisms and have features that make them very attractive for industrial and biotechnological purposes. In this work, we identified a 50 kDa extracellular protease (MP10) from the Antarctic isolate Pseudomonas sp. AU10. The enzyme was produced by recombinant DNA technology, purified using immobilized metal affinity chromatography and partially characterized. MP10 is an alkaline thermosensitive serinemetallo protease with optimal activity at pH 8.0 and 40 degrees C, in the presence of 1.5 mM Ca2+. MP10 showed 100% residual activity and stability ( up to 60 min) when incubated with 7% of non-ionic surfactants (Triton X-100, Tween-80 and Tween-20) and 1.5% of the oxidizing agent hydrogen peroxide. The 3D MP10 structure was predicted and compared with the crystal structure of mesophilic homologous protease produced by Pseudomonas aeruginosa PA01 (reference strain) and other proteases, showing similarity in surface area and volume of proteins, but a significantly higher surface pocket area and volume of MP10. The observed differences presumably may explain the enhanced activity of MP10 for substrate binding at low temperatures. These results give insight to the potential use of MP10 in developing new biotechnologically processes active at low to moderate temperatures, probably with focus in the detergent industry.</t>
  </si>
  <si>
    <t>[Fullana, Natalia; Marizcurrena, Juan Jose; Morales, Danilo; Marin, Monica; Castro-Sowinski, Susana] Univ Republica, Biochem &amp; Mol Biol Fac Sci, Igua 4225, Montevideo, Uruguay; [Brana, Victoria; Castro-Sowinski, Susana] Inst Clemente Estable, Mol Microbiol, Ave Italia 3318, Montevideo, Uruguay; [Betton, Jean-Michel] Inst Pasteur, CNRS 2185, Unite Biochim Struct, URA, F-75724 Paris 15, France</t>
  </si>
  <si>
    <t>Universidad de la Republica, Uruguay; Instituto de Investigaciones Biologicas Clemente Estable Uruguay; Le Reseau International des Instituts Pasteur (RIIP); Universite Paris Cite; Institut Pasteur Paris</t>
  </si>
  <si>
    <t>Castro-Sowinski, S (corresponding author), Univ Republica, Biochem &amp; Mol Biol Fac Sci, Igua 4225, Montevideo, Uruguay.;Castro-Sowinski, S (corresponding author), Inst Clemente Estable, Mol Microbiol, Ave Italia 3318, Montevideo, Uruguay.</t>
  </si>
  <si>
    <t>s.castro.sow@gmail.com</t>
  </si>
  <si>
    <t>Marizcurrena, Juan Jose/AAB-5482-2020; Marin, Monica-Paula/Y-3387-2019</t>
  </si>
  <si>
    <t>Marizcurrena, Juan Jose/0000-0002-5191-1539</t>
  </si>
  <si>
    <t>PEDECIBA; ANII (Agencia Nacional de Investigacion e Innovacion)</t>
  </si>
  <si>
    <t>This work was partially supported by PEDECIBA. The work of NF was supported by ANII (Agencia Nacional de Investigacion e Innovacion). The authors thank the Uruguayan Antarctic Institute for the logistic support during the stay in the Antarctic Base Artigas. S. Castro-Sowinski, M. Marin and J. J. Marizcurrena are members of the National Research System (SNI, Sistema Nacional de Investigadores).</t>
  </si>
  <si>
    <t>AMER INST MATHEMATICAL SCIENCES-AIMS</t>
  </si>
  <si>
    <t>SPRINGFIELD</t>
  </si>
  <si>
    <t>PO BOX 2604, SPRINGFIELD, MO 65801-2604 USA</t>
  </si>
  <si>
    <t>2375-1495</t>
  </si>
  <si>
    <t>AIMS BIOENG</t>
  </si>
  <si>
    <t>AIMS Bioeng.</t>
  </si>
  <si>
    <t>10.3934/bioeng.2017.3.386</t>
  </si>
  <si>
    <t>Engineering, Biomedical</t>
  </si>
  <si>
    <t>FI0VG</t>
  </si>
  <si>
    <t>WOS:000411647300005</t>
  </si>
  <si>
    <t>Richichi, A; Law, N; Tasuya, O; Fors, O; Dennihy, E; Carlberg, R; Tuthill, P; Ashley, M; Soonthornthum, B</t>
  </si>
  <si>
    <t>Balega, YY; Kudryavtsev, DO; Romanyuk, II; Yakunin, IA</t>
  </si>
  <si>
    <t>Richichi, A.; Law, N.; Tasuya, O.; Fors, O.; Dennihy, E.; Carlberg, R.; Tuthill, P.; Ashley, M.; Soonthornthum, B.</t>
  </si>
  <si>
    <t>EVA: Evryscopes for the Arctic and Antarctic</t>
  </si>
  <si>
    <t>STARS: FROM COLLAPSE TO COLLAPSE</t>
  </si>
  <si>
    <t>Astronomical Society of the Pacific Conference Series</t>
  </si>
  <si>
    <t>Conference on Stars: From Collapse to Collapse</t>
  </si>
  <si>
    <t>OCT 03-07, 2016</t>
  </si>
  <si>
    <t>Special Astrophys Observ, Nizhny Arkhyz, RUSSIA</t>
  </si>
  <si>
    <t>Special Astrophys Observ</t>
  </si>
  <si>
    <t>We are planning to build Evryscopes for the Arctic and Antarctic (EVA), which will enable the first ultra-wide-field, high-cadence sky survey to be conducted from both Poles. The system is based on the successful Evryscope concept, already installed and operating since 2015 at Cerro Tololo in Chile with the following characteristics: robotic operation, 8,000 square degrees simultaneous sky coverage, 2-minute cadence, milli-mag level photometric accuracy, pipelined data processing for real-time analysis and full data storage for off-line analysis. The initial location proposed for EVA is the PEARL station on Ellesmere island; later also an antarctic location shall be selected. The science goals enabled by this unique combination of almost full-sky coverage and high temporal cadence are numerous, and include among others ground-breaking forays in the fields of exoplanets, stellar variability, asteroseismology, supernovae and other transient events. The EVA polar locations will enable uninterrupted observations lasting in principle over weeks and months. EVA will be fully robotic. We discuss the EVA science drivers and expected results, and present the logistics and the outline of the project which is expected to have first light in the winter of 2018. The cost envelope can be kept very competitive thanks to R&amp;D already employed for the CTIO Evryscope, to our experience with both Arctic and Antarctic locations, and to the use of off-the-shelf components.</t>
  </si>
  <si>
    <t>[Richichi, A.; Tasuya, O.; Soonthornthum, B.] NARIT, Chiang Mai, Thailand; [Law, N.; Fors, O.; Dennihy, E.] Univ N Carolina, Chapel Hill, NC 27515 USA; [Carlberg, R.] Univ Toronto, Toronto, ON, Canada; [Tuthill, P.] Univ Sydney, Sydney, NSW, Australia; [Ashley, M.] Univ New South Wales, Sydney, NSW, Australia</t>
  </si>
  <si>
    <t>University of North Carolina; University of North Carolina Chapel Hill; University of Toronto; University of Sydney; University of New South Wales Sydney</t>
  </si>
  <si>
    <t>Richichi, A (corresponding author), NARIT, Chiang Mai, Thailand.</t>
  </si>
  <si>
    <t>andrea4work@gmail.com</t>
  </si>
  <si>
    <t>Fors Aldrich, Octavi/H-5368-2018; Law, Nicholas/HZK-7073-2023; Fors Aldrich, Octavi/GRX-0695-2022; Aldrich, Octavi Fors/T-4701-2019</t>
  </si>
  <si>
    <t>Fors Aldrich, Octavi/0000-0002-4227-9308; Fors Aldrich, Octavi/0000-0002-4227-9308; Aldrich, Octavi Fors/0000-0002-4227-9308</t>
  </si>
  <si>
    <t>ASTRONOMICAL SOC PACIFIC</t>
  </si>
  <si>
    <t>390 ASHTON AVE, SAN FRANCISCO, CA 94112 USA</t>
  </si>
  <si>
    <t>978-1-58381-904-3</t>
  </si>
  <si>
    <t>ASTR SOC P</t>
  </si>
  <si>
    <t>BI4HA</t>
  </si>
  <si>
    <t>WOS:000411770200135</t>
  </si>
  <si>
    <t>Disher, TJ; Anglin, KM; Anania, EC; Kring, JP</t>
  </si>
  <si>
    <t>Disher, Timothy J.; Anglin, Katlin M.; Anania, Emily C.; Kring, Jason P.</t>
  </si>
  <si>
    <t>The Seed Colony Model: An Approach for Colonizing Space</t>
  </si>
  <si>
    <t>2017 IEEE AEROSPACE CONFERENCE</t>
  </si>
  <si>
    <t>IEEE Aerospace Conference Proceedings</t>
  </si>
  <si>
    <t>IEEE Aerospace Conference</t>
  </si>
  <si>
    <t>MAR 04-11, 2017</t>
  </si>
  <si>
    <t>Big Sky, MT</t>
  </si>
  <si>
    <t>PSYCHOLOGICAL OWNERSHIP; BEHAVIOR; WORK; COLONIZATION; PERFORMANCE; MARS</t>
  </si>
  <si>
    <t>As humans reach out to the stars in a variety of exploration missions beyond Earth, eventually mission architecture will include constructing a permanent habitat and establishing a colony. Given the complexity of colonizing a planet, such as Mars, a great deal of research, simulation, and planning is necessary to identify the optimal model for colonization in order to guide future mission architectures. One such model, which has received a significant amount of publicity, is that of the Mars One organization and its plan to build a colony one piece at a time by sending up small groups of people every 2 years. Although critique of this or any model can focus on a number of predominantly engineering-focused areas, from propulsion technologies to habitat design, the present paper uses a human factors perspective to evaluate the Mars One approach. This critique also presents a more theoretically sound model, the Seed Colony Model (SCM), and, using existing literature, outlines how this approach has advantages for future colonization missions that highlights the human element. Specifically, a variety of potential psychosocial issues for a colonization mission are explored. These include territoriality caused by an individual experiencing ownership of some aspect of their environment, in-group/out-group mentality due to social constructs, conflict escalation, the lack of a finish line, and self-selection. All issues are examined in the context of a permanent, sustainable colony. Because human space operations have been limited to smaller groups and had the capability to return to Earth in case of medical emergencies, these previous space-flight missions are not an accurate representation of the social aspects of a Mars colonization mission. To better represent the conditions, the current paper focuses on experiences from Antarctic missions, where larger teams spend a winter-over in that hostile environment with very limited opportunities for re-supply or extraction. Although colonization missions are in the distant future, this paper aims to develop the theory to support the need for human-centric design considerations for these missions. The SCM, when employed for mission planning, will provide an over-arching system architecture to improve mission success rates. This model is designed around the interactions and complexities of a team, and individual differences in crewmembers, and injects decades of research in the behavioral sciences into the plan to send humans to live on another planet.</t>
  </si>
  <si>
    <t>[Disher, Timothy J.; Anglin, Katlin M.; Anania, Emily C.; Kring, Jason P.] Embry Riddle Aeronaut Univ, Human Factors, 600 S Clyde Morris Blvd, Daytona Beach, FL 32114 USA</t>
  </si>
  <si>
    <t>Embry-Riddle Aeronautical University</t>
  </si>
  <si>
    <t>Disher, TJ (corresponding author), Embry Riddle Aeronaut Univ, Human Factors, 600 S Clyde Morris Blvd, Daytona Beach, FL 32114 USA.</t>
  </si>
  <si>
    <t>dishert@my.erau.edu; Anglink1@my.erau.edu; Ananiae1@my.erau.edu; Jason.kring@erau.edu</t>
  </si>
  <si>
    <t>1095-323X</t>
  </si>
  <si>
    <t>978-1-5090-1613-6</t>
  </si>
  <si>
    <t>AEROSP CONF PROC</t>
  </si>
  <si>
    <t>Engineering, Aerospace</t>
  </si>
  <si>
    <t>BI0WD</t>
  </si>
  <si>
    <t>WOS:000405199504015</t>
  </si>
  <si>
    <t>Schoombie, S; Dilley, BJ; Davies, D; Glass, T; Ryan, PG</t>
  </si>
  <si>
    <t>Schoombie, Stefan; Dilley, Ben J.; Davies, Delia; Glass, Trevor; Ryan, Peter G.</t>
  </si>
  <si>
    <t>The distribution of breeding Sooty Albatrosses from the three most important breeding sites: Gough, Tristan and the Prince Edward Islands</t>
  </si>
  <si>
    <t>Breeding; distribution; Endangered species; telemetry; seabird</t>
  </si>
  <si>
    <t>POPULATION TRENDS; GIANT PETRELS; SEABIRD; PHOEBETRIA; ATTACHMENT; BEHAVIOR; BYCATCH; SPACE; OCEAN; SEA</t>
  </si>
  <si>
    <t>Sooty Albatrosses (Phoebetria fusca; Endangered) breed only on sub-Antarctic islands in the South Atlantic and south-west Indian Oceans, with most of the population at Gough Island (approximate to 37%), the Prince Edward Islands (approximate to 24%) and the Tristan da Cunha archipelago (approximate to 20%). Breeding Sooty Albatrosses from all three of these populations were tracked during the incubation and broodguard periods. Birds from Marion Island (Prince Edwards) ranged farther north, despite being the most southerly of the three study sites. Tristan-Gough Sooty Albatrosses concentrated mostly around the Sub-Antarctic Front (SAF) in the southern Atlantic Ocean, whereas Marion birds were associated with both the SAF and the Sub-Tropical Front (STF) in the southern Indian Ocean. Our tracking data describe where 80% of breeding Sooty Albatrosses forage during the incubation and brood-guard period, including the first records of birds from Marion and Tristan. Such data are important to identify key areas where these threatened birds need protection from mortality on long-line fishing gear. Overlap with the distribution of tuna long-line effort was greater for Sooty Albatrosses from Tristan da Cunha and Gough Island than for Marion birds, suggesting that birds breeding at Atlantic colonies might be at greater risk of bycatch mortality in this fishery.</t>
  </si>
  <si>
    <t>[Schoombie, Stefan; Dilley, Ben J.; Davies, Delia; Ryan, Peter G.] Univ Cape Town, DST NRF Ctr Excellence, Percy FitzPatrick Inst African Ornithol, Rondebosch, South Africa; [Dilley, Ben J.; Davies, Delia; Glass, Trevor] Govt Tristan da Cunha, Tristan Conservat Dept, Edinburgh Seven Seas, Tristan Da Cunh, St Helena</t>
  </si>
  <si>
    <t>University of Cape Town; National Research Foundation - South Africa</t>
  </si>
  <si>
    <t>Schoombie, S (corresponding author), Univ Cape Town, DST NRF Ctr Excellence, Percy FitzPatrick Inst African Ornithol, Rondebosch, South Africa.</t>
  </si>
  <si>
    <t>schoombie@gmail.com</t>
  </si>
  <si>
    <t>Percy FitzPatrick Centre of Excellence; South African National Antarctic Programme, through the National Research Foundation</t>
  </si>
  <si>
    <t>We thank Janine Schoombie, Alexis Osborne, Chris Jones, Kim Stevens, Michelle Risi, Vonica Perold, Tegan CarpenterKling, Werner Kuntz, George Swain and Julian Repetto for deployment and retrieval of GPS loggers. Rob Ronconi assisted with deployment of PTTs on Inaccessible Island. The Department of Environmental Affairs provided logistic support on Gough and Marion Islands. Funding was provided by the Percy FitzPatrick Centre of Excellence and the South African National Antarctic Programme, through the National Research Foundation. Permission to work on seabirds at the Prince Edward Islands and Tristan da Cunha was granted by the Prince Edward Islands' Management Committee and the Tristan government, respectively. All research was approved by the University of Cape Town's Science Faculty Animal Ethics Committee.</t>
  </si>
  <si>
    <t>10.1080/01584197.2017.1289804</t>
  </si>
  <si>
    <t>WOS:000410664600006</t>
  </si>
  <si>
    <t>Botero-Delgadillo, E; Serrano, D; Orellana, N; Poblete, Y; Vásquez, RA</t>
  </si>
  <si>
    <t>Botero-Delgadillo, Esteban; Serrano, Daniela; Orellana, Nicole; Poblete, Yanina; Vasquez, Rodrigo A.</t>
  </si>
  <si>
    <t>Effects of temperature and time constraints on the seasonal variation in nest morphology of the Thorn-tailed Rayadito (Aphrastura spinicauda)</t>
  </si>
  <si>
    <t>Nest composition; nest structure; intra-seasonal variation; southern Chile; sub-Antarctic forests</t>
  </si>
  <si>
    <t>FEATHERS; COSTS; TIT</t>
  </si>
  <si>
    <t>Environmental adjustment is the most invoked explanation for intra-seasonal variation in bird nest morphology. However, time constraints may also be important, coming as a trade-off between the costs of nest building and the requirement to coincide a breeding attempt with maximal food supply. We describe the seasonal variation in nest morphology of the Thorn-tailed Rayadito (Aphrastura spinicauda) in a sub-Antarctic population in southern Chile, and investigate its relation with the seasonal fluctuation of ambient temperature (an 'environmental adjustment' hypothesis) and time constraints (an 'optimal time frame' hypothesis). As the breeding season progressed, rayaditos spent fewer days building their nests, built smaller nests, and used less animal-derived insulating material. After statistically removing the effects of daily temperatures on nest building periods and nest morphological measurements, we observed no seasonal trend in the amount of insulating material used, supporting an 'environmental adjustment' explanation. However, the nest building periods, nest depth, and nest dry weight still showed a seasonal trend, favouring an 'optimal time frame' hypothesis. Our study shows that both temperature fluctuations and time constraints can affect different components of the nesting ecology of birds, and that nest morphology is the consequence of distinct non-mutually exclusive forces.</t>
  </si>
  <si>
    <t>[Botero-Delgadillo, Esteban; Poblete, Yanina; Vasquez, Rodrigo A.] Univ Chile, Fac Ciencias, Inst Ecol &amp; Biodiversidad, Dept Ciencias Ecol, Santiago, Chile; [Serrano, Daniela; Orellana, Nicole] Univ Metropolitana Ciencias Educ, Fac Ciencias Basicas, Dept Biol, Santiago, Chile</t>
  </si>
  <si>
    <t>Universidad de Chile; Universidad Metropolitana de Ciencias de la Educacion (UMCE)</t>
  </si>
  <si>
    <t>Botero-Delgadillo, E (corresponding author), Univ Chile, Fac Ciencias, Inst Ecol &amp; Biodiversidad, Dept Ciencias Ecol, Santiago, Chile.</t>
  </si>
  <si>
    <t>eboterod@gmail.com</t>
  </si>
  <si>
    <t>Botero-Delgadillo, Esteban/AAC-7069-2020; Poblete, Yanina/GXA-0464-2022</t>
  </si>
  <si>
    <t>Botero-Delgadillo, Esteban/0000-0003-4653-7551; Poblete, Yanina/0000-0002-1378-9341; Vasquez, Rodrigo A/0000-0003-4309-6789</t>
  </si>
  <si>
    <t>FONDECYT [1100359, 1140548, ICM-P05-002]; CONICYT-Chile [PFB-23, 63130100, 21130127]; COLFUTURO [PCB-2012]</t>
  </si>
  <si>
    <t>FONDECYT(Comision Nacional de Investigacion Cientifica y Tecnologica (CONICYT)CONICYT FONDECYT); CONICYT-Chile(Comision Nacional de Investigacion Cientifica y Tecnologica (CONICYT)); COLFUTURO</t>
  </si>
  <si>
    <t>This work was supported by FONDECYT [1100359], [1140548], [ICM-P05-002]; CONICYT-Chile [PFB-23], [63130100], [21130127]; COLFUTURO [PCB-2012].</t>
  </si>
  <si>
    <t>10.1080/01584197.2017.1298400</t>
  </si>
  <si>
    <t>WOS:000410664600008</t>
  </si>
  <si>
    <t>Fabri-Ruiz, S; Saucède, T; Danis, B; David, B</t>
  </si>
  <si>
    <t>Fabri-Ruiz, Salome; Saucede, Thomas; Danis, Bruno; David, Bruno</t>
  </si>
  <si>
    <t>Southern Ocean Echinoids database - An updated version of Antarctic, Sub-Antarctic and cold temperate echinoid database</t>
  </si>
  <si>
    <t>Echinoidea; oceanographic features; Southern Ocean; Antarctic; Sub-Antarctic</t>
  </si>
  <si>
    <t>SPECIES DISTRIBUTION MODELS; SEA-URCHIN; ECHINODERMATA; SCHIZASTERIDAE; NORTHERN; SPATANGOIDA; DIVERSITY; KNOWLEDGE; PATTERNS; MAGELLAN</t>
  </si>
  <si>
    <t>This database includes over 7,100 georeferenced occurrence records of sea urchins (Echinodermata: Echinoidea) obtained from samples collected in the Southern Ocean (+180 degrees W/+180 degrees E; -35 degrees/78 degrees S) during oceanographic cruises led over 150 years, from 1872 to 2015. Echinoids are common organisms of Southern Ocean benthic communities. A total of 201 species is recorded, which display contrasting depth ranges and distribution patterns across austral provinces and bioregions. Echinoid species show various ecological traits including different nutrition and reproductive strategies. Information on taxonomy, sampling sites, and sampling sources are also made available. Environmental descriptors that are relevant to echinoid ecology are also made available for the study area (-180 degrees W/+180 degrees E; -45 degrees/-78 degrees S) and for the following decades: 1955-1964, 1965-1974, 1975-1984, 1985-1994 and 1995-2012. They were compiled from different sources and transformed to the same grid cell resolution of 0.1 degrees per pixel. We also provide future projections for environmental descriptors established based on the Bio-Oracle database (Tyberghein et al. 2012).</t>
  </si>
  <si>
    <t>[Fabri-Ruiz, Salome; Saucede, Thomas; David, Bruno] Univ Bourgogne Franche Comte, UMR Biogeosci 6282, CNRS, 6 Bd Gabriel, F-21000 Dijon, France; [Danis, Bruno] Univ Libre Bruxelles, Marine Biol Lab, CP160-15,50 Ave FD Roosevelt, B-1050 Brussels, Belgium; [David, Bruno] Museum Natl Hist Nat, 57 Rue Cuvier, F-75005 Paris, France</t>
  </si>
  <si>
    <t>Universite de Bourgogne; Centre National de la Recherche Scientifique (CNRS); Universite Libre de Bruxelles; Museum National d'Histoire Naturelle (MNHN)</t>
  </si>
  <si>
    <t>Fabri-Ruiz, S (corresponding author), Univ Bourgogne Franche Comte, UMR Biogeosci 6282, CNRS, 6 Bd Gabriel, F-21000 Dijon, France.</t>
  </si>
  <si>
    <t>salome.fabriruiz@gmail.com</t>
  </si>
  <si>
    <t>Danis, Bruno/AAS-8444-2021</t>
  </si>
  <si>
    <t>Danis, Bruno/0000-0002-9037-7623</t>
  </si>
  <si>
    <t>French Ministry of Higher Education and Research; Belgian Science Policy Office (BELSPO) [BR/132/A1/vERSO]</t>
  </si>
  <si>
    <t>French Ministry of Higher Education and Research; Belgian Science Policy Office (BELSPO)(Belgian Federal Science Policy Office)</t>
  </si>
  <si>
    <t>SF-R's work is supported by a PhD grant from French Ministry of Higher Education and Research. The project is a contribution to Biogeosciences laboratory (CNRS UMR6292) and contribution #15 to the vERSO project (www.versoproject.be) funded by the Belgian Science Policy Office (BELSPO, contract no BR/132/A1/vERSO).</t>
  </si>
  <si>
    <t>10.3897/zookeys.697.14746</t>
  </si>
  <si>
    <t>FH4KQ</t>
  </si>
  <si>
    <t>WOS:000411123100001</t>
  </si>
  <si>
    <t>Elshishka, M; Lazarova, S; Radoslavov, G; Hristov, P; Peneva, VK</t>
  </si>
  <si>
    <t>Elshishka, Milka; Lazarova, Stela; Radoslavov, Georgi; Hristov, Peter; Peneva, Vlada K.</t>
  </si>
  <si>
    <t>Biogeography and phylogenetic position of Enchodeloides signyensis (Loof, 1975), gen. n., comb. n. from Maritime Antarctic (Nematoda, Nordiidae)</t>
  </si>
  <si>
    <t>Distribution; morphology; SEM; SNPs; taxonomy; 18S and D2-D3 rDNA</t>
  </si>
  <si>
    <t>MOLECULAR CHARACTERIZATION; DORYLAIMIDA; IRAN; THORNE; INFERENCE; MRBAYES; FAUNA</t>
  </si>
  <si>
    <t>The taxonomic position of the endemic Antarctic species Enchodeloides signyensis (Loof, 1975), gen. n., comb. n. (= Enchodelus signyensis Loof, 1975) is discussed on the basis of morphological study, including SEM, morphometric data, postembryonic observations, and sequence data of 18S rDNA and the D2-D3 expansion fragments of the large subunit rDNA. A number of characters such as the cuticle and stoma structures, including the presence of moderately developed cuticularised ring around the oral aperture, peculiarities of pharynx expansion, size and position of the posterior pair of pharyngeal nuclei, a less complex uterus, and the position of a posterior ventromedian supplement show that this species differs substantially from the other members of the genus Enchodelus. Furthermore, both the 18S and 28S rDNA-based phylogenetic trees of the Enchodelus sequences available in the GenBank formed two distinct clusters with E. signyensis being a part of a well-supported group with species of the genus Pungentus; therefore, it is proposed that its taxonomic position should be reconsidered.</t>
  </si>
  <si>
    <t>[Elshishka, Milka; Lazarova, Stela; Radoslavov, Georgi; Hristov, Peter; Peneva, Vlada K.] Bulgarian Acad Sci, Inst Biodivers &amp; Ecosyst Res, 2 Gagarin St, BU-1113 Sofia, Bulgaria</t>
  </si>
  <si>
    <t>Peneva, VK (corresponding author), Bulgarian Acad Sci, Inst Biodivers &amp; Ecosyst Res, 2 Gagarin St, BU-1113 Sofia, Bulgaria.</t>
  </si>
  <si>
    <t>esn.2006@gmail.com</t>
  </si>
  <si>
    <t>Peneva, Vlada/IZP-8890-2023; Lazarova, Stela/AAL-1582-2020; Radoslavov, Georgi/AAO-5374-2021; hristov, peter/AAV-7827-2020</t>
  </si>
  <si>
    <t>Lazarova, Stela/0000-0002-6386-5074; Radoslavov, Georgi/0000-0003-0550-3291; Hristov, Peter/0000-0002-7756-4571</t>
  </si>
  <si>
    <t>program for career development of young scientists, Bulgarian Academy of Sciences [64/27.04.2016]</t>
  </si>
  <si>
    <t>program for career development of young scientists, Bulgarian Academy of Sciences</t>
  </si>
  <si>
    <t>This study was funded by the project No 64/27.04.2016, the program for career development of young scientists, Bulgarian Academy of Sciences. The authors are thankful to Dr. R. Zidarova, Dr. N. Chipev, Dr. R. Mecheva, and D. Apostolova for collecting the samples, to Mr. N. Dimitrov (Faculty of Chemistry and Pharmacy, Sofia University) for his assistance with SEM photographs. The authors are thankful to Dr Nathalie Yonow from Swansea University, Wales, UK for critical reading of the manuscript and helpful suggestions.</t>
  </si>
  <si>
    <t>10.3897/zookeys.697.13770</t>
  </si>
  <si>
    <t>WOS:000411123100003</t>
  </si>
  <si>
    <t>Zhang, Y; Li, J; Zhou, LB</t>
  </si>
  <si>
    <t>Zhang, Yu; Li, Jing; Zhou, Libo</t>
  </si>
  <si>
    <t>The Relationship between Polar Vortex and Ozone Depletion in the Antarctic Stratosphere during the Period 1979-2016</t>
  </si>
  <si>
    <t>ADVANCES IN METEOROLOGY</t>
  </si>
  <si>
    <t>VARIABILITY; CIRCULATION; REANALYSIS; TRANSPORT</t>
  </si>
  <si>
    <t>As the most prominent feature of the polar stratosphere, polar vortex results in widespread changes in the climate system, especially in the ozone variation. In this study, the linkage between polar vortex and ozone depletion in Antarctic stratosphere during the period 1979-2016 is investigated; we calculated the averaged total column ozone within the polar vortex based on the vortex edge (-28.8PVU PV contour) instead of the geographical region defined by latitude and longitude. Results from the spatial patterns of ozone and polar vortex suggest that the morphological changes of polar vortex can impact the horizontal distribution of ozone and the ozone within the polar vortex experiences a severe depletion in spring. The negative relationship between ozone and polar vortex in terms of vortex area, strength, and breakup time is significant with the correlation coefficients of -0.57, -0.68, and -0.76, respectively. The breakup time of polar vortex plays an important role in the relation between polar vortex and ozone depletion with the highest-value correlation coefficient among three polar vortex parameters. Furthermore, the possible mechanism for this relationship is also discussed in this article.</t>
  </si>
  <si>
    <t>[Zhang, Yu] Guangdong Ocean Univ, Coll Ocean &amp; Meteorol, Zhanjiang, Peoples R China; [Zhang, Yu; Li, Jing] SUNY Albany, Dept Atmospher &amp; Environm Sci, Albany, NY 12222 USA; [Li, Jing] Chinese Acad Sci, Inst Atmospher Phys, Nansen Zhu Int Res Ctr, Beijing, Peoples R China; [Li, Jing] Univ Chinese Acad Sci, Beijing, Peoples R China; [Zhou, Libo] Chinese Acad Sci, Inst Atmospher Phys, LAPC, Beijing, Peoples R China; [Zhou, Libo] Chinese Acad Sci, Inst Atmospher Phys, LAOR, Beijing, Peoples R China</t>
  </si>
  <si>
    <t>Guangdong Ocean University; State University of New York (SUNY) System; State University of New York (SUNY) Albany; Chinese Academy of Sciences; Institute of Atmospheric Physics, CAS; Chinese Academy of Sciences; University of Chinese Academy of Sciences, CAS; Chinese Academy of Sciences; Institute of Atmospheric Physics, CAS; Chinese Academy of Sciences; Institute of Atmospheric Physics, CAS</t>
  </si>
  <si>
    <t>Zhou, LB (corresponding author), Chinese Acad Sci, Inst Atmospher Phys, LAPC, Beijing, Peoples R China.;Zhou, LB (corresponding author), Chinese Acad Sci, Inst Atmospher Phys, LAOR, Beijing, Peoples R China.</t>
  </si>
  <si>
    <t>zhoulibo@mail.iap.ac.cn</t>
  </si>
  <si>
    <t>IAP, LAPC/AAI-6390-2020; Zhou, Libo/AAH-6087-2020</t>
  </si>
  <si>
    <t>IAP, LAPC/0000-0002-6195-7362; Zhang, Yu/0000-0003-0727-0372; Li, Jing/0000-0002-1856-7078</t>
  </si>
  <si>
    <t>project entitled Comprehensive Evaluation of Polar Areas in Global and Regional Climate Changes [CHINARE]; project entitled Polar Environment Comprehensive Investigation and Assessment [CHINARE]; Program for Scientific Research Start-Up Funds of Guangdong Ocean University entitled Air-Sea Interaction and Data Assimilation; Program for Scientific Research Start-Up Funds of Guangdong Ocean University entitled Effect of the Tropical Sea Surface Temperature Anomaly on the Polar Stratosphere</t>
  </si>
  <si>
    <t>Funding for this project was provided by the projects entitled Comprehensive Evaluation of Polar Areas in Global and Regional Climate Changes [CHINARE2015-2019] and Polar Environment Comprehensive Investigation and Assessment [CHINARE2015-2019] and the Program for Scientific Research Start-Up Funds of Guangdong Ocean University entitled Air-Sea Interaction and Data Assimilation and Effect of the Tropical Sea Surface Temperature Anomaly on the Polar Stratosphere.</t>
  </si>
  <si>
    <t>HINDAWI LTD</t>
  </si>
  <si>
    <t>ADAM HOUSE, 3RD FLR, 1 FITZROY SQ, LONDON, W1T 5HF, ENGLAND</t>
  </si>
  <si>
    <t>1687-9309</t>
  </si>
  <si>
    <t>1687-9317</t>
  </si>
  <si>
    <t>ADV METEOROL</t>
  </si>
  <si>
    <t>Adv. Meteorol.</t>
  </si>
  <si>
    <t>10.1155/2017/3078079</t>
  </si>
  <si>
    <t>FG5HN</t>
  </si>
  <si>
    <t>WOS:000410341500001</t>
  </si>
  <si>
    <t>Jones, G; Johnson, MI</t>
  </si>
  <si>
    <t>Jones, Gareth; Johnson, Mark I.</t>
  </si>
  <si>
    <t>Painful shoulder? Remote clinical management of a Field Guide with shoulder pain and loss of shoulder function in Antarctica</t>
  </si>
  <si>
    <t>AUSTRALASIAN MEDICAL JOURNAL</t>
  </si>
  <si>
    <t>Subacromial impingement syndrome; Antarctica; remote workers; load</t>
  </si>
  <si>
    <t>CORRELATE; SYMPTOMS</t>
  </si>
  <si>
    <t>We report the case of a female Field Guide based at the British Antarctic Survey's Rothera Science Research Station on Adelaide Island, Antarctica who independently contacted a physiotherapist specialising in climbing related injuries (GJ) located in the UK. for a second opinion. The Field Guide was experiencing significant work difficulties due to shoulder pain and subsequent loss of function particularly in overhead activities. The case raises important issues about the medical management of Field Guides operating in extreme environments and remote locations.</t>
  </si>
  <si>
    <t>[Jones, Gareth; Johnson, Mark I.] Leeds Beckett Univ, Sch Clin &amp; Appl Sci, Ctr Pain Res, Leeds LS1 3HE, W Yorkshire, England</t>
  </si>
  <si>
    <t>Leeds Beckett University</t>
  </si>
  <si>
    <t>Jones, G (corresponding author), Leeds Beckett Univ, Sch Clin &amp; Appl Sci, Ctr Pain Res, Leeds LS1 3HE, W Yorkshire, England.</t>
  </si>
  <si>
    <t>g.j.jones@Leedsbeckett.ac.uk</t>
  </si>
  <si>
    <t>AUSTRALASIAN MEDICAL JOURNAL PTY LTD</t>
  </si>
  <si>
    <t>PERTH</t>
  </si>
  <si>
    <t>HILLARYS, GPO BOX 367, PERTH, WA 6923, AUSTRALIA</t>
  </si>
  <si>
    <t>1836-1935</t>
  </si>
  <si>
    <t>AUSTRALAS MED J</t>
  </si>
  <si>
    <t>Australas. Med. J.</t>
  </si>
  <si>
    <t>10.21767/AMJ.2017.2986</t>
  </si>
  <si>
    <t>FF4DO</t>
  </si>
  <si>
    <t>gold, Green Accepted</t>
  </si>
  <si>
    <t>WOS:000408882300004</t>
  </si>
  <si>
    <t>Sakerin, SM; Kabanov, DM; Polkin, VV; Radionov, VF; Holben, BN; Smirnov, A</t>
  </si>
  <si>
    <t>Sakerin, S. M.; Kabanov, D. M.; Polkin, V. V.; Radionov, V. F.; Holben, B. N.; Smirnov, A.</t>
  </si>
  <si>
    <t>Variations in Aerosol Optical and Microphysical Characteristics along the Route of Russian Antarctic Expeditions in the East Atlantic</t>
  </si>
  <si>
    <t>ATMOSPHERIC AND OCEANIC OPTICS</t>
  </si>
  <si>
    <t>aerosol optical depth; aerosol and black carbon concentrations; spatial distribution; East Atlantic; Southern Ocean</t>
  </si>
  <si>
    <t>AERONET; DEPTH; ATMOSPHERE; NETWORK; MASS</t>
  </si>
  <si>
    <t>The 12-year aerosol studies along the route of the Russian Antarctic Expeditions in the East Atlantic and the Southern Ocean are summarized. We analyzed the spatial distribution (with 5 degrees step in latitude), seasonal (November/April) variations, and interrelations of aerosol optical and microphysical characteristics. It is shown that the latitudinally average variations in aerosol parameters in the East Atlantic exceed one order of magnitude. The lowest (maximal) values are observed near Antarctica (in tropical zone): aerosol optical depth (0.5 mu m) varies from 0.02 to 0.5, number concentrations of small particles (d = 0.4-1 mu m) vary in the range 0.8-19 cm(-3), concentrations of large (d &gt; 1 mu m) particles vary in the range 0.04-2.2 cm(-3), and aerosol and black carbon mass concentrations vary in ranges 0.5-14 mu g/m(3) and 0.026-0.7 mu g/m(3).</t>
  </si>
  <si>
    <t>[Sakerin, S. M.; Kabanov, D. M.; Polkin, V. V.] Russian Acad Sci, Siberian Branch, VE Zuev Inst Atmospher Opt, Tomsk 634055, Russia; [Radionov, V. F.] Arctic &amp; Antarctic Res Inst, St Petersburg 199397, Russia; [Holben, B. N.; Smirnov, A.] NASA, Goddard Space Flight Ctr, Greenbelt, MD 20771 USA</t>
  </si>
  <si>
    <t>Zuev Institute of Atmospheric Optics, Siberian Branch of the Russian Academy of Sciences; Russian Academy of Sciences; Arctic &amp; Antarctic Research Institute; National Aeronautics &amp; Space Administration (NASA); NASA Goddard Space Flight Center</t>
  </si>
  <si>
    <t>Sakerin, SM (corresponding author), Russian Acad Sci, Siberian Branch, VE Zuev Inst Atmospher Opt, Tomsk 634055, Russia.</t>
  </si>
  <si>
    <t>sms@iao.ru; dkab@iao.ru; victor@iao.ru; vradion@aari.nw.ru; Brent.Holben@nasa.gov; Alexander.Smirnov-1@nasa.gov</t>
  </si>
  <si>
    <t>Sakerin, Sergey/A-6508-2014; Polkin, Victor/G-4153-2014; Kabanov, Dmitry/A-4871-2014; Radionov, Vladimir F./O-3038-2017; Kabanov, Dmitry M./A-5805-2014; Smirnov, Alexander/C-2121-2009</t>
  </si>
  <si>
    <t>Integrated Program of Basic Research, Siberian Branch, Russian Academy of Sciences [IX.133.3]</t>
  </si>
  <si>
    <t>Integrated Program of Basic Research, Siberian Branch, Russian Academy of Sciences</t>
  </si>
  <si>
    <t>This work was supported by the Integrated Program of Basic Research, Siberian Branch, Russian Academy of Sciences (project no. IX.133.3).</t>
  </si>
  <si>
    <t>PLEIADES PUBLISHING INC</t>
  </si>
  <si>
    <t>PLEIADES PUBLISHING INC, MOSCOW, 00000, RUSSIA</t>
  </si>
  <si>
    <t>0869-5695</t>
  </si>
  <si>
    <t>2070-0393</t>
  </si>
  <si>
    <t>ATMOS OCEAN OPT</t>
  </si>
  <si>
    <t>Atmos. Ocean. Opt.</t>
  </si>
  <si>
    <t>10.1134/S1024856017010122</t>
  </si>
  <si>
    <t>Optics</t>
  </si>
  <si>
    <t>FF2IP</t>
  </si>
  <si>
    <t>WOS:000408721400014</t>
  </si>
  <si>
    <t>Kotlyakov, VM; Glazovsky, AF; Moskalevsky, MY</t>
  </si>
  <si>
    <t>Kotlyakov, V. M.; Glazovsky, A. F.; Moskalevsky, M. Yu.</t>
  </si>
  <si>
    <t>Dynamics of the ice mass in Antarctica in the time of warming</t>
  </si>
  <si>
    <t>Antarctica; drainage basins; glacier mass balance; global warming; growth of ice mass; ice sheet; sea level</t>
  </si>
  <si>
    <t>SEA-LEVEL RISE; GLACIAL-ISOSTATIC ADJUSTMENT; GRACE; SHEET; BALANCE; SURFACE; GREENLAND; CLIMATE; GRAVITY; ACCUMULATION</t>
  </si>
  <si>
    <t>The modern age of global warming affect the general state of the Antarctic ice sheet and its mass balance. Studies of the Southern polar region of the Earth during the International Geophysical Year (1957-1958) called the assumption of growth in the modern ice mass in East Antarctica. However, with the development of new methods, this conclusion has been questioned. At the turn of the century the study of global processes Earth started to use the satellite radar or laser altimetry and satellite gravimetry, which allows determining change of different masses on the Earth, including ice bodies. From the beginning of the XXI century, these methods have been used to calculate the continental ice balance. In our study, we analyze different data of recent years, supporting the earlier conclusion on continued growth of the ice mass in East Antarctica. However, in West Antarctica and the Antarctic Peninsula, on the contrary, there is increased loss of ice, leveling the increased income of ice mass of in the Central Antarctica. So all in all in the modern era of global warming, the ice mass in Antarctica appears to be decreasing despite some growth of the East Antarctic ice sheet. Fluctuations of land ice mass reflect in the sea level variations, but in comparison with the scale of the Antarctic ice sheet its contribution to sea-level rise is not so significant. The main reason for this is that the mass accumulation in East Antarctica with significant probability prevails over the ice outflow.</t>
  </si>
  <si>
    <t>[Kotlyakov, V. M.; Glazovsky, A. F.; Moskalevsky, M. Yu.] Russian Acad Sci, Inst Geog, Moscow, Russia</t>
  </si>
  <si>
    <t>Kotlyakov, VM (corresponding author), Russian Acad Sci, Inst Geog, Moscow, Russia.</t>
  </si>
  <si>
    <t>vladkot6@gmail.com</t>
  </si>
  <si>
    <t>Glazovsky, Andrey/G-9060-2011</t>
  </si>
  <si>
    <t>Glazovsky, Andrey/0000-0001-6275-7517</t>
  </si>
  <si>
    <t>Russian Geographical Society [06/2016-(sic)]</t>
  </si>
  <si>
    <t>Russian Geographical Society</t>
  </si>
  <si>
    <t>This study was supported by the Russian Geographical Society (grant number 06/2016-(sic)).</t>
  </si>
  <si>
    <t>10.15356/2076-6734-2017-2-149-169</t>
  </si>
  <si>
    <t>FE5FH</t>
  </si>
  <si>
    <t>WOS:000408236900001</t>
  </si>
  <si>
    <t>Krass, MS</t>
  </si>
  <si>
    <t>Krass, M. S.</t>
  </si>
  <si>
    <t>Estimation of potential fresh water reserves in icebergs</t>
  </si>
  <si>
    <t>Antarctica; Antarctic icebergs; ecology; fresh water; stratified Lake Vanda; utilization of flat icebergs</t>
  </si>
  <si>
    <t>ANTARCTIC LAKE; VANDA</t>
  </si>
  <si>
    <t>According to the forecast of the global shortage of fresh water it is expected that the global demand for drinking water will be increased up to 400 km(3) per a year. As the main potential resources of drinking water it is proposed to use table Antarctic icebergs. Mathematical and phenomenological models of heat exchange between the icebergs and the environment, and a process of melting of ices floes in the warm sea water are discussed. The ablation processes on the daily and lower surfaces of icebergs at different modes of towing them to points of utilization is analyzed. The most optimal technology is to fill tankers with water taken from the freshwater layer under icebergs, and then subsequent delivery of the water to points of utilization. Using of the phenomenon of fresh-salt stratified Lake Vanda is considered as one of promising technologies of the industrial water production.</t>
  </si>
  <si>
    <t>[Krass, M. S.] Minist Econ Dev Russian Federat, Inst Macroecon Res, Moscow, Russia</t>
  </si>
  <si>
    <t>Krass, MS (corresponding author), Minist Econ Dev Russian Federat, Inst Macroecon Res, Moscow, Russia.</t>
  </si>
  <si>
    <t>vurga@mail.ru</t>
  </si>
  <si>
    <t>10.15356/2076-6734-2017-2-231-240</t>
  </si>
  <si>
    <t>WOS:000408236900007</t>
  </si>
  <si>
    <t>Ekaykin, AA; Vladimirova, DO; Lipenkov, VY</t>
  </si>
  <si>
    <t>Ekaykin, A. A.; Vladimirova, D. O.; Lipenkov, V. Ya.</t>
  </si>
  <si>
    <t>Variations of snow accumulation rate in Central Antarctica over the last 250 years</t>
  </si>
  <si>
    <t>Antarctica; ice cores; paleoclimate; snow accumulation rate; stable water isotopes</t>
  </si>
  <si>
    <t>The present-day global climate changes, very likely caused by anthropogenic activity, may potentially present a serious threat to the whole human civilization in a near future. In order to develop a plan of measures aimed at elimination of these threats and adaptation to these undesirable changes, one should deeply understand the mechanism of past and present (and thus, future) climatic changes of our planet. In this study we compare the present-day data of instrumental observations of the air temperature and snow accumulation rate performed in Central Antarctica (the Vostok station) with the reconstructed paleogeographic data on a variability of these parameters in the past. First of all, the Vostok station is shown to be differing from other East Antarctic stations due to relatively higher rate of warming (1.6 degrees C per 100 years) since 1958. At the same time, according to paleogeographic data, from the late eighteenth century to early twenty-first one the total warming amounted to about 1 degrees C, which is consistent with data from other Antarctic regions. So, we can make a conclusion with high probability that the 30-year period of 1985-2015 was the warmest over the last 2.5 centuries. As for the snow accumulation rate, the paleogeographic data on this contain a certain part of noise that does not allow reliable concluding. However, we found a statistically significant relationship between the rate of snow accumulation and air temperature. This means that with further rise of temperature in Central Antarctica, the rate of solid precipitation accumulation will increase there, thus partially compensating increasing of the sea level.</t>
  </si>
  <si>
    <t>[Ekaykin, A. A.; Vladimirova, D. O.; Lipenkov, V. Ya.] Arctic &amp; Antarctic Res Inst, St Petersburg, Russia; [Ekaykin, A. A.; Vladimirova, D. O.] St Petersburg State Univ, Inst Earth Sci, St Petersburg, Russia; [Vladimirova, D. O.] Univ Copenhagen, Niels Bohr Inst, Ctr Ice &amp; Climate, Copenhagen, Denmark</t>
  </si>
  <si>
    <t>Arctic &amp; Antarctic Research Institute; Saint Petersburg State University; University of Copenhagen; Niels Bohr Institute</t>
  </si>
  <si>
    <t>Ekaykin, AA (corresponding author), Arctic &amp; Antarctic Res Inst, St Petersburg, Russia.;Ekaykin, AA (corresponding author), St Petersburg State Univ, Inst Earth Sci, St Petersburg, Russia.</t>
  </si>
  <si>
    <t>This work was made under finance support of the Russian Geographical Society (grant No 06/2016-(sic)).</t>
  </si>
  <si>
    <t>10.15356/2076-6734-2017-1-5-9</t>
  </si>
  <si>
    <t>FE5FE</t>
  </si>
  <si>
    <t>WOS:000408236600002</t>
  </si>
  <si>
    <t>Lipenkov, VY; Ekaykin, AA; Alekhina, IA; Shibaev, YA; Kozachek, AV; Vladimirova, DO; Vasilev, NI; Preobrazhenskaya, AV</t>
  </si>
  <si>
    <t>Lipenkov, V. Ya.; Ekaykin, A. A.; Alekhina, I. A.; Shibaev, Yu. A.; Kozachek, A. V.; Vladimirova, D. O.; Vasilev, N. I.; Preobrazhenskaya, A. V.</t>
  </si>
  <si>
    <t>Evolution of climate, glaciation and subglacial environments of Antarctica from the deep ice core and Lake Vostok water sample studies (Key results of implementation of the Russian Science Foundation project, 2014-2016)</t>
  </si>
  <si>
    <t>development; environment; geochemical methods; ice cores; paleoclimate; research laboratory; Russian Science Foundation</t>
  </si>
  <si>
    <t>Work on the project focused on the following five areas: 1) field works in Antarctica at Vostok and Concordia stations; 2) experimental and theoretical studies in the field of ice core and paleoclimate research; 3) experimental and theoretical works related to the exploration of subglacial Lake Vostok; 4) development of technology and drilling equipment for deep ice coring and exploration of subglacial lakes; 5) upgrading the analytical instrumentation in the Climate and Environmental Research Laboratory (CERL) of the Arctic and Antarctic Research Institute. The main achievements in the field of ice core and paleoclimate research include 1) further elaboration of a new method of ice core dating, which is based on the link between air content of ice and local insolation, 2) investigation of the possible applications of the 17O-excess measurements in ice core to the paleoclimate research, 3) a better understanding of the mechanisms of the formation of relief-related variations in the isotopic content of an ice core drilled in the area of Antarctic megadunes, and 4) obtaining the first reliable data set on the variations of the 17O-excess in the Vostok core corresponding to marine isotope stage 11. As part of our studies of subglacial Lake Vostok, we have obtained a large body of new experimental data from the new ice core recovered from the 5G-3 borehole to the surface of the subglacial lake. Stacked profiles of isotopic composition, gas content and the size and orientation of the ice crystals in the lake ice have been composed from the data of three replicate cores from boreholes 5G-1, 5G-2 and 5G-3. The study reveals that the concentration of gases in the lake water beneath Vostok is unexpectedly low. A clear signature of the melt water in the surface layer of the lake, which is subject to refreezing on the icy ceiling of Lake Vostok, has been discerned in the three different properties of the accreted ice (the ice texture, the isotopic and gas content of the ice). These sets of data indicate in concert that poor mixing of the melt (and hydrothermal) water with the resident lake water and pronounced spatial and/or temporal variability of local hydrological conditions are likely to be the characteristics of the southern end of the lake. A considerable part of the funding allocated by the RSF to this project was used for upgrading the analytical instrumentation for ice core studies in the CERL of AARI. Using this grant, we purchased and started working with the Picarro L-2140i, a new-generation laser mass analyzer, and set the upgraded mass spectrometer Delta V Plus into operation. The new equipment was used to carry out research planned as part of the project, including the setting up and carrying out of new measurements of 17. in ice cores.</t>
  </si>
  <si>
    <t>[Lipenkov, V. Ya.; Ekaykin, A. A.; Alekhina, I. A.; Shibaev, Yu. A.; Kozachek, A. V.; Vladimirova, D. O.; Preobrazhenskaya, A. V.] Arctic &amp; Antarctic Res Inst, St Petersburg, Russia; [Ekaykin, A. A.] St Petersburg State Univ, Insitute Erath Sci, St Petersburg, Russia; [Vasilev, N. I.] St Petersburg Min Univ, St Petersburg, Russia</t>
  </si>
  <si>
    <t>Arctic &amp; Antarctic Research Institute; Saint Petersburg State University; Saint Petersburg Mining University</t>
  </si>
  <si>
    <t>Lipenkov, VY (corresponding author), Arctic &amp; Antarctic Res Inst, St Petersburg, Russia.</t>
  </si>
  <si>
    <t>lipenkov@aari.ru</t>
  </si>
  <si>
    <t>Vasilyev, Nikolay I./AAS-2261-2020; Kozachek, Anna V./JCE-4791-2023; Kozachek, Anna V./Q-4543-2016; Alekhina, Irina/L-2163-2016</t>
  </si>
  <si>
    <t>Vasilyev, Nikolay I./0000-0002-2279-699X; Kozachek, Anna V./0000-0002-9704-8064; Alekhina, Irina/0000-0001-9820-8675</t>
  </si>
  <si>
    <t>The research was financially supported by the Russian Science Foundation, grant no. 14-27-00030.</t>
  </si>
  <si>
    <t>10.15356/2076-6734-2017-1-133-141</t>
  </si>
  <si>
    <t>WOS:000408236600012</t>
  </si>
  <si>
    <t>Deaconu, C</t>
  </si>
  <si>
    <t>Buitink, S; Horandel, JR; DeJong, S; Lahmann, R; Nahnhauer, R; Scholten, O</t>
  </si>
  <si>
    <t>Deaconu, Cosmin</t>
  </si>
  <si>
    <t>ANITA Collaboration</t>
  </si>
  <si>
    <t>Updates from the ANITA Experiment</t>
  </si>
  <si>
    <t>7TH INTERNATIONAL CONFERENCE ON ACOUSTIC AND RADIO EEV NEUTRINO DETECTION ACTIVITIES (ARENA 2016)</t>
  </si>
  <si>
    <t>7th International Conference on Acoustic and Radio EeV Neutrino Detection Activities (ARENA)</t>
  </si>
  <si>
    <t>JUN 07-10, 2016</t>
  </si>
  <si>
    <t>Groningen, NETHERLANDS</t>
  </si>
  <si>
    <t>The ANtarctic Impulsive Transient Antenna (ANITA) collaboration deploys balloon-borne interferometric antenna payloads that fly at 37 km above Antarctica. The primary goal is detection of Askaryan emission from cosmogenic neutrinos interacting in the Antarctic ice. In addition, ANITA has proven sensitive to radio signals from extended air showers. Here, we provide a review of the results of previous missions, with a special focus on recent results, and a preview of our upcoming mission.</t>
  </si>
  <si>
    <t>[Deaconu, Cosmin; ANITA Collaboration] Univ Chicago, Kavli Inst Cosmol Phys, 5640 South Ellis Ave, Chicago, IL 60637 USA</t>
  </si>
  <si>
    <t>Deaconu, C (corresponding author), Univ Chicago, Kavli Inst Cosmol Phys, 5640 South Ellis Ave, Chicago, IL 60637 USA.</t>
  </si>
  <si>
    <t>Deaconu, Cosmin/0000-0002-4953-6397</t>
  </si>
  <si>
    <t>NASA; Columbia Scientific Balloon Facility; National Science Foundation; Department of Energy, High Energy Physics Division</t>
  </si>
  <si>
    <t>NASA(National Aeronautics &amp; Space Administration (NASA)); Columbia Scientific Balloon Facility; National Science Foundation(National Science Foundation (NSF)); Department of Energy, High Energy Physics Division(United States Department of Energy (DOE))</t>
  </si>
  <si>
    <t>The ANITA program has had three successful flights. The analysis of the third flight is still ongoing. Due to triggering on horizontally-polarized events, it is expected to measure additional EAS events, perhaps shedding additional light on the unexpected event from ANITA-1. ANITA-4 is to fly soon, which will address many of the shortcomings of the previous flight. ANITA acknowledges generous support from NASA, the Columbia Scientific Balloon Facility, the National Science Foundation, and the Department of Energy, High Energy Physics Division.</t>
  </si>
  <si>
    <t>978-2-7598-9015-6</t>
  </si>
  <si>
    <t>10.1051/epjconf/201713501008</t>
  </si>
  <si>
    <t>BI2AU</t>
  </si>
  <si>
    <t>WOS:000407847700008</t>
  </si>
  <si>
    <t>Clary, RM; Sharpe, T</t>
  </si>
  <si>
    <t>Mayer, W; Clary, RM; Azuela, LP; Mota, TS; Wolkowicz, S</t>
  </si>
  <si>
    <t>Clary, Renee M.; Sharpe, Tom</t>
  </si>
  <si>
    <t>The furthest end of the Earth: the role of geological research in Antarctic exploration, 1895-1922</t>
  </si>
  <si>
    <t>HISTORY OF GEOSCIENCE: CELEBRATING 50 YEARS OF INHIGEO</t>
  </si>
  <si>
    <t>Geological Society Special Publication</t>
  </si>
  <si>
    <t>EXPEDITION; SCIENCE</t>
  </si>
  <si>
    <t>Following the 1895 Sixth International Geographical Congress declaration that Antarctica was the greatest goal in exploration, an intensive period of Antarctic Exploration (1895-1922) was ushered in with multiple expeditions to the South Polar regions. These often included geological exploration in their scientific programmes. During this period, evidence for the geological links between the Antarctic Peninsula and the Andes was gathered, the outline stratigraphy of the Transantarctic Mountains deciphered and the first studies of Antarctica's palaeontology undertaken, in addition to the attainment of the Geographical South Pole.</t>
  </si>
  <si>
    <t>[Clary, Renee M.] Mississippi State Univ, Dept Geosci, Box 5448, Mississippi State, MS 39762 USA; [Sharpe, Tom] Lyme Regis Museum, Bridge St, Lyme Regis DT7 3QA, Dorset, England; [Sharpe, Tom] Cardiff Univ, Ctr Lifelong Learning, Senghennydd Rd, Cardiff CF24 4AG, S Glam, Wales</t>
  </si>
  <si>
    <t>Mississippi State University; Cardiff University</t>
  </si>
  <si>
    <t>Clary, RM (corresponding author), Mississippi State Univ, Dept Geosci, Box 5448, Mississippi State, MS 39762 USA.</t>
  </si>
  <si>
    <t>rclary@geosci.msstate.edu</t>
  </si>
  <si>
    <t>GEOLOGICAL SOC PUBLISHING HOUSE</t>
  </si>
  <si>
    <t>BATH</t>
  </si>
  <si>
    <t>UNIT 7, BRASSMILL ENTERPRISE CTR, BRASSMILL LANE, BATH BA1 3JN, AVON, ENGLAND</t>
  </si>
  <si>
    <t>0305-8719</t>
  </si>
  <si>
    <t>978-1-78620-269-7</t>
  </si>
  <si>
    <t>GEOL SOC SPEC PUBL</t>
  </si>
  <si>
    <t>Geol. Soc. Spec. Publ.</t>
  </si>
  <si>
    <t>10.1144/SP442.28</t>
  </si>
  <si>
    <t>Geology; History &amp; Philosophy Of Science</t>
  </si>
  <si>
    <t>Geology; History &amp; Philosophy of Science</t>
  </si>
  <si>
    <t>BI0FP</t>
  </si>
  <si>
    <t>WOS:000404752200037</t>
  </si>
  <si>
    <t>Chetverova, AA; Fedorova, IV; Frolova, LA; Nigamatzyanova, GR; Skorospekhova, TV; Shadrina, AA</t>
  </si>
  <si>
    <t>Chetverova, A. A.; Fedorova, I. V.; Frolova, L. A.; Nigamatzyanova, G. R.; Skorospekhova, T. V.; Shadrina, A. A.</t>
  </si>
  <si>
    <t>On the Specifics of Formation of the Qualitative Characteristics of Waters and Sediments in the Lena River Delta</t>
  </si>
  <si>
    <t>UCHENYE ZAPISKI KAZANSKOGO UNIVERSITETA-SERIYA ESTESTVENNYE NAUKI</t>
  </si>
  <si>
    <t>Lena River delta; hydrology; hydrochemistry; geochemistry of river sediments; hydrobiology; zooplankton</t>
  </si>
  <si>
    <t>GEOCHEMISTRY; HYDROLOGY; SIBERIA</t>
  </si>
  <si>
    <t>The paper considers the qualitative characteristics (chemical composition of waters and sediments, biological diversity) of the Lena runoff and their transformation as a result of the biogeochemical processes taking place in the delta region. The hydrological, hydrochemical, geochemical (chemical composition of river sediments), and hydrobiological description of the delta branches at the current stage has been provided. The Lena delta branches are characterized by a wide variety of water discharge values and hydrodynamic conditions. It has been revealed that the hydrochemical composition of the delta is specific due to the dominance of hydrocarbonates and calcium ions, pH 6.9-7.9, high oxygen saturation conditions (more than 100 % sat.) throughout the water column because of wind activity, high concentrations of dissolved silica (1.1-2.7 mg/L) and iron (0.01-0.07 mg/L) if compared to the world's mean values in natural freshwater bodies, and low concentrations of trace elements (mainly below the detection limits). The concentrations of nitrates and phosphates have been estimated in the range of 2.6-34.7 mu g/L and 3.1-26.2 mu g/L, respectively. The bottom and suspended sediments have been assigned to the siliceous type (Si/Al varies from 4.2 to 18 mu g/L). The results of the analysis of hydrodynamic conditions, hydrobiological features, geochemical indices, as well as data of the statistical factor analysis, have shown chemical elements redistribution dependencies. Several factors determining the chemical composition of water and sediments in the Lena River delta have been distinguished. The interpretation of these factors reflects the influence of river catchment area, cryogenic processes in the river delta, and biogeochemical processes. Based on the modern multidisciplinary research performed in the Lena delta, it has been demonstrated that processes leading to an inhomogeneous distribution of chemical elements between water (dissolved fraction), suspended matter, and bottom sediments occur in the delta of the river.</t>
  </si>
  <si>
    <t>[Chetverova, A. A.; Fedorova, I. V.; Shadrina, A. A.] St Petersburg State Univ, St Petersburg 199034, Russia; [Chetverova, A. A.; Fedorova, I. V.; Skorospekhova, T. V.] Arctic &amp; Antarctic Res Inst, St Petersburg 199397, Russia; [Frolova, L. A.; Nigamatzyanova, G. R.] Kazan Fed Univ, Kazan 420008, Russia</t>
  </si>
  <si>
    <t>Saint Petersburg State University; Arctic &amp; Antarctic Research Institute; Kazan Federal University</t>
  </si>
  <si>
    <t>Chetverova, AA (corresponding author), St Petersburg State Univ, St Petersburg 199034, Russia.;Chetverova, AA (corresponding author), Arctic &amp; Antarctic Res Inst, St Petersburg 199397, Russia.</t>
  </si>
  <si>
    <t>a.chetverova@gmail.com; ifedorova@otto.nw.ru; Larissa.Frolova@kpfu.ru; Gulnaraniga@mail.ru; Tanchiz@gmail.com; chilly.che@gmail.com</t>
  </si>
  <si>
    <t>Frolova, Larisa/JCE-4625-2023; Frolova, Larisa/K-8721-2015; Frolova, Larisa/ABF-2087-2020; Cheterova, Antonina/N-1019-2013; Fedorova, Irina/N-3436-2013</t>
  </si>
  <si>
    <t>Frolova, Larisa/0000-0001-8505-0151; Cheterova, Antonina/0000-0001-7461-3617; Fedorova, Irina/0000-0001-5370-427X</t>
  </si>
  <si>
    <t>Russian Foundation for basic Research [15-35-50566 mol_nr, 15-05-04442 A, 14-05-00787 A]; program for increasing the competitiveness of Kazan Federal University; Campaign 6 of St. Petersburg State University</t>
  </si>
  <si>
    <t>Russian Foundation for basic Research(Russian Foundation for Basic Research (RFBR)Spanish Government); program for increasing the competitiveness of Kazan Federal University; Campaign 6 of St. Petersburg State University</t>
  </si>
  <si>
    <t>The study was supported by the Russian Foundation for basic Research (projects nos. 15-35-50566 mol_nr, 15-05-04442 A, and 14-05-00787 A), as well as by the program for increasing the competitiveness of Kazan Federal University and the Campaign 6 of St. Petersburg State University.</t>
  </si>
  <si>
    <t>KAZAN FEDERAL UNIV</t>
  </si>
  <si>
    <t>KAZAN</t>
  </si>
  <si>
    <t>UL KREMLYOVSKAYA, 18, KAZAN, 420008, RUSSIA</t>
  </si>
  <si>
    <t>2542-064X</t>
  </si>
  <si>
    <t>2500-218X</t>
  </si>
  <si>
    <t>UCHENYE ZAP KAZAN UN</t>
  </si>
  <si>
    <t>Uchenye Zap. Kazan. Univ.-Ser. Estestvennye Nauki</t>
  </si>
  <si>
    <t>FB9WI</t>
  </si>
  <si>
    <t>WOS:000406489500008</t>
  </si>
  <si>
    <t>Vasilyev, NI; Leychenkov, GL; Zagrivny, EA</t>
  </si>
  <si>
    <t>Vasilyev, Nikolai I.; Leychenkov, German L.; Zagrivny, Eduard A.</t>
  </si>
  <si>
    <t>PROSPECTS OF OBTAINING SAMPLES OF BOTTOM SEDIMENTS FROM SUBGLACIAL LAKE VOSTOK</t>
  </si>
  <si>
    <t>JOURNAL OF MINING INSTITUTE</t>
  </si>
  <si>
    <t>Antarctica; drilling; borehole; subglacial lake; bottom sediments samples; coreice; geological section</t>
  </si>
  <si>
    <t>EAST ANTARCTICA; ICE; HISTORY</t>
  </si>
  <si>
    <t>The paper proves the timeliness of obtaining and examining bottom sediments from subglacial Lake Vostok. Predictive geological section of Lake Vostok and information value of bottom sediments have been examined. Severe requirements towards environmental security of lake examinations and sampling of bottom sediments rule out the use of conventional drilling technologies, as they would pollute the lake with injection liquid from the borehole. In order to carry out sampling of bottom sediments from the subglacial lake, it is proposed to use a dynamically balanced tool string, which enables rotary drilling without any external support on borehole walls to transmit counter torque. A theoretical analysis has been carried out to assess the operation of the tool string, which is a two-mass oscillatory electromechanical system of reciprocating and rotating motion (RRM) with two degrees of freedom.</t>
  </si>
  <si>
    <t>[Vasilyev, Nikolai I.; Zagrivny, Eduard A.] St Petersburg Min Univ, St Petersburg, Russia; [Leychenkov, German L.] St Petersburg State Univ, Inst Earth Sci, St Petersburg, Russia</t>
  </si>
  <si>
    <t>Saint Petersburg Mining University; Saint Petersburg State University</t>
  </si>
  <si>
    <t>Vasilyev, NI (corresponding author), St Petersburg Min Univ, St Petersburg, Russia.</t>
  </si>
  <si>
    <t>vasilev_n@mail.ru; german_l@mail.ru; zagrivniy@yandex.ru</t>
  </si>
  <si>
    <t>Vasilyev, Nikolay I./AAS-2261-2020; Zagrivniy, Eduard/B-8128-2019</t>
  </si>
  <si>
    <t>Vasilyev, Nikolay I./0000-0002-2279-699X; Zagrivniy, Eduard/0000-0001-7932-7417</t>
  </si>
  <si>
    <t>Russian Foundation for Basic Research [NK 14-05-93107/16, N 15-05-413]</t>
  </si>
  <si>
    <t>The authors thank Russian Antarctic Expedition for logistical procurement of this research, carried out with the support of Russian Foundation for Basic Research, project N NK 14-05-93107/16 and N 15-05-413.</t>
  </si>
  <si>
    <t>SAINT-PETERSBURG MINING UNIV</t>
  </si>
  <si>
    <t>SANKT-PETERSBURG</t>
  </si>
  <si>
    <t>SAINT-PETERSBURG MINING UNIV, SANKT-PETERSBURG, 00000, RUSSIA</t>
  </si>
  <si>
    <t>2411-3336</t>
  </si>
  <si>
    <t>2541-9404</t>
  </si>
  <si>
    <t>J MIN INST</t>
  </si>
  <si>
    <t>J. Min. Inst.</t>
  </si>
  <si>
    <t>10.18454/PMI.2017.2.199</t>
  </si>
  <si>
    <t>Mining &amp; Mineral Processing</t>
  </si>
  <si>
    <t>FC8CA</t>
  </si>
  <si>
    <t>WOS:000407068200007</t>
  </si>
  <si>
    <t>Ortiz-Espín, A; Morel, E; Juarranz, A; Guerrero, A; González, S; Jiménez, A; Sevilla, F</t>
  </si>
  <si>
    <t>Ortiz-Espin, Ana; Morel, Esther; Juarranz, Angeles; Guerrero, Antonio; Gonzalez, Salvador; Jimenez, Ana; Sevilla, Francisca</t>
  </si>
  <si>
    <t>An Extract from the Plant Deschampsia antarctica Protects Fibroblasts from Senescence Induced by Hydrogen Peroxide</t>
  </si>
  <si>
    <t>OXIDATIVE MEDICINE AND CELLULAR LONGEVITY</t>
  </si>
  <si>
    <t>INDUCED PREMATURE SENESCENCE; HUMAN SERUM-ALBUMIN; OXIDATIVE STRESS; TRANSCRIPTION FACTOR; CAFFEIC ACID; LIFE-SPAN; IN-VIVO; THIOREDOXIN; SIRTUINS; PROLIFERATION</t>
  </si>
  <si>
    <t>The Antarctic plant Deschampsia antarctica (DA) is able to survive in extreme conditions thanks to its special mechanism of protection against environmental aggressions. In this work, we investigated whether an aqueous extract of the plant (EDA) retains some of its defensive properties and is able to protect our skin against common external oxidants. We evaluated EDA over young human fibroblasts and exposed to H2O2, and we measured cell proliferation, viability, and senescence-associated beta-galactosidase (SA-beta-Gal). We also tested the expression of several senescence-associated proteins including sirtuin1, lamin A/C, the replicative protein PCNA, and the redox protein thioredoxin 2. We found that EDA promoted per se cell proliferation and viability and increased the expression of anti-senescence-related markers. Then, we selected a dose of H2O2 as an inductor of senescence in human fibroblasts, and we found that an EDA treatment 24 h prior H2O2 exposure increased fibroblast proliferation. EDA significantly inhibited the increase in SA-beta-Gal levels induced by H2O2 and promoted the expression of sirtuin 1 and lamin A/C proteins. Altogether, these results suggest that EDA protects human fibroblasts from cellular senescence induced by H2O2, pointing to this compound as a potential therapeutic agent to treat or prevent skin senescence.</t>
  </si>
  <si>
    <t>[Ortiz-Espin, Ana; Jimenez, Ana; Sevilla, Francisca] CSIC, Dept Stress Biol &amp; Plant Pathol, Ctr Edafol &amp; Biol Aplicada Segura, Campus Espinardo, Murcia 30100, Spain; [Morel, Esther; Juarranz, Angeles] Univ Autonoma Madrid, Fac Sci, Dept Biol, E-28049 Madrid, Spain; [Guerrero, Antonio] IFC SA Ind Farmaceut Cantabria, Madrid 28043, Spain; [Gonzalez, Salvador] Univ Alcala de Henares, Dept Med &amp; Med Specialties, Madrid 28805, Spain; [Gonzalez, Salvador] Mem Sloan Kettering Canc Ctr, Dermatol Serv, New York, NY USA</t>
  </si>
  <si>
    <t>Consejo Superior de Investigaciones Cientificas (CSIC); CSIC - Centro de Edafologia y Biologia Aplicada del Segura (CEBAS); Autonomous University of Madrid; Universidad de Alcala; Memorial Sloan Kettering Cancer Center</t>
  </si>
  <si>
    <t>Sevilla, F (corresponding author), CSIC, Dept Stress Biol &amp; Plant Pathol, Ctr Edafol &amp; Biol Aplicada Segura, Campus Espinardo, Murcia 30100, Spain.</t>
  </si>
  <si>
    <t>fsevilla@cebas.csic.es</t>
  </si>
  <si>
    <t>Jimenez, Ana/B-5229-2011; MOREL, ESTHER/AAC-7286-2021; Sevilla, Francisca/X-8632-2019; Gonzalez, Salvador/AFK-2480-2022; Juarranz, Angeles/L-2446-2013</t>
  </si>
  <si>
    <t>MOREL, ESTHER/0000-0002-4768-082X; Sevilla, Francisca/0000-0002-2986-1889; Gonzalez, Salvador/0000-0001-9282-4784; Juarranz, Angeles/0000-0002-6574-2887; Jimenez, Ana/0000-0003-0661-0750</t>
  </si>
  <si>
    <t>Industrial Farmaceutica Cantabria (IFC company) [OTT: 20159760]; Spanish Ministry of Economy and Competitiveness (MICINN) (FEDER) [BFU2014-52452-P]; Seneca Foundation from Murcia, Spain [19876/GERM/15]; IFC; Instituto de Salud Carlos III; MINECO; FEDER Funds</t>
  </si>
  <si>
    <t>Industrial Farmaceutica Cantabria (IFC company); Spanish Ministry of Economy and Competitiveness (MICINN) (FEDER); Seneca Foundation from Murcia, Spain(Fundacion Seneca); IFC; Instituto de Salud Carlos III(Instituto de Salud Carlos IIISpanish Government); MINECO(Spanish Government); FEDER Funds(European Union (EU))</t>
  </si>
  <si>
    <t>This work was supported by the Industrial Farmaceutica Cantabria (IFC company, OTT: 20159760), Spanish Ministry of Economy and Competitiveness (MICINN, Ref. BFU2014-52452-P cofinanced by FEDER) and Seneca Foundation from Murcia, Spain (Excellence Group: 19876/GERM/15). Salvador Gonzalez plays a consultant role for IFC that partially supported this research work. Esther Morel and Angeles Juarranz were supported by a Grant PI15/00974, from the Instituto de Salud Carlos III, MINECO and FEDER Funds. The authors thank Dr F. Pallardo (University of Valencia) for the kind gift of the Trx2 antibody.</t>
  </si>
  <si>
    <t>1942-0900</t>
  </si>
  <si>
    <t>1942-0994</t>
  </si>
  <si>
    <t>OXID MED CELL LONGEV</t>
  </si>
  <si>
    <t>Oxidative Med. Cell. Longev.</t>
  </si>
  <si>
    <t>10.1155/2017/2694945</t>
  </si>
  <si>
    <t>Cell Biology</t>
  </si>
  <si>
    <t>FE0CP</t>
  </si>
  <si>
    <t>WOS:000407888700001</t>
  </si>
  <si>
    <t>Wright, DW; Nowak, B; Oppedal, F; Bridle, A; Dempster, T</t>
  </si>
  <si>
    <t>Wright, Daniel W.; Nowak, Barbara; Oppedal, Frode; Bridle, Andrew; Dempster, Tim</t>
  </si>
  <si>
    <t>Free-living Neoparamoeba perurans depth distribution is mostly uniform in salmon cages, but reshaped by stratification and potentially extreme fish crowding</t>
  </si>
  <si>
    <t>AQUACULTURE ENVIRONMENT INTERACTIONS</t>
  </si>
  <si>
    <t>Amoebic gill disease; Neoparamoeba perurans; Salmo salar; Depth; Swimming density; Aquaculture</t>
  </si>
  <si>
    <t>AMEBIC-GILL-DISEASE; ATLANTIC SALMON; SALAR L.; SWIMMING DEPTH; SEA-CAGES; OXYGEN LEVELS; SALINITY; LIGHT; LICE; INFECTION</t>
  </si>
  <si>
    <t>Understanding the spatio-temporal positioning of hosts and their parasites in free-living states is useful in devising methods to diminish parasite encounters in animal production systems. We explored the potential for depth-based control methods of the amoebic gill disease (AGD) agent, Neoparamoeba perurans, in salmon mariculture systems by conducting: (1) depth-stratified N. perurans water sampling surveys in 2 years, and (2) a mensurative experiment comparing depth distributions of N. perurans and salmon hosts in commercial salmon sea-cages. From water sampling mostly at marine salinities, N. perurans abundance (quantitative PCR-derived cells l(-1)) varied among years, but overall, neither depth, time since freshwater bathing, temperature and salinity were predictors of N. perurans abundance. However, at 1 survey time, depth patterns in N. perurans abundance appeared during strong vertical salinity gradients following rainfall (at 1 site, salinity ranged between 14 and 35 g l(-1)), with greater numbers of cells below a less saline surface layer. This suggested that salinity mediates N. perurans depth distribution during intermittent halocline development. Fish depth distribution monitoring revealed intense fish crowding, with local swimming densities up to 5 times stocking densities, typically at the surface at night. Simultaneously collected daytime water samples during low levels of fish crowding, with stock scattered amongst upper and lower cage sections, revealed no relationship between N. perurans and fish depth distributions. If intense fish crowding in narrow depth bands leads to high concentrations of N. perurans in cage environments and increased AGD risk, behavioural manipulations that vertically spread fish could be a successful AGD mitigation strategy.</t>
  </si>
  <si>
    <t>[Wright, Daniel W.; Dempster, Tim] Univ Melbourne, SALTT, Sch Biosci, Parkville, Vic 3010, Australia; [Nowak, Barbara; Bridle, Andrew] Univ Tasmania, Inst Marine &amp; Antarctic Studies, Launceston, Tas 7250, Australia; [Wright, Daniel W.; Oppedal, Frode] Inst Marine Res, N-5984 Matredal, Norway</t>
  </si>
  <si>
    <t>University of Melbourne; University of Tasmania; Institute of Marine Research - Norway</t>
  </si>
  <si>
    <t>Wright, DW (corresponding author), Univ Melbourne, SALTT, Sch Biosci, Parkville, Vic 3010, Australia.;Wright, DW (corresponding author), Inst Marine Res, N-5984 Matredal, Norway.</t>
  </si>
  <si>
    <t>daniel.william.wright@imr.no</t>
  </si>
  <si>
    <t>Bridle, Andrew R/B-4117-2013; Wright, Daniel/JCO-8008-2023; Nowak, Barbara/J-7261-2014; Dempster, Tim/E-9630-2011</t>
  </si>
  <si>
    <t>Bridle, Andrew/0000-0002-5788-1297; Nowak, Barbara/0000-0002-0347-643X; Dempster, Tim/0000-0001-8041-426X; Oppedal, Frode/0000-0001-8625-0331</t>
  </si>
  <si>
    <t>ARC Future Fellowship grant</t>
  </si>
  <si>
    <t>ARC Future Fellowship grant(Australian Research Council)</t>
  </si>
  <si>
    <t>We thank TASSAL and the Huon Aquaculture Company for providing extensive farm access and assistance. Thanks to Francisca Samsing, Fletcher Warren-Myers, Tina Oldham, Jessica Johnson-Mackinnon, Michael Sievers, Cassandra Pert and Kristoffer Rist Skoien for field assistance. Luke Barrett and Tim Jessop helped with statistical analyses. Funding was provided by an ARC Future Fellowship grant awarded to T.D.</t>
  </si>
  <si>
    <t>1869-215X</t>
  </si>
  <si>
    <t>1869-7534</t>
  </si>
  <si>
    <t>AQUACULT ENV INTERAC</t>
  </si>
  <si>
    <t>Aquac. Environ. Interact.</t>
  </si>
  <si>
    <t>10.3354/aei00233</t>
  </si>
  <si>
    <t>Fisheries; Marine &amp; Freshwater Biology</t>
  </si>
  <si>
    <t>FD2GD</t>
  </si>
  <si>
    <t>WOS:000407352500001</t>
  </si>
  <si>
    <t>Revision of Eocene Antarctic carpet sharks (Elasmobranchii, Orectolobiformes) from Seymour Island, Antarctic Peninsula</t>
  </si>
  <si>
    <t>JOURNAL OF SYSTEMATIC PALAEONTOLOGY</t>
  </si>
  <si>
    <t>Chondrichthyes; Hemiscyllidae; Orectolobidae; La Meseta Formation; Southern Ocean; Palaeogene</t>
  </si>
  <si>
    <t>LA-MESETA FORMATION; CHONDRICHTHYES; PHYLOGENY; RECORD; DIVERSIFICATION; NEOSELACHII; DIVERSITY; RAYS</t>
  </si>
  <si>
    <t>Seymour Island, Antarctic Peninsula, was once called the Rosetta Stone' of Southern Hemisphere palaeobiology, because this small island provides the most complete and richly fossiliferous Palaeogene sequence in Antarctica. Among fossil marine vertebrate remains, chondrichthyans seemingly were dominant elements in the Eocene Antarctic fish fauna. The fossiliferous sediments on Seymour Island are from the La Meseta Formation, which was originally divided into seven stratigraphical levels, TELMs 1-7 (acronym for Tertiary Eocene La Meseta) ranging from the upper Ypresian (early Eocene) to the late Priabonian (late Eocene). Bulk sampling of unconsolidated sediments from TELMs 5 and 6, which are Ypresian (early Eocene) and Lutetian (middle Eocene) in age, respectively, yielded very rich and diverse chondrichthyan assemblages including over 40 teeth of carpet sharks representing two new taxa, Notoramphoscyllium woodwardi gen. et sp. nov. and Ceolometlaouia pannucae gen. et sp. nov. Two additional teeth from TELM 5 represent two different taxa that cannot be assigned to any specific taxon and thus are left in open nomenclature. The new material not only increases the diversity of Eocene Antarctic selachian faunas but also allows two previous orectolobiform records to be re-evaluated. Accordingly, Stegostoma cf. faciatum is synonymized with Notoramphoscylliumwoodwardi gen. et sp. nov., whereas Pseudoginglymostoma cf. brevicaudatum represents a nomen dubium. The two new taxa, and probably the additional two unidentified taxa, are interpreted as permanent residents, which most likely were endemic to Antarctic waters during the Eocene and adapted to shallow and estuarine environments.http://zoobank.org/urn:lsid:zoobank.org:pub:DD064382-3802-41A9-9B89-3095A6533B8A</t>
  </si>
  <si>
    <t>[Engelbrecht, Andrea; Kriwet, Juergen] Univ Vienna, Fac Earth Sci Geog &amp; Astron, Dept Paleontol, Vienna, Austria; [Mors, Thomas] Swedish Museum Nat Hist, Dept Palaeobiol, Stockholm, Sweden; [Reguero, Marcelo A.] Museo La Plata, Div Paleontol Vertebrados, La Plata, Buenos Aires, Argentina</t>
  </si>
  <si>
    <t>University of Vienna; Swedish Museum of Natural History; National University of La Plata; Museo La Plata</t>
  </si>
  <si>
    <t>Engelbrecht, A (corresponding author), Univ Vienna, Fac Earth Sci Geog &amp; Astron, Dept Paleontol, Vienna, Austria.</t>
  </si>
  <si>
    <t>Austrian Science Fund [FWF: P26465-B25]; Swedish Research Council (VR) [2009-4447]; Consejo Nacional de Investigaciones Cientificas y Tecnicas (CONICET) [PIP 0462]; Argentinian National Agency for Promotion of Science and Technology (ANPCyT) [PICTO 0093/2010]; Austrian Science Fund (FWF) [P 26465] Funding Source: researchfish; Austrian Science Fund (FWF) [P26465] Funding Source: Austrian Science Fund (FWF)</t>
  </si>
  <si>
    <t>Austrian Science Fund(Austrian Science Fund (FWF)); Swedish Research Council (VR)(Swedish Research Council); Consejo Nacional de Investigaciones Cientificas y Tecnicas (CONICET)(Consejo Nacional de Investigaciones Cientificas y Tecnicas (CONICET)); Argentinian National Agency for Promotion of Science and Technology (ANPCyT)(ANPCyT); Austrian Science Fund (FWF)(Austrian Science Fund (FWF)); Austrian Science Fund (FWF)(Austrian Science Fund (FWF))</t>
  </si>
  <si>
    <t>The Argentinian Antarctic Institute (IAA-DNA), Argentinian Air Force and Swedish Polar Research Secretariat (SPFS) are acknowledged for logistic support for fieldwork on Seymour Island. The authors are grateful to Martin de los Reyes, Museo de La Plata, for picking the small fractions in the laboratory. The authors would like to thank Patricia Holroyd, Museum of Paleontology, University of California, Berkeley, for access to the Woodburne collection of La Meseta specimens and for the possibility to study comparative material. Financial support for this project is provided by The Austrian Science Fund (FWF: P26465-B25 to JK), Swedish Research Council (VR grant 2009-4447 to TM), the Consejo Nacional de Investigaciones Cientificas y Tecnicas (CONICET grant PIP 0462 to MR), and the Argentinian National Agency for Promotion of Science and Technology (ANPCyT grant PICTO 0093/2010 to MR). We also want to thank C. Underwood and G. Case for their constructive reviews, and the Associate Editor Z. Johanson for all her support and suggestions that greatly improved the manuscript.</t>
  </si>
  <si>
    <t>1477-2019</t>
  </si>
  <si>
    <t>1478-0941</t>
  </si>
  <si>
    <t>J SYST PALAEONTOL</t>
  </si>
  <si>
    <t>J. Syst. Palaeontol.</t>
  </si>
  <si>
    <t>10.1080/14772019.2016.1266048</t>
  </si>
  <si>
    <t>Evolutionary Biology; Paleontology</t>
  </si>
  <si>
    <t>FC7UF</t>
  </si>
  <si>
    <t>WOS:000407047100001</t>
  </si>
  <si>
    <t>Hanna, E; Mernild, SH; Yde, JC; de Villiers, S</t>
  </si>
  <si>
    <t>Hanna, Edward; Mernild, Sebastian H.; Yde, Jacob C.; de Villiers, Simon</t>
  </si>
  <si>
    <t>Surface Air Temperature Fluctuations and Lapse Rates on Olivares Gamma Glacier, Rio Olivares Basin, Central Chile, from a Novel Meteorological Sensor Network</t>
  </si>
  <si>
    <t>SEA-LEVEL RISE; CLIMATE-CHANGE; MASS-BALANCE; ANDES</t>
  </si>
  <si>
    <t>Empirically based studies of glacier meteorology, especially for the Southern Hemisphere, are relatively sparse in the literature. Here, we use an innovative network of highly portable, low-cost thermometers to report on high-frequency (1-min time resolution) surface air temperature fluctuations and lapse rates (LR) in a similar to 800-m elevational range (from 3,675 to 4,492m a.s.l.) across the glacier Olivares Gamma in the central Andes, Chile. Temperatures were measured during an intense field campaign in late Southern summer, 19-27 March 2015, under varying weather conditions. We found a complex dependence of high-frequency LR on time of day, topography, and wider meteorological conditions, with hourly temperature variations during this week that were probably mainly associated with short- and long-wave radiation changes and not with wind speed/direction changes. Using various pairs of sites within our station network, we also analyze spatial variations in LR. Uniquely in this study, we compare temperatures measured at heights of 1-m and 2-m above the glacier surface for the network of five sites and found that temperatures at these two heights occasionally differed by more than +/- 4 degrees C during the early afternoons, although the mean temperature difference is much smaller (similar to 0.3 degrees C). An implication of our results is that daily, hourly, or even monthly averaged LR may be insufficient for feeding into accurate melt models of glacier change, with the adoption of subhourly (ideally 1-10-min) resolution LR likely to prove fruitful in developing new innovative high-time-resolution melt modelling. Our results are potentially useful as input LR for local glacier melt models and for improving the understanding of lapse rate fluctuations and glacier response to climate change.</t>
  </si>
  <si>
    <t>[Hanna, Edward] Univ Lincoln, Brayford Pool, Lincs, England; [Mernild, Sebastian H.] Nansen Environm &amp; Remote Sensing Ctr, Bergen, Norway; [Mernild, Sebastian H.] Univ Magallanes, Antarctic &amp; Subantarctic Program, Punta Arenas, Chile; [Mernild, Sebastian H.; Yde, Jacob C.; de Villiers, Simon] Western Norway Univ Appl Sci, Fac Engn &amp; Sci, Sogndal, Norway</t>
  </si>
  <si>
    <t>University of Lincoln; Nansen Environmental &amp; Remote Sensing Center (NERSC); Universidad de Magallanes; Western Norway University of Applied Sciences</t>
  </si>
  <si>
    <t>Mernild, SH (corresponding author), Nansen Environm &amp; Remote Sensing Ctr, Bergen, Norway.;Mernild, SH (corresponding author), Univ Magallanes, Antarctic &amp; Subantarctic Program, Punta Arenas, Chile.;Mernild, SH (corresponding author), Western Norway Univ Appl Sci, Fac Engn &amp; Sci, Sogndal, Norway.</t>
  </si>
  <si>
    <t>sebastian.mernild@nersc.no</t>
  </si>
  <si>
    <t>Hanna, Edward/W-5927-2019; Mernild, Sebastian H./M-5516-2013</t>
  </si>
  <si>
    <t>Hanna, Edward/0000-0002-8683-182X; Mernild, Sebastian H./0000-0003-0797-3975; Yde, Jacob Clement/0000-0002-6211-2601</t>
  </si>
  <si>
    <t>Chilean government [1140172]; JSPS (Japan Society for Promote Science) [S17096]</t>
  </si>
  <si>
    <t>Chilean government; JSPS (Japan Society for Promote Science)(Ministry of Education, Culture, Sports, Science and Technology, Japan (MEXT)Japan Society for the Promotion of Science)</t>
  </si>
  <si>
    <t>The authors acknowledge financial project support from the Chilean government (Fondecyt Regular Project no. 1140172). Also, they thank JSPS (Japan Society for Promote Science) for support, under Project no. S17096. Edward Hanna would like to thank the University of Sheffield for the granting of a sabbatical, which enabled him to join the fieldwork team and pursue this research.</t>
  </si>
  <si>
    <t>10.1155/2017/6581537</t>
  </si>
  <si>
    <t>FC4BC</t>
  </si>
  <si>
    <t>gold, Green Accepted, Green Submitted</t>
  </si>
  <si>
    <t>WOS:000406782400001</t>
  </si>
  <si>
    <t>Qiu, S; Shao, X; Cao, CY; Uprety, S; Wang, WH</t>
  </si>
  <si>
    <t>Qiu, Shi; Shao, Xi; Cao, Chang Yong; Uprety, Sirish; Wang, Wen Hui</t>
  </si>
  <si>
    <t>Assessment of straylight correction performance for the VIIRS Day/Night Band using Dome-C and Greenland under lunar illumination</t>
  </si>
  <si>
    <t>The day/night band (DNB) of the Visible Infrared Imaging Radiometer Suite (VIIRS) on board Suomi National Polar-orbiting Partnership (Suomi-NPP) represents a major advancement in night-time imaging capabilities. However, the DNB is sensitive to noise introduced from straylight, which appears as a grey haze in radiance images. This effect on the DNB is caused by solar illumination entering the optical path when the satellite passes through the day-night terminator projected on the Earth's surface. It results in an overall increase in the recorded radiance values. This effect is more significant during solstice. Straylight correction techniques have been implemented to remove this unwanted effect. This study presents an effective method to assess straylight correction performance for VIIRS DNB using DNB observations over Dome C in the Antarctic and Greenland under lunar illumination. Nadir observations of these high-latitude regions by VIIRS are selected during the perpetual night season over various lunar phases. Through cross-comparison between the lunar-phase dependence of DNB observations of events with straylight correction and those without straylight, the quality of straylight correction can be assessed. Using this method, DNB radiance data from two different sources, i.e. the National Oceanic and Atmospheric Administration (NOAA) Operational Interface and Data Processing Segment (IDPS) and the National Aeronautics and Space Administration (NASA) Land Product Evaluation and Algorithm Test Element (PEATE), were compared for their performance in straylight correction.</t>
  </si>
  <si>
    <t>[Qiu, Shi; Shao, Xi] Univ Maryland, Dept Astron, College Pk, MD 20742 USA; [Cao, Chang Yong] NOAA, NESDIS, STAR, Greenbelt, MD USA; [Uprety, Sirish] Colorado State Univ, Cooperat Inst Res Atmosphere, Ft Collins, CO 80523 USA; [Wang, Wen Hui] ERT Inc, Greenbelt, MD USA</t>
  </si>
  <si>
    <t>University System of Maryland; University of Maryland College Park; National Oceanic Atmospheric Admin (NOAA) - USA; Colorado State University</t>
  </si>
  <si>
    <t>Qiu, S (corresponding author), Univ Maryland, Dept Astron, College Pk, MD 20742 USA.</t>
  </si>
  <si>
    <t>sqiu1@umd.edu</t>
  </si>
  <si>
    <t>Cao, Changyong/F-5578-2010; Shao, Xi/H-9452-2016; Wang, Wenhui/D-3240-2012</t>
  </si>
  <si>
    <t>10.1080/01431161.2017.1338786</t>
  </si>
  <si>
    <t>FC0OU</t>
  </si>
  <si>
    <t>WOS:000406539100003</t>
  </si>
  <si>
    <t>Cantero, ALP; Ferrer, ER; Miranda, TP</t>
  </si>
  <si>
    <t>Pena Cantero, Alvaro L.; Roig Ferrer, Estela; Miranda, Thais P.</t>
  </si>
  <si>
    <t>Species of Antarctoscyphus Pena Cantero, Garcia Carrascosa and Vervoort, 1997 (Cnidaria: Hydrozoa: Symplectoscyphidae) collected by US Antarctic expeditions: biogeographic implications</t>
  </si>
  <si>
    <t>JOURNAL OF NATURAL HISTORY</t>
  </si>
  <si>
    <t>Biodiversity; biogeography; ecology; scanning electron microscopy; Southern Ocean</t>
  </si>
  <si>
    <t>BENTHIC HYDROIDS CNIDARIA; ISLAND SOUTHERN-OCEAN; OSWALDELLA STECHOW; STAUROTHECA ALLMAN; RV POLARSTERN; SERTULARIIDAE; LEPTOTHECATA</t>
  </si>
  <si>
    <t>Antarctoscyphus is one of the most characteristic genera of Antarctic benthic hydroids, with nine of the 10 known species considered to be endemic to the Antarctic; only Antarctoscyphus elongatus is also present in the sub-Antarctic region of Kerguelen. Accordingly, the genus was considered to have an Antarctic-Kerguelen distribution. Here we present the results of the study of the species of Antarctoscyphus collected from different Antarctic areas and from the Magellan region, during several expeditions under the United States Antarctic Research Program between 1958 and 1986. A scanning electron microscopy survey of all known species of the genus was carried out. Eight of the 10 known species of Antarctoscyphus were found in the collection, with A. spiralis and A. elongatus being the most frequently found species, whereas A. biformis, A. fragilis and A. gruzovi were found only once. The type material of A. biformis was reviewed and re-described. This study represents the second records for A. biformis and A. fragilis. The new records allow updating of the biogeo-graphic knowledge on the distribution of several species: A. mawsoni, so far considered endemic to East Antarctica, and A. asymmetricus, considered endemic to West Antarctica, are here considered to have a Circum-Antarctic distribution. Additionally, A. fragilis, previously considered endemic to the Weddell Sea, is now considered to have a West Antarctic-Patagonian distribution, as it was recorded off the Pacific Magellan region. The records gathered here allow us to change the distribution pattern of the genus from Antarctic-Kerguelen to Pan-Antarctic. The study has allowed us to increase the known bathymetric range for some species, some reaching much deeper waters than previously known. Hence, A. fragilis, A. grandis and A. mawsoni, hitherto considered shelf species, are reported from bathyal bottoms of the continental slope. A general discussion on the bathymetric and geographic distribution of all known species is included.</t>
  </si>
  <si>
    <t>[Pena Cantero, Alvaro L.; Roig Ferrer, Estela] Univ Valencia, Dept Zool, Inst Cavanilles Biodiversidad &amp; Biol Evolut, Valencia, Spain; [Miranda, Thais P.] Univ Sao Paulo, Inst Biociencias, Dept Zool, Sao Paulo, Brazil</t>
  </si>
  <si>
    <t>University of Valencia; Universidade de Sao Paulo</t>
  </si>
  <si>
    <t>Cantero, ALP (corresponding author), Univ Valencia, Dept Zool, Inst Cavanilles Biodiversidad &amp; Biol Evolut, Valencia, Spain.</t>
  </si>
  <si>
    <t>alvaro.l.pena@uv.es</t>
  </si>
  <si>
    <t>Cantero, Álvaro Luis Peña/F-7888-2016; Miranda, Thais Pires/G-8617-2016; Fapesp, Biota/F-8655-2017</t>
  </si>
  <si>
    <t>Miranda, Thais Pires/0000-0001-7786-8738; Pena Cantero, Alvaro/0000-0003-3056-6673; Fapesp, Biota/0000-0002-9887-8449</t>
  </si>
  <si>
    <t>National Museum of Natural History (Smithsonian Institution), Department of Invertebrate Zoology, United States Antarctic Program - National Science Foundation [OPP-9509761]</t>
  </si>
  <si>
    <t>National Museum of Natural History (Smithsonian Institution), Department of Invertebrate Zoology, United States Antarctic Program - National Science Foundation</t>
  </si>
  <si>
    <t>This study was partly supported by a grant from the National Museum of Natural History (Smithsonian Institution), Department of Invertebrate Zoology, United States Antarctic Program funded by the National Science Foundation (OPP-9509761).</t>
  </si>
  <si>
    <t>0022-2933</t>
  </si>
  <si>
    <t>1464-5262</t>
  </si>
  <si>
    <t>J NAT HIST</t>
  </si>
  <si>
    <t>J. Nat. Hist.</t>
  </si>
  <si>
    <t>25-26</t>
  </si>
  <si>
    <t>10.1080/00222933.2017.1341563</t>
  </si>
  <si>
    <t>Biodiversity Conservation; Ecology; Zoology</t>
  </si>
  <si>
    <t>Biodiversity &amp; Conservation; Environmental Sciences &amp; Ecology; Zoology</t>
  </si>
  <si>
    <t>FB8YZ</t>
  </si>
  <si>
    <t>WOS:000406427800001</t>
  </si>
  <si>
    <t>Marshall, DP; Johnson, HL</t>
  </si>
  <si>
    <t>Marshall, David P.; Johnson, Helen L.</t>
  </si>
  <si>
    <t>Relative strength of the Antarctic Circumpolar Current and Atlantic Meridional Overturning Circulation</t>
  </si>
  <si>
    <t>TELLUS SERIES A-DYNAMIC METEOROLOGY AND OCEANOGRAPHY</t>
  </si>
  <si>
    <t>ocean currents; volume transports; hydrography; thermal wind; meridional boundaries</t>
  </si>
  <si>
    <t>MODEL; STRATIFICATION; WIND</t>
  </si>
  <si>
    <t>A simple relationship, based on thermal wind balance, is derived that relates the relative strength of the Antarctic Circumpolar Current (ACC) and Atlantic Meridional Overturning Circulation (AMOC) to the ratios of three depth scales: the e-folding depth of the global stratification, the depth of maximum overturning streamfunction and the maximum depth of the ACC. For realistic values of these depth scales, the relationship predicts a factor 8 +/- 4 difference in the volume transports of the ACC and AMOC, consistent with the observation-based ratio of 8 +/- 2.</t>
  </si>
  <si>
    <t>[Marshall, David P.] Univ Oxford, Dept Phys, Oxford, England; [Johnson, Helen L.] Univ Oxford, Dept Earth Sci, Oxford, England</t>
  </si>
  <si>
    <t>University of Oxford; University of Oxford</t>
  </si>
  <si>
    <t>Marshall, DP (corresponding author), Univ Oxford, Dept Phys, Oxford, England.</t>
  </si>
  <si>
    <t>david.marshall@physics.ox.ac.uk</t>
  </si>
  <si>
    <t>Marshall, David Philip/B-6767-2009</t>
  </si>
  <si>
    <t>Marshall, David Philip/0000-0002-5199-6579; Johnson, Helen/0000-0003-1873-2085</t>
  </si>
  <si>
    <t>UK Natural Environment Research Council [NE/K010948/1]; NERC [NE/G015414/1, NE/K010948/1] Funding Source: UKRI; Natural Environment Research Council [NE/K010948/1, NE/G015414/1]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</si>
  <si>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</si>
  <si>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Partial financial support was provided by the UK Natural Environment Research Council [NE/K010948/1].</t>
  </si>
  <si>
    <t>1600-0870</t>
  </si>
  <si>
    <t>TELLUS A</t>
  </si>
  <si>
    <t>Tellus Ser. A-Dyn. Meteorol. Oceanol.</t>
  </si>
  <si>
    <t>10.1080/16000870.2017.1338884</t>
  </si>
  <si>
    <t>Meteorology &amp; Atmospheric Sciences; Oceanography</t>
  </si>
  <si>
    <t>FB5OM</t>
  </si>
  <si>
    <t>WOS:000406191400001</t>
  </si>
  <si>
    <t>Kachalin, I; Liashchuk, O; Sebela, S</t>
  </si>
  <si>
    <t>Kachalin, Igor; Liashchuk, Oleksandr; Sebela, Stanka</t>
  </si>
  <si>
    <t>PERIODICAL MEASUREMENTS OF VLF RADIO SIGNALS AND NOISE SOUNDS IN CRNA JAMA (POSTOJNSKA JAMA)</t>
  </si>
  <si>
    <t>ACTA CARSOLOGICA</t>
  </si>
  <si>
    <t>VLF radio signals; noise sounds; pre-seismic anomalies; Crna Jama; Slovenia</t>
  </si>
  <si>
    <t>SLOVENIA; CAVE; SYSTEM</t>
  </si>
  <si>
    <t>In Crna Jama, which is part of Postojnska Jama, underground measurement of VLF (Very Low Frequency) radio signals was periodically carried out in 2012 and 2013 for detection of possible pre-seismic and/or other anomalies and to ascertain suitability of VLF monitoring in a natural cave environment. The modulation of the VLF signal was connected with a powerful atmospheric front and changes of the precipitation level. VLF data showed day and night changes and also significant changes between dry and rainy periods when water from the surface reached the cave chamber through about 30 m of limestone roof. During VLF monitoring we did not receive earthquake precursor signals. VLF monitoring in a karst cave could be an option for future research in understanding pre-seismic and other anomalies. On-line connection with other VLF surface or cave monitoring sites in Europe is necessary in future VLF registration. Results of preliminary VLF monitoring showed Crna Jama to be a suitable place for future studies.</t>
  </si>
  <si>
    <t>[Kachalin, Igor; Liashchuk, Oleksandr] Natl Antarctic Sci Ctr, Tarasa Shevchenka Blvd 16, UA-01601 Kiev, Ukraine; [Kachalin, Igor] AtomKomplexPrylad, 1 Magnitogorskaya St, UA-02660 Kiev, Ukraine; [Liashchuk, Oleksandr] Main Ctr Special Monitoring, Kiev, Ukraine; [Sebela, Stanka] ZRC SAZU Karst Res Inst, Titov Trg 2, Postojna 6230, Slovenia</t>
  </si>
  <si>
    <t>Ministry of Education &amp; Science of Ukraine; State Institution National Antarctic Scientific Center; Slovenian Academy of Sciences &amp; Arts (SASA); Karst Research Institute, SASA</t>
  </si>
  <si>
    <t>Kachalin, I (corresponding author), Natl Antarctic Sci Ctr, Tarasa Shevchenka Blvd 16, UA-01601 Kiev, Ukraine.;Kachalin, I (corresponding author), AtomKomplexPrylad, 1 Magnitogorskaya St, UA-02660 Kiev, Ukraine.</t>
  </si>
  <si>
    <t>igor_kachalin@ukr.net; alex_liashchuk@mail.ru; sebela@zrc-sazu.si</t>
  </si>
  <si>
    <t>Liashchuk, Oleksandr/AAQ-9011-2020</t>
  </si>
  <si>
    <t>Liashchuk, Oleksandr/0000-0002-8690-1808; Sebela, Stanka/0000-0002-0023-6019</t>
  </si>
  <si>
    <t>BlackSeaHazNet project [FP7 PEOPLE-2009IRSES-246874]</t>
  </si>
  <si>
    <t>BlackSeaHazNet project</t>
  </si>
  <si>
    <t>The visit of Ukrainian colleagues to Slovenia was realized within the BlackSeaHazNet project (FP7 PEOPLE-2009IRSES-246874, Complex Research of Earthquake's Prediction Possibilities, Seismicity and Climate Change Correlations). The permission for VLF monitoring in Crna Jama was obtained from Agencija RS za okolje (Agency of the Republic of Slovenia for Environment) and Postojnska jama d. d. We are thankful to Dr. Trevor R. Shaw for revising the English.</t>
  </si>
  <si>
    <t>KARST RESEARCH INST ZRC SAZU</t>
  </si>
  <si>
    <t>POSTOJNA</t>
  </si>
  <si>
    <t>TITOV TRG 2, POSTOJNA, SI-6230, SLOVENIA</t>
  </si>
  <si>
    <t>0583-6050</t>
  </si>
  <si>
    <t>1580-2612</t>
  </si>
  <si>
    <t>FA5TY</t>
  </si>
  <si>
    <t>WOS:000405507800010</t>
  </si>
  <si>
    <t>Wojcik-Tabol, P</t>
  </si>
  <si>
    <t>Wojcik-Tabol, Patrycja</t>
  </si>
  <si>
    <t>ELEMENTAL AND ORGANIC CARBON PROXIES FOR REDOX CONDITIONS OF THE OLIGOCENE FORMATIONS IN THE ROPA TECTONIC WINDOW (OUTER CARPATHIANS, POLAND): PALAEOENVIRONMENTAL IMPLICATIONS</t>
  </si>
  <si>
    <t>ANNALES SOCIETATIS GEOLOGORUM POLONIAE</t>
  </si>
  <si>
    <t>Organic matter; stable organic carbon isotope; trace metals; anoxia; Grybow Succession; Oligocene</t>
  </si>
  <si>
    <t>WESTERN CARPATHIANS; MENILITE FORMATION; DEPOSITIONAL ENVIRONMENT; ANTARCTIC GLACIATION; CLIMATE TRANSITION; PYRITE FORMATION; FORELAND BASIN; TRACE-METALS; SOURCE ROCKS; GRYBOW UNIT</t>
  </si>
  <si>
    <t>The Oligocene Grybow Succession is recognized as a counterpart of the anoxic Menilite Formation. Its comprehensive geochemical investigations are made in the key sections of the Ropa Tectonic Window (the Grybow Unit, Polish Outer Carpathians). The maceral assemblages, dominated by land-plant liptinite, vitrinite and intertinite, correspond to kerogen types II and III. A T-max nu s. HI diagram shows terrestrial kerogen type II with various additions of type III and algal kerogen type I. A variation in delta C-13(org). (from -25.21 to -27.38%) may have resulted from variations in the composition of organic matter (the content of terrestrial vs. marine organic matter), controlled by depositional setting (turbidite vs. hemipelagic). The highest TOC contents are associated with an enhanced influx of land-derived organic matter. The redox-sensitive trace elements positively correlate with TOC and TS contents. Redox conditions varied between oxic and anoxic, as was concluded from TOC-TS, V/(V+ Ni) and U/Th. The turbidity currents might have ventilated the bottom waters, especially more efficiently in the proximal zone of turbidite sedimentation. Moreover, oxygenated bottom waters may have also affected the concentration of trace metals, owing to migration of the redox interface downward within the sediments.</t>
  </si>
  <si>
    <t>[Wojcik-Tabol, Patrycja] Jagiellonian Univ, Inst Geol Sci, Gronostajowa 3a, PL-30387 Krakow, Poland</t>
  </si>
  <si>
    <t>Jagiellonian University</t>
  </si>
  <si>
    <t>Wojcik-Tabol, P (corresponding author), Jagiellonian Univ, Inst Geol Sci, Gronostajowa 3a, PL-30387 Krakow, Poland.</t>
  </si>
  <si>
    <t>p.wojcik-tabol@uj.edu.pl</t>
  </si>
  <si>
    <t>Wojcik-Tabol, Patrycja/0000-0001-5655-1619</t>
  </si>
  <si>
    <t>Polish Ministry of Science and Higher Education [N N307 531038]</t>
  </si>
  <si>
    <t>Polish Ministry of Science and Higher Education(Ministry of Science and Higher Education, Poland)</t>
  </si>
  <si>
    <t>The author acknowledges help from M. Oszczypko-Clowes with the collection of rock samples. Many thanks are extended to the Petrogeo Laboratory for Rock-Eval pyrolysis and the Laboratory of Isotope Geology and Geoecology (Wroclaw University) for isotopic analysis. The author warmly thanks A. Uchman (Jagiellonian University) and F. Simpson (University of Windsor), who made helpful comments on the English version of the manuscript. Special thanks go to J. Sotak and M. Bojanowski for their thorough reviews of this article, and to B. Budzyn and W. Mizerski for the editorial remarks. The research was undertaken as a part of a project of Polish Ministry of Science and Higher Education Grant No. N N307 531038.</t>
  </si>
  <si>
    <t>POLISH GEOLOGICAL SOC</t>
  </si>
  <si>
    <t>UL. OLEANDRY 2A, KRAKOW, POLAND</t>
  </si>
  <si>
    <t>0208-9068</t>
  </si>
  <si>
    <t>ANN SOC GEOL POL</t>
  </si>
  <si>
    <t>Ann. Soc. Geol. Pol.</t>
  </si>
  <si>
    <t>10.14241/asgp.2017.005</t>
  </si>
  <si>
    <t>FB1VX</t>
  </si>
  <si>
    <t>WOS:000405932900003</t>
  </si>
  <si>
    <t>Halzen, F</t>
  </si>
  <si>
    <t>Zichichi, A</t>
  </si>
  <si>
    <t>Halzen, Francis</t>
  </si>
  <si>
    <t>IceCube: the Discovery of High-Energy Cosmic Neutrinos</t>
  </si>
  <si>
    <t>FUTURE OF OUR PHYSICS INCLUDING NEW FRONTIERS</t>
  </si>
  <si>
    <t>Subnuclear Series</t>
  </si>
  <si>
    <t>53rd Course of the International-School-of-Subnuclear-Physics (ISSP)</t>
  </si>
  <si>
    <t>JUN 24-JUL 03, 2015</t>
  </si>
  <si>
    <t>Erice, ITALY</t>
  </si>
  <si>
    <t>ASTROPHYSICAL SOURCES; MUON FLUX; ASTRONOMY; GALAXIES; CLUSTERS; RAYS</t>
  </si>
  <si>
    <t>By transforming a, cubic kilometer of natural Antarctic ice into a, neutrino detector, the IceCube project created the opportunity to observe cosmic neutrinos. We describe the experiment and the complementary methods presently used to study the flux of the recentlv discovered cosmic neutrinos. In one method, events are selected in which neutrinos interacted inside the instrumented volume of the detector, yielding a sample of events dominated by neutrinos of electron and tau flavor. Alternatively, another method detects secondary muons produced by neutrinos selected for having traveled through the Earth to reach the detector. providing a pure sample of muon neutrinos. We will summarize the results obtained with the enlarged data set collected since the initial discovery and appraise the current status of high-energy neutrino astronomy. Continued observations are closing in on the source candidates. In this context, we highlight the potential of multimessenger analyses as well as the compellillg case for constructing a next-generation detector larger by one order of magnitude in volume.</t>
  </si>
  <si>
    <t>[Halzen, Francis] Univ Wisconsin, Madison, WI 53706 USA</t>
  </si>
  <si>
    <t>University of Wisconsin System; University of Wisconsin Madison</t>
  </si>
  <si>
    <t>Halzen, F (corresponding author), Univ Wisconsin, Madison, WI 53706 USA.</t>
  </si>
  <si>
    <t>Ahlers, Markus/V-8757-2017</t>
  </si>
  <si>
    <t>U.S. National Science Foundation [ANT-0937462, PHY-1306958]; University of Wisconsin Research Committee; Wisconsin Alumni Research Foundation</t>
  </si>
  <si>
    <t>U.S. National Science Foundation(National Science Foundation (NSF)); University of Wisconsin Research Committee; Wisconsin Alumni Research Foundation</t>
  </si>
  <si>
    <t>Discussion with collaborators inside and outside the IceCube Collaboration, too many to be listed, have greatly shaped this presentation. Thanks. This research was supported in part by the U.S. National Science Foundation under Grants No. ANT-0937462 and PHY-1306958 and by the University of Wisconsin Research Committee with funds granted by the Wisconsin Alumni Research Foundation.</t>
  </si>
  <si>
    <t>978-981-3208-29-2; 978-981-3208-28-5</t>
  </si>
  <si>
    <t>SUBNUCL SER</t>
  </si>
  <si>
    <t>Physics, Multidisciplinary; Physics, Nuclear</t>
  </si>
  <si>
    <t>BI0WP</t>
  </si>
  <si>
    <t>WOS:000405225000007</t>
  </si>
  <si>
    <t>Karanovic, I; Sitnikova, TY</t>
  </si>
  <si>
    <t>Karanovic, Ivana; Sitnikova, Tatiana Ya.</t>
  </si>
  <si>
    <t>Morphological and molecular diversity of Lake Baikal candonid ostracods, with description of a new genus</t>
  </si>
  <si>
    <t>Crustacea; Deep lakes; molecular phylogeny; taxonomy; CO1; 16S rRNA; 18S rRNA; 28S rRNA</t>
  </si>
  <si>
    <t>PSEUDOCANDONA-MARCHICA CRUSTACEA; BAYESIAN PHYLOGENETIC INFERENCE; TYPHLOCYPRIS VEJDOVSKY; RIBOSOMAL DNA; ZENKER ORGAN; MISSING DATA; SOUTH-KOREA; 1ST RECORD; EVOLUTION; MODEL</t>
  </si>
  <si>
    <t>Uncoupling between molecular and morphological evolution is common in many animal and plant lineages. This is especially frequent among groups living in ancient deep lakes, because these ecosystems promote rapid morphological diversification, and has already been demonstrated for Tanganyika cychlid fishes and Baikal amphipods. Ostracods are also very diverse in these ecosystems, with 107 candonid species described so far from Baikal, majority of them in the genera Candona Baird, 1845 and Pseudocandona Kaufmann, 1900. Here we study their morphological and molecular diversity based on four genes (two nuclear and two mitochondrial), 10 species from the lake, and 28 other species from around the world. The results of our phylogenetic analysis based on a concatenated data set, along with sequence diversity, support only two genetic lineages in the lake and indicate that a majority of the Baikal Candona and Pseudocandona species should be excluded from these genera. We describe a new genus, Mazepovacandona gen. n., to include five Baikal species, all redescribed here. We also amend the diagnosis for the endemic genus Baicalocandona Mazepova, 1972 and redescribe two species. Our study confirms an exceptional morphological diversity of Lake Baikal candonids and shows that both Baikal lineages are closely related to Candona, but only distantly to Pseudocandona.</t>
  </si>
  <si>
    <t>[Karanovic, Ivana] Hanyang Univ, Dept Life Sci, Coll Nat Sci, Seoul 133791, South Korea; [Karanovic, Ivana] Univ Tasmania, Inst Marine &amp; Antarctic Studies, Private Bag 49, Hobart, Tas 7001, Australia; [Sitnikova, Tatiana Ya.] Russian Acad Sci, Limnol Inst, Siberian Branch, POB 664033, Irkutsk, Russia</t>
  </si>
  <si>
    <t>Hanyang University; University of Tasmania; Irkutsk Science Centre of the Russian Academy of Sciences; Russian Academy of Sciences; Limnological Institute SB RAS</t>
  </si>
  <si>
    <t>Karanovic, I (corresponding author), Hanyang Univ, Dept Life Sci, Coll Nat Sci, Seoul 133791, South Korea.;Karanovic, I (corresponding author), Univ Tasmania, Inst Marine &amp; Antarctic Studies, Private Bag 49, Hobart, Tas 7001, Australia.</t>
  </si>
  <si>
    <t>ivana@hanyang.ac.kr</t>
  </si>
  <si>
    <t>Sitnikova, Tatiana Ya/JBR-8697-2023; Sitnikova, Tatiana Ya/J-3309-2018</t>
  </si>
  <si>
    <t>Sitnikova, Tatiana/0000-0002-3278-6111</t>
  </si>
  <si>
    <t>National Research Foundation of Korea [2016R1D1A1B01009806]; Russian Government [0345-2016-0009]</t>
  </si>
  <si>
    <t>National Research Foundation of Korea(National Research Foundation of Korea); Russian Government</t>
  </si>
  <si>
    <t>The study is supported by the National Research Foundation of Korea (grant no: 2016R1D1A1B01009806). We would like to thank Igor Khanaev and Ivan Nebesnykh from the Limnological Institute, Siberian Branch, Russian Academy of Sciences for collecting the samples. The work was partly support by Russian Government funded project No. 0345-2016-0009.</t>
  </si>
  <si>
    <t>10.3897/zookeys.684.13249</t>
  </si>
  <si>
    <t>FA4MV</t>
  </si>
  <si>
    <t>Green Accepted, Green Published, gold, Green Submitted</t>
  </si>
  <si>
    <t>WOS:000405418300002</t>
  </si>
  <si>
    <t>Kim, J; Lee, W; Karanovic, I</t>
  </si>
  <si>
    <t>Kim, Jeongho; Lee, Wonchoel; Karanovic, Ivana</t>
  </si>
  <si>
    <t>A new species of Microcharon from marine interstitial waters, Shizuoka, Japan (Isopoda, Lepidocharontidae)</t>
  </si>
  <si>
    <t>Correction</t>
  </si>
  <si>
    <t>[Kim, Jeongho; Karanovic, Ivana] Hanyang Univ, Dept Life Sci, Seoul, South Korea; [Lee, Wonchoel; Karanovic, Ivana] Univ Tasmania, Inst Marine &amp; Antarctic Studies, Hobart, Tas 7001, Australia</t>
  </si>
  <si>
    <t>Hanyang University; University of Tasmania</t>
  </si>
  <si>
    <t>Karanovic, I (corresponding author), Hanyang Univ, Dept Life Sci, Seoul, South Korea.;Karanovic, I (corresponding author), Univ Tasmania, Inst Marine &amp; Antarctic Studies, Hobart, Tas 7001, Australia.</t>
  </si>
  <si>
    <t>ivana.karanovic@utas.edu.au</t>
  </si>
  <si>
    <t>BK21 Plus Program (Eco-Bio Fusion Research Team) - Ministry of Education (MOE, Korea) [22A20130012352]</t>
  </si>
  <si>
    <t>BK21 Plus Program (Eco-Bio Fusion Research Team) - Ministry of Education (MOE, Korea)</t>
  </si>
  <si>
    <t>This study was supported by the BK21 Plus Program (Eco-Bio Fusion Research Team, 22A20130012352) funded by the Ministry of Education (MOE, Korea).</t>
  </si>
  <si>
    <t>10.3897/zookeys.683.14669</t>
  </si>
  <si>
    <t>FA4MS</t>
  </si>
  <si>
    <t>WOS:000405418000002</t>
  </si>
  <si>
    <t>di Sarra, A; Iannone, RQ; Casadio, S; Di Biagio, C; Pace, G; Cacciani, M; Muscari, G; Dehn, A; Bojkov, B</t>
  </si>
  <si>
    <t>Davies, R; Egli, L; Schmutz, W</t>
  </si>
  <si>
    <t>di Sarra, A.; Iannone, R. Q.; Casadio, S.; Di Biagio, C.; Pace, G.; Cacciani, M.; Muscari, G.; Dehn, A.; Bojkov, B.</t>
  </si>
  <si>
    <t>Determination of Stratospheric Temperature and Density by GOMOS: Verification with Respect to High Latitude LIDAR Profiles from Thule, Greenland</t>
  </si>
  <si>
    <t>RADIATION PROCESSES IN THE ATMOSPHERE AND OCEAN</t>
  </si>
  <si>
    <t>AIP Conference Proceedings</t>
  </si>
  <si>
    <t>International Radiation Symposium (IRC/IAMAS) - Radiation Processes in the Atmosphere and Ocean</t>
  </si>
  <si>
    <t>APR 16-22, 2016</t>
  </si>
  <si>
    <t>Univ Auckland, Auckland, NEW ZEALAND</t>
  </si>
  <si>
    <t>Univ Auckland</t>
  </si>
  <si>
    <t>High resolution temperature profiles (HRTP) have been derived from measurements performed by Global Ozone Monitoring by Occultation of Stars (GOMOS) onboard ENVISAT. HRTP are derived from measurements with two fast photometers whose signal is sampled at 1 kHz, and allows investigating the role of irregularities in the density and temperature profiles, such as those associated with gravity waves. In this study high resolution temperature and density profiles measured at high latitude by GOMOS are compared with observations made with the ground-based aerosol/temperature LIDAR at Thule, Greenland. The LIDAR at Thule contributes to the Network for the Detection of Atmospheric Composition Change. The LIDAR profiles are analyzed in the height interval overlapping with GOMOS data (22-35 km), and the density and temperature profiles are obtained with 250 m vertical resolution. The comparison is focused on data collected during the 2008-2009 and 2009-2010 Arctic winters. Profiles measured within 6 hours and 500 km are selected. The profiles are classified based on spatial and temporal variability of dynamical indicators over Thule and at the GOMOS tangent height position. Several corresponding features can be identified in the GOMOS and LIDAR profiles, suggesting that the GOMOS HRTP could be used to investigate the global distribution of small scale fluctuations. As an example, two cases corresponding to inner and outer vortex conditions during the 2008-2009 winter are discussed, also in relation with the very intense sudden stratospheric warming occurred in this season.</t>
  </si>
  <si>
    <t>[di Sarra, A.; Di Biagio, C.; Pace, G.] ENEA, Lab Observat &amp; Anal Earth &amp; Climate, Rome, Italy; [Iannone, R. Q.; Casadio, S.] SERCO SpA, Frascati, Italy; [Casadio, S.; Dehn, A.] ESA, ESRIN, Frascati, Italy; [Di Biagio, C.] LISA, Creteil, France; [Cacciani, M.] Sapienza Univ Rome, Dept Phys, Rome, Italy; [Muscari, G.] INGV, Rome, Italy; [Bojkov, B.] EUMETSAT, Darmstadt, Germany</t>
  </si>
  <si>
    <t>Italian National Agency New Technical Energy &amp; Sustainable Economics Development; European Space Agency; Universite Paris-Est-Creteil-Val-de-Marne (UPEC); Universite Paris Cite; Sapienza University Rome; Istituto Nazionale Geofisica e Vulcanologia (INGV); European Organisation for the Exploitation of Meteorological Satellites</t>
  </si>
  <si>
    <t>di Sarra, A (corresponding author), ENEA, Lab Observat &amp; Anal Earth &amp; Climate, Rome, Italy.</t>
  </si>
  <si>
    <t>alcide.disarra@enea.it; RosarioQuirino.Iannone@serco.com</t>
  </si>
  <si>
    <t>; di Sarra, Alcide/J-1491-2016</t>
  </si>
  <si>
    <t>Muscari, Giovanni/0000-0001-6326-2612; Casadio, Stefano/0000-0001-9917-426X; Di Biagio, Claudia/0000-0001-8273-6211; di Sarra, Alcide/0000-0002-2405-2898</t>
  </si>
  <si>
    <t>IDEAS+ contract</t>
  </si>
  <si>
    <t>This project was carried in the frame of the IDEAS+ contract in support to the Sensor Performance, Products and Algorithm Section (ESA/ESRIN). Measurements at Thule were supported by the Italian Antarctic Programme.</t>
  </si>
  <si>
    <t>AMER INST PHYSICS</t>
  </si>
  <si>
    <t>MELVILLE</t>
  </si>
  <si>
    <t>2 HUNTINGTON QUADRANGLE, STE 1NO1, MELVILLE, NY 11747-4501 USA</t>
  </si>
  <si>
    <t>0094-243X</t>
  </si>
  <si>
    <t>978-0-7354-1478-5</t>
  </si>
  <si>
    <t>AIP CONF PROC</t>
  </si>
  <si>
    <t>10.1063/1.4975517</t>
  </si>
  <si>
    <t>BI0WL</t>
  </si>
  <si>
    <t>WOS:000405218500021</t>
  </si>
  <si>
    <t>Palchetti, L; Lanconelli, C; Bianchini, G; Di Natale, G</t>
  </si>
  <si>
    <t>Palchetti, Luca; Lanconelli, Christian; Bianchini, Giovanni; Di Natale, Gianluca</t>
  </si>
  <si>
    <t>Spectral Characterization of the Surface Longwave Radiation over the East Antarctic Plateau</t>
  </si>
  <si>
    <t>WATER-VAPOR; PARAMETERIZATION; TEMPERATURE; EMISSIVITY; CLOUDS</t>
  </si>
  <si>
    <t>The spectral features of the downward longwave radiation have been characterized by exploiting spectral measurements, acquired over the Antarctic Plateau at Dome C at 3230 m, by the Radiation Explorer in the Far InfraRed - Prototype for Applications and Development (REFIR-PAD) spectroradiometer. REFIR-PAD is operative at the base with continuous operations over 24 hours since 2012 and measures the spectra from 100 to 1400 cm(-1) with 0.4 cm(-1) of resolution, covering the under-explored far-IR for the first time with systematic measurements. REFIR-PAD spectral measurements have been used to calculate the atmospheric longwave flux to be compared with standard measurements performed by BSRN, for validation and error estimates. The agreement is within the error estimate of 4.5Wm(-2) for REFIR-PAD and 10Wm(-2) for BRSN measurements. Finally, seasonal variabilities of the longwave flux measured in different spectral regions have been studied by exploiting 1-year dataset of measurements to show possible correlations with different atmospheric regimes.</t>
  </si>
  <si>
    <t>[Palchetti, Luca; Bianchini, Giovanni; Di Natale, Gianluca] Natl Inst Opt INO CNR, Via Madonna Piano 10, I-50019 Sesto Fiorentino, FI, Italy; [Lanconelli, Christian] Inst Atmospher Sci &amp; Climate ISAC CNR, Via Gobetti 101, I-40129 Bologna, Italy; [Lanconelli, Christian] Joint Res Ctr, Land Resource Management Unit H05, IES, TP 440,Via E Fermi 2749, I-21027 Ispra, VA, Italy</t>
  </si>
  <si>
    <t>Consiglio Nazionale delle Ricerche (CNR); Istituto Nazionale di Ottica (INO-CNR); Consiglio Nazionale delle Ricerche (CNR); Istituto di Scienze dell'Atmosfera e del Clima (ISAC-CNR); European Commission Joint Research Centre; EC JRC ISPRA Site</t>
  </si>
  <si>
    <t>Palchetti, L (corresponding author), Natl Inst Opt INO CNR, Via Madonna Piano 10, I-50019 Sesto Fiorentino, FI, Italy.</t>
  </si>
  <si>
    <t>luca.palchetti@ino.it</t>
  </si>
  <si>
    <t>Di Natale, Gianluca/AAL-4498-2021; Bianchini, Giovanni/ABD-3585-2020; Lanconelli, Christian/Q-5848-2018; PALCHETTI, LUCA/O-1270-2015</t>
  </si>
  <si>
    <t>Di Natale, Gianluca/0000-0002-9149-7926; Bianchini, Giovanni/0000-0002-5400-7721; Lanconelli, Christian/0000-0002-9545-1255; PALCHETTI, LUCA/0000-0003-4022-8125</t>
  </si>
  <si>
    <t>Italian PNRA (Programma Nazionale di Ricerche in Antartide) [2009/A04.03, 2013/AC3.01, 2013/AC3.06]</t>
  </si>
  <si>
    <t>Italian PNRA (Programma Nazionale di Ricerche in Antartide)(Ministry of Education, Universities and Research (MIUR))</t>
  </si>
  <si>
    <t>This research was supported by the Italian PNRA (Programma Nazionale di Ricerche in Antartide), under the projects: 2009/A04.03 (PRANA), 2013/AC3.01 (COMPASS), and 2013/AC3.06 (STRRAP-b).</t>
  </si>
  <si>
    <t>10.1063/1.4975560</t>
  </si>
  <si>
    <t>WOS:000405218500064</t>
  </si>
  <si>
    <t>Wolfram, EA; Orte, F; Salvador, J; Quiroga, J; D'Elia, R; Antón, M; Alados-Arboledas, L; Quel, E</t>
  </si>
  <si>
    <t>Wolfram, Elian A.; Orte, Facundo; Salvador, Jacobo; Quiroga, Jonathan; D'Elia, Raul; Anton, Manuel; Alados-Arboledas, Lucas; Quel, Eduardo</t>
  </si>
  <si>
    <t>Study Of UV Cloud Modification Factors In Southern Patagonia</t>
  </si>
  <si>
    <t>RADIATION</t>
  </si>
  <si>
    <t>Anthropogenic perturbation of the ozone layer has induced change in the amount of UV radiation that reaches the Earth's surface, mainly through the Antarctic ozone hole, making the ozone and ultraviolet (UV) radiation two important issues in the study of Earth atmosphere in the scientific community. Also the clouds have been identified as the main modulator of UV amount in short time scales and produce the main source of uncertainty in the projection of surface UV level as consequence of projected ozone recovery. While clouds can decrease direct radiation, they can produce an increase in the diffuse component, and as consequence the surface UV radiation may be higher than an equivalent clear sky scenario for several minutes. In particular this situation can be important when low ozone column and partially cloud cover skies happen simultaneously. These situations happen frequently in southern Patagonia, where the CEILAP Lidar Division has established the Atmospheric Observatory of Southern Patagonia, an atmospheric remote sensing site near the city of Rio Gallegos (51 degrees 55' S, 69 degrees 14' W). In this paper, the impact of clouds over the UV radiation is investigated by the use of ground based measurements from the passive remote sensing instruments operating at this site, mainly of broad and moderate narrow band filter radiometers. We analyzed the UV Index obtained from a multiband filter radiometer GUV-541 (UVI) [Biospherical Inc.] installed in the Observatorio Atmosferico de la Patagonia Austral, Rio Gallegos, since 2005. Cloud modification factors (CMF, ratio between the measured UV radiation in a cloudy sky and the simulated radiation under cloud-free conditions) are evaluated for the study site. The database used in this work covers the period 2005-2012 for spring and summer seasons, when the ozone hole can affect these subpolar regions. CMF higher than 1 are found during spring and summer time, when lower total ozone columns, higher solar elevations and high cloud cover occur simultaneously, producing extreme erythemal irradiance at ground surface. Enhancements as high as 25% were registered. The maximum duration of the enhancement was around 30 minute. This produces dangerous sunbathing situations for the Rio Gallegos citizen.</t>
  </si>
  <si>
    <t>[Wolfram, Elian A.; Orte, Facundo; Salvador, Jacobo; Quiroga, Jonathan; D'Elia, Raul; Quel, Eduardo] Ctr Invest Laseres &amp; Aplicac, CEILAP UNIDEF, MINDEF CONICET, UMI IFAECI CNRS 3351, Villa Martelli, Argentina; [Wolfram, Elian A.] Univ Tecnol Nacl, Fac Reg Buenos Aires, Buenos Aires, DF, Argentina; [Anton, Manuel] Univ Extremadura, Dept Fis, Badajoz, Spain; [Alados-Arboledas, Lucas] Univ Granada, Dept Fis Aplicada, Granada, Spain</t>
  </si>
  <si>
    <t>Universidad de Extremadura; University of Granada</t>
  </si>
  <si>
    <t>Wolfram, EA (corresponding author), Ctr Invest Laseres &amp; Aplicac, CEILAP UNIDEF, MINDEF CONICET, UMI IFAECI CNRS 3351, Villa Martelli, Argentina.;Wolfram, EA (corresponding author), Univ Tecnol Nacl, Fac Reg Buenos Aires, Buenos Aires, DF, Argentina.</t>
  </si>
  <si>
    <t>ewolfram@gmail.com</t>
  </si>
  <si>
    <t>Salvador, Jacobo/ISV-5414-2023; Antón, Manuel/A-8477-2010; Alados-Arboledas, Lucas/P-5630-2014</t>
  </si>
  <si>
    <t>, Raul/0000-0002-8154-6114; Orte, Pablo Facundo/0000-0003-1826-3741; Alados-Arboledas, Lucas/0000-0003-3576-7167; Anton, Manuel/0000-0002-0816-3758</t>
  </si>
  <si>
    <t>JICA (Japan International Cooperation Agency); SAVER- Net Project</t>
  </si>
  <si>
    <t>The authors would like to thank JICA (Japan International Cooperation Agency) for their financial support of different campaigns on OAPA and financial support of SAVER- Net Project (www.savernet-satreps.com).</t>
  </si>
  <si>
    <t>10.1063/1.4975574</t>
  </si>
  <si>
    <t>WOS:000405218500078</t>
  </si>
  <si>
    <t>Crud, MB; Carvalho, MD; Ramos, RRC</t>
  </si>
  <si>
    <t>Crud, Monika Beatriz; Carvalho, Marcelo de Araujo; Cabral Ramos, Renato Rodriguez</t>
  </si>
  <si>
    <t>PALEOENVIRONMENTAL INFERENCES FROM PALYNOFACIES ANALYSIS OF HIDDEN LAKE FORMATION (CONIACIAN, CRETACEOUS), LARSEN BASIN, JAMES ROSS ISLAND, ANTARCTICA</t>
  </si>
  <si>
    <t>REVISTA BRASILEIRA DE PALEONTOLOGIA</t>
  </si>
  <si>
    <t>palynofacies; Hidden Lake Formation; Coniacian; Antarctic Peninsula</t>
  </si>
  <si>
    <t>BACK-ARC BASIN; GUSTAV-GROUP; SE FRANCE; DEPOSITS; STRATIGRAPHY; FACIES; CARBONATES; PENINSULA; AGE</t>
  </si>
  <si>
    <t>The James Ross Sub-basin has one of the most complete sedimentary sequences deposited in the Southern Hemisphere. This work aims to characterize the sedimentary organic matter of 32 samples recovered from HL-1 (64 m) and HL-2 (59 m) sections, assigned to Hidden Lake Formation (Coniacian), thus to identify the paleoenvironmental changes. The Amorphous, Phytoclasts and Palynomorphs groups were identified. The sedimentary organic matter was grouped into amorphous material, opaque phytoclasts, non-opaque phytoclasts, continental palynomorphs and marine palynomorphs. The stratigraphic distribution of the groups revealed three intervals (I-III) for HL-1 section and four for HL-2 (A-D). The paleoenvironmental changes were supported based on facies association (AF-1-AF3), continental/marine ratio and principal components analysis. The two sections were correlated as follow: I/A, II/B and The Interval I/A is characterized by high values of woody material. The Interval II/B continues with high values of woody material; however, the highest peak of amorphous organic matter is recorded in HL-1 section, and the lowest abundance of non-opaque in the HL-2. In the III/C-D is recorded a conspicuous increase in marine elements in both sections. A fan-delta paleoenvironment is suggested for both sections. In section HL-1, a large amount of phytoclasts and volcanoclastic detritus suggests more proximal position in the sedimentary body. In the HL-2 section, a large amount of marine elements suggests normal marine removed from active terrigenous inputs.</t>
  </si>
  <si>
    <t>[Crud, Monika Beatriz] Univ Fed Rio Janeiro, Dept Geol, Programa Posgrad Geol, Cidade Univ S-N, BR-21949900 Rio De Janeiro, RJ, Brazil; [Carvalho, Marcelo de Araujo] Univ Fed Rio de Janeiro, Museu Nacl, Dept Geol &amp; Paleontol, Lab Paleoecol Vegetal, Quinta Boa Vista S-N, BR-20940040 Rio De Janeiro, RJ, Brazil; [Cabral Ramos, Renato Rodriguez] Univ Fed Rio de Janeiro, Museu Nacl, Dept Geol &amp; Paleontol, Setor Geol Sedimentar &amp; Ambiental, Quinta Boa Vista S-N, BR-20940040 Rio De Janeiro, RJ, Brazil</t>
  </si>
  <si>
    <t>Universidade Federal do Rio de Janeiro; Universidade Federal do Rio de Janeiro</t>
  </si>
  <si>
    <t>Crud, MB (corresponding author), Univ Fed Rio Janeiro, Dept Geol, Programa Posgrad Geol, Cidade Univ S-N, BR-21949900 Rio De Janeiro, RJ, Brazil.</t>
  </si>
  <si>
    <t>kimcrud@gmail.com; mcarvalho@mn.ufrj.br; rramos@mn.ufrj.br</t>
  </si>
  <si>
    <t>Carvalho, Marcelo A/G-8463-2015</t>
  </si>
  <si>
    <t>SOC BRASILEIRA PALEONTOLOGIA</t>
  </si>
  <si>
    <t>SAO LEOPOLDO</t>
  </si>
  <si>
    <t>PPGEO UNISINOS, AV UNISINOS 950, SAO LEOPOLDO, RS 93022-000, BRAZIL</t>
  </si>
  <si>
    <t>1519-7530</t>
  </si>
  <si>
    <t>REV BRAS PALEONTOLOG</t>
  </si>
  <si>
    <t>Rev. Bras. Paleontol.</t>
  </si>
  <si>
    <t>JAN-APR</t>
  </si>
  <si>
    <t>10.4072/rbp.2017.1.08</t>
  </si>
  <si>
    <t>EZ0US</t>
  </si>
  <si>
    <t>WOS:000404422200008</t>
  </si>
  <si>
    <t>Tozzi, S; Smith, WO</t>
  </si>
  <si>
    <t>Tozzi, Sasha; Smith, Walker O.</t>
  </si>
  <si>
    <t>Contrasting Photo-physiological Responses of the Haptophyte Phaeocystis Antarctica and the Diatom Pseudonitzschia sp. in the Ross Sea (Antarctica)</t>
  </si>
  <si>
    <t>AIMS GEOSCIENCES</t>
  </si>
  <si>
    <t>Antarctic; diatoms; photophysiology; irradiance; Phaeocystis; trace metals; iron</t>
  </si>
  <si>
    <t>PHYTOPLANKTON TAXA; IRON; GROWTH; PRYMNESIOPHYCEAE; PHOTOPHYSIOLOGY; PHOTOPROTECTION; IRRADIANCE; POLYNYA</t>
  </si>
  <si>
    <t>The Antarctic is a unique environment in which substantial variations in irradiance occur over a number of time scales, and as a result phytoplankton need to acclimate and adapt to these changes. We conducted field and laboratory manipulations in the Ross Sea, Antarctica to examine photophysiological differences between Phaeocystis antarctica and Pseudonitzschia sp. a diatom that commonly occurrs in the Ross Sea, since these are the two functional groups that dominate abundance and productivity. Both exhibited reduced quantum yields due to high irradiances. P. antarctica, a haptophyte, displays a distinct photophysiological response to irradiance when compared to diatoms. P. antarctica showed a rapid recovery from high light exposure, as indicated by the rapid return to initial, high quantum yields, in contrast to diatoms, which responded more slowly. Absorption cross sections were high in both forms, but those in P. antarctica were significantly higher. Both organisms recovered within 24 h to initial quantum yields, suggesting that high irradiance exposure does not have a permanent effect on these organisms. Among all micronutrient additions (iron, cobalt, zinc and vitamin B-12), only iron additions resulted in rapid impacts on quantum yields. Iron limitation also can result in reduced photosynthetic efficiency. Understanding these photophysiologial responses and the impact of oceanographic conditions provides constraints on modeling efforts of photosynthesis and primary productivity in the Antarctic.</t>
  </si>
  <si>
    <t>[Tozzi, Sasha; Smith, Walker O.] Coll William &amp; Mary, Virginia Inst Marine Sci, Gloucester Pt, VA 23062 USA</t>
  </si>
  <si>
    <t>Smith, WO (corresponding author), Coll William &amp; Mary, Virginia Inst Marine Sci, Gloucester Pt, VA 23062 USA.</t>
  </si>
  <si>
    <t>wos@vims.edu</t>
  </si>
  <si>
    <t>US NSF [OPP-0087401, ANT-1443258]; Office of Polar Programs (OPP); Directorate For Geosciences [1443258] Funding Source: National Science Foundation</t>
  </si>
  <si>
    <t>US NSF(National Science Foundation (NSF)); Office of Polar Programs (OPP); Directorate For Geosciences(National Science Foundation (NSF)NSF - Directorate for Geosciences (GEO))</t>
  </si>
  <si>
    <t>This research was funded by grants from the US NSF (OPP-0087401 and ANT-1443258). We thank all our CORSACS colleagues, especially M. Saito, P. Sedwick and Z. Kolber. This paper is Contribution No. 3633 of the Virginia Institute of Marine Science, College of William &amp; Mary.</t>
  </si>
  <si>
    <t>2471-2132</t>
  </si>
  <si>
    <t>AIMS GEOSCI</t>
  </si>
  <si>
    <t>AIMS Geosci.</t>
  </si>
  <si>
    <t>10.3934/geosci.2017.2.142</t>
  </si>
  <si>
    <t>EY7JP</t>
  </si>
  <si>
    <t>WOS:000404166600001</t>
  </si>
  <si>
    <t>Alexander, CMO; Cody, GD; De Gregorio, BT; Nittler, LR; Stroud, RM</t>
  </si>
  <si>
    <t>Alexander, C. M. O'D.; Cody, G. D.; De Gregorio, B. T.; Nittler, L. R.; Stroud, R. M.</t>
  </si>
  <si>
    <t>The nature, origin and modification of insoluble organic matter in chondrites, the major source of Earth's C and N</t>
  </si>
  <si>
    <t>CHEMIE DER ERDE-GEOCHEMISTRY</t>
  </si>
  <si>
    <t>Meteorites; Chondrites; Comets; Interplanetary dust; Organic matter; Interstellar; Solar nebula; Protoplanetary disk</t>
  </si>
  <si>
    <t>MOLECULAR-CLOUD MATERIAL; TAGISH LAKE METEORITE; 3.4 MU-M; ULTRACARBONACEOUS ANTARCTIC MICROMETEORITES; ORGUEIL CARBONACEOUS CHONDRITE; PROGRESSIVE AQUEOUS ALTERATION; DIFFUSE INTERSTELLAR-MEDIUM; EARLY SOLAR-SYSTEM; INTERPLANETARY DUST; MURCHISON METEORITE</t>
  </si>
  <si>
    <t>All chondrites accreted similar to 3.5 wt.% C in their matrices, the bulk of which was in a macromolecular solvent and acid insoluble organic material (IOM). Similar material to IOM is found in interplanetary dust particles (IDPs) and comets. The IOM accounts for almost all of the C and N in chondrites, and a significant fraction of the H. Chondrites and, to a lesser extent, comets were probably the major sources of volatiles for the Earth and the other terrestrial planets. Hence, IOM was both the major source of Earth's volatiles and a potential source of complex prebiotic molecules. Large enrichments in D and N-15, relative to the bulk solar isotopic compositions, suggest that IOM or its precursors formed in very cold, radiation-rich environments. Whether these environments were in the interstellar medium (ISM) or the outer Solar System is unresolved. Nevertheless, the elemental and isotopic compositions and functional group chemistry of IOM provide important clues to the origin(s) of organic matter in protoplanetary disks. IOM is modified relatively easily by thermal and aqueous processes, so that it can also be used to constrain the conditions in the solar nebula prior to chondrite accretion and the conditions in the chondrite parent bodies after accretion. Here we review what is known about the abundances, compositions and physical nature of IOM in the most primitive chondrites. We also discuss how the IOM has been modified by thermal metamorphism and aqueous alteration in the chondrite parent bodies, and how these changes may be used both as petrologic indicators of the intensity of parent body processing and as tools for classification. Finally, we critically assess the various proposed mechanisms for the formation of IOM in the ISM or Solar System. I3/4 (C) 2017 Elsevier GmbH. All rights reserved.</t>
  </si>
  <si>
    <t>[Alexander, C. M. O'D.; Nittler, L. R.] Carnegie Inst Sci, Dept Terr Magnetism, 5241 Broad Branch Rd, Washington, DC 20015 USA; [Cody, G. D.] Carnegie Inst Sci, Geophys Lab, 5251 Broad Branch Rd, Washington, DC 20015 USA; [De Gregorio, B. T.; Stroud, R. M.] US Naval Res Lab, Mat Sci &amp; Technol Div, Washington, DC 20375 USA</t>
  </si>
  <si>
    <t>Carnegie Institution for Science; Carnegie Institution for Science; United States Department of Defense; United States Navy; Naval Research Laboratory</t>
  </si>
  <si>
    <t>Alexander, CMO (corresponding author), Carnegie Inst Sci, Dept Terr Magnetism, 5241 Broad Branch Rd, Washington, DC 20015 USA.</t>
  </si>
  <si>
    <t>calexander@carnegiescience.edu</t>
  </si>
  <si>
    <t>De Gregorio, Bradley T/B-8465-2008; Stroud, Rhonda M/S-4584-2018; stroud, robert/JQI-2949-2023; Stroud, Rhonda/GQZ-0151-2022; Alexander, Conel M. O'D./N-7533-2013; Stroud, Rhonda M./C-5503-2008</t>
  </si>
  <si>
    <t>Stroud, Rhonda M/0000-0001-5242-8015; Stroud, Rhonda/0000-0001-5242-8015; Alexander, Conel M. O'D./0000-0002-8558-1427;</t>
  </si>
  <si>
    <t>NASA Cosmochemistry Grant [NNX14AJ54G]; NASA Origins of Solar Systems Grant [NNX11AB40G]; NASA [NNX11AB40G, 150036] Funding Source: Federal RePORTER</t>
  </si>
  <si>
    <t>NASA Cosmochemistry Grant; NASA Origins of Solar Systems Grant; NASA(National Aeronautics &amp; Space Administration (NASA))</t>
  </si>
  <si>
    <t>The authors would like to thank Lydie Bonal and Mathieu Roskosz for informative discussions, and Christine Floss and Eric Quirico for detailed reviews that greatly improved this work. CA was partially funded by NASA Cosmochemistry Grant NNX14AJ54G. LN and RS were partially funded by NASA Origins of Solar Systems Grant NNX11AB40G.</t>
  </si>
  <si>
    <t>ELSEVIER GMBH</t>
  </si>
  <si>
    <t>MUNICH</t>
  </si>
  <si>
    <t>HACKERBRUCKE 6, 80335 MUNICH, GERMANY</t>
  </si>
  <si>
    <t>0009-2819</t>
  </si>
  <si>
    <t>1611-5864</t>
  </si>
  <si>
    <t>CHEM ERDE-GEOCHEM</t>
  </si>
  <si>
    <t>Chem Erde-Geochem.</t>
  </si>
  <si>
    <t>10.1016/j.chemer.2017.01.007</t>
  </si>
  <si>
    <t>EY7WR</t>
  </si>
  <si>
    <t>WOS:000404203400001</t>
  </si>
  <si>
    <t>Viquerat, S; Herr, H</t>
  </si>
  <si>
    <t>Viquerat, Sacha; Herr, Helena</t>
  </si>
  <si>
    <t>Mid-summer abundance estimates of fin whales Balaenoptera physalus around the South Orkney Islands and Elephant Island</t>
  </si>
  <si>
    <t>West Antarctic Peninsula; Southern Ocean; Population status; Baleen whales</t>
  </si>
  <si>
    <t>WEST ANTARCTIC PENINSULA; CONTINENTAL-SHELF; SPATIAL MODELS; KRILL; BLUE; ECOSYSTEMS; WATERS; OCEAN</t>
  </si>
  <si>
    <t>A line-transect distance sampling survey for fin whales Balaenoptera physalus was conducted around Elephant Island and the South Orkney Islands on board a CCAMLR fishing survey for fin fish in January and February 2016. Collected data were used for model-based abundance estimates of fin whales in 2 strata. The minimum average (+/- SE) density of fin whales was estimated at 0.0268 +/- 0.0183 ind. km(-2) in a 19 750 km(2) area around Elephant Island, resulting in a minimum abundance estimate of 528 +/- 362 fin whales. In a 13 550 km(2) area around the South Orkney Islands, we estimated a minimum density of 0.0588 +/- 0.0381 ind. km(-2) and a minimum abundance of 796 +/- 516 ind. The results of this study confirm a westerly extension of a recently described high-density area for fin whales in the West Antarctic Peninsula region. In the light of increasing krill fisheries in the local region, we suggest this area for further studies to assess the potential for conflict between recovering whale populations and emerging industrial interests.</t>
  </si>
  <si>
    <t>[Viquerat, Sacha; Herr, Helena] Univ Vet Med Hannover, Inst Terr &amp; Aquat Wildlife Res, D-25761 Busum, Germany</t>
  </si>
  <si>
    <t>University of Veterinary Medicine Hannover</t>
  </si>
  <si>
    <t>Herr, H (corresponding author), Univ Vet Med Hannover, Inst Terr &amp; Aquat Wildlife Res, D-25761 Busum, Germany.</t>
  </si>
  <si>
    <t>helena.herr@tiho-hannover.de</t>
  </si>
  <si>
    <t>Herr, Helena/JAC-6808-2023; Herr, Helena/H-3585-2019</t>
  </si>
  <si>
    <t>Herr, Helena/0000-0002-5028-2419; Viquerat, Sacha/0000-0002-2519-7319</t>
  </si>
  <si>
    <t>10.3354/esr00832</t>
  </si>
  <si>
    <t>EY6WP</t>
  </si>
  <si>
    <t>WOS:000404125100005</t>
  </si>
  <si>
    <t>Wharton, DA; Marshall, CJ; Egeter, B</t>
  </si>
  <si>
    <t>Wharton, David A.; Marshall, Craig J.; Egeter, Bastian</t>
  </si>
  <si>
    <t>Comparisons between two Antarctic nematodes: cultured Panagrolaimus sp DAW1 and field-sourced Panagrolaimus davidi</t>
  </si>
  <si>
    <t>Cape Royds; culturing; endemic species; introduced species; molecular; morphology; Shackleton's hut</t>
  </si>
  <si>
    <t>TERRESTRIAL NEMATODES; COLD TOLERANCE; DNA</t>
  </si>
  <si>
    <t>The Antarctic nematode Panagrolaimus davidi can survive intracellular freezing. Genetic studies indicate the culture strain (now designated as Panagrolaimus sp. DAW1) is a different species to the P. davidi of field origin. This paper reports further attempts both to isolate DAW1 from Antarctic soils and to culture P. davidi itself. Sequencing of the 18S rRNA gene of 151 individuals indicates that DAW1 is rare in the field, but characterising two new isolates shows that, nevertheless, it is present. Panagrolaimus davidi is common in the field, but cannot be cultured using the media tested here. These two species are difficult to distinguish morphologically, apart from the absence of males in DAW1 and its longer recurved tail. Whilst it is possible that DAW1 is an introduced species, the sites at Shackleton's hut at Cape Royds are dominated by P. davidi, which is clearly an endemic species.</t>
  </si>
  <si>
    <t>[Wharton, David A.; Egeter, Bastian] Univ Otago, Dept Zool, POB 56, Dunedin, New Zealand; [Marshall, Craig J.] Univ Otago, Dept Biochem Genet, POB 56, Dunedin, New Zealand; [Egeter, Bastian] Univ Porto, Ctr Invest Biodiversidade &amp; Recursos Genet, CIBIO, InBIO, P-4485661 Vairao, Portugal</t>
  </si>
  <si>
    <t>University of Otago; University of Otago; Universidade do Porto</t>
  </si>
  <si>
    <t>Wharton, DA (corresponding author), Univ Otago, Dept Zool, POB 56, Dunedin, New Zealand.</t>
  </si>
  <si>
    <t>david.wharton@otago.ac.nz</t>
  </si>
  <si>
    <t>Marshall, Craig J./C-6668-2009; Egeter, Bastian/J-4866-2016</t>
  </si>
  <si>
    <t>Marshall, Craig J./0000-0003-4186-0368; Egeter, Bastian/0000-0003-0850-250X</t>
  </si>
  <si>
    <t>University of Otago PBRF</t>
  </si>
  <si>
    <t>We would like to thank Karen Judge, Tania King and Nat Lim for technical assistance, and the support of Antarctica New Zealand to K066 during our field work. This work received approval from the New Zealand Ministry of Foreign Affairs and Trade on 16 September 2011 File APU/ATI/7. Funding was provided by a University of Otago PBRF allocation to DAW.</t>
  </si>
  <si>
    <t>BRILL</t>
  </si>
  <si>
    <t>10.1163/15685411-00003066</t>
  </si>
  <si>
    <t>EX3UD</t>
  </si>
  <si>
    <t>WOS:000403158000004</t>
  </si>
  <si>
    <t>Hawes, TC</t>
  </si>
  <si>
    <t>Hawes, Timothy C.</t>
  </si>
  <si>
    <t>The unusually colourful clothing' changes of Lepidophorella australis Carpenter, 1925 (Collembola: Tomoceridae)</t>
  </si>
  <si>
    <t>NEW ZEALAND ENTOMOLOGIST</t>
  </si>
  <si>
    <t>Collembola; moulting; pigmentation; scales; structural colouration</t>
  </si>
  <si>
    <t>ANTARCTIC SPRINGTAIL; MORPHOLOGY</t>
  </si>
  <si>
    <t>Colour changing is a well-known phenomenon exhibited by a number of terrestrial arthropods. Non-random morphing' of the visible phenotype has generally been associated with changes in response to the environment. This article describes a previously unrecognised class of colour change which occurs as a result of endogenous rather than exogenous changes: specifically, moulting. The tomocerid springtail Lepidophorella australis dramatically changes its colour phenotype from silver-grey to yellow and back again during its moult cycle. These colour changes are caused by alternations between structural colouration (conferred by its clothing' of scales) and cuticular pigmentation during ecdysis (scale loss) and post-ecdysis (scale regeneration). Although the rate and frequency of change is affected by external factors related to development (e.g. temperature), it is a fixed component of life history. The extent of the difference between colour phenotypes means that they produce distinctly different visual (and presumably, therefore, ecological) signals. It is hypothesised that bright yellow subscale pigmentation may operate as a signal of aposematism when L australis are vulnerable to predation as a result of reduced activity and absent cuticular scales.</t>
  </si>
  <si>
    <t>[Hawes, Timothy C.] Khon Kaen Univ, Int Coll, 123 Mitraphap Highway, Khon Kaen 40002, Thailand; [Hawes, Timothy C.] Univ Otago, Dept Zool, Dunedin, New Zealand</t>
  </si>
  <si>
    <t>Khon Kaen University; University of Otago</t>
  </si>
  <si>
    <t>Hawes, TC (corresponding author), Khon Kaen Univ, 123 Mitraphap Highway, Khon Kaen 40002, Thailand.</t>
  </si>
  <si>
    <t>timothyhawes@hotmail.com</t>
  </si>
  <si>
    <t>Leverhulme Trust</t>
  </si>
  <si>
    <t>Leverhulme Trust(Leverhulme Trust)</t>
  </si>
  <si>
    <t>This research was funded by the Leverhulme Trust.</t>
  </si>
  <si>
    <t>0077-9962</t>
  </si>
  <si>
    <t>1179-3430</t>
  </si>
  <si>
    <t>NZ ENTOMOL</t>
  </si>
  <si>
    <t>N. Z. Entomol.</t>
  </si>
  <si>
    <t>10.1080/00779962.2016.1260420</t>
  </si>
  <si>
    <t>Entomology</t>
  </si>
  <si>
    <t>EY1GJ</t>
  </si>
  <si>
    <t>WOS:000403713700004</t>
  </si>
  <si>
    <t>Novikov, A; Besson, D; Chernysheva, I; Dmitrenko, V; Grachev, V; Petrenko, D; Prohira, S; Shustov, A; Ulin, S; Uteshev, Z; Vlasik, K</t>
  </si>
  <si>
    <t>Galper, A; Petrukhin, A; Taranenko, A; Selyuzhenkov, I; Skorokhvatov, M; Rubin, S; Dmitrenko, V; Gurov, Y</t>
  </si>
  <si>
    <t>Novikov, A.; Besson, D.; Chernysheva, I.; Dmitrenko, V.; Grachev, V.; Petrenko, D.; Prohira, S.; Shustov, A.; Ulin, S.; Uteshev, Z.; Vlasik, K.</t>
  </si>
  <si>
    <t>SiPM-based azimuthal position sensor in ANITA-IV Hi-Cal Antarctic balloon experiment</t>
  </si>
  <si>
    <t>INTERNATIONAL CONFERENCE ON PARTICLE PHYSICS AND ASTROPHYSICS</t>
  </si>
  <si>
    <t>2nd International Conference on Particle Physics and Astrophysics (ICPPA)</t>
  </si>
  <si>
    <t>OCT 11-14, 2016</t>
  </si>
  <si>
    <t>Moscow, RUSSIA</t>
  </si>
  <si>
    <t>Hi-Cal (High-Altitude Calibration) is a balloon-borne experiment that will be launched in December, 2016 in Antarctica following ANITA-IV (Antarctic Impulsive Transient Antenna) and will generate a broad-band pulse over the frequency range expected from radiation induced by a cosmic ray shower. Here, we describe a device based on an array of silicon photomultipliers (SiPMs) for determination of the azimuthal position of Hi-Cal. The angular resolution of the device is about 3 degrees. Since at the float altitude of similar to 38 km the pressure will be similar to 0.5 mbar and temperature similar to-20 degrees C, the equipment has been tested in a chamber over a range of corresponding pressures (0.5 divided by 1000) mbar and temperatures (-40 divided by +50) degrees C.</t>
  </si>
  <si>
    <t>[Novikov, A.; Besson, D.; Chernysheva, I.; Dmitrenko, V.; Grachev, V.; Petrenko, D.; Shustov, A.; Ulin, S.; Uteshev, Z.; Vlasik, K.] Natl Res Nucl Univ MEPhI, Moscow Engn Phys Inst, Kashirskoe Highway 31, Moscow 115409, Russia; [Novikov, A.; Besson, D.; Prohira, S.] Univ Kansas, Lawrence, KS 66045 USA</t>
  </si>
  <si>
    <t>National Research Nuclear University MEPhI (Moscow Engineering Physics Institute); University of Kansas</t>
  </si>
  <si>
    <t>Novikov, A (corresponding author), Natl Res Nucl Univ MEPhI, Moscow Engn Phys Inst, Kashirskoe Highway 31, Moscow 115409, Russia.;Novikov, A (corresponding author), Univ Kansas, Lawrence, KS 66045 USA.</t>
  </si>
  <si>
    <t>nas133@gmail.com</t>
  </si>
  <si>
    <t>Shustov, Alexander E/R-5738-2016; Novikov, Alexander S/L-7538-2016; Grachev, Victor M./S-8483-2017</t>
  </si>
  <si>
    <t>Dmitrenko, Valery/0000-0002-6657-8177; Ulin, Sergey/0000-0001-6737-7070; Novikov, Alexander/0000-0002-1086-7252; Shustov, Alexander/0000-0001-9795-3753; Vlasik, Konstantin/0000-0002-8386-4546; Uteshev, Ziyaetdin/0000-0002-0833-2638</t>
  </si>
  <si>
    <t>10.1088/1742-6596/798/1/012217</t>
  </si>
  <si>
    <t>Astronomy &amp; Astrophysics; Physics, Particles &amp; Fields</t>
  </si>
  <si>
    <t>Astronomy &amp; Astrophysics; Physics</t>
  </si>
  <si>
    <t>BH8MO</t>
  </si>
  <si>
    <t>WOS:000403476900216</t>
  </si>
  <si>
    <t>Mândrea, L; Marosy, Z; Costea, M</t>
  </si>
  <si>
    <t>Mandrea, Lucian; Marosy, Zoltan; Costea, Marian</t>
  </si>
  <si>
    <t>Studies Regarding Forced Crystallization of Different Ionic Multiphase Solutions on Intense and Uniform Electric Field</t>
  </si>
  <si>
    <t>2017 10TH INTERNATIONAL SYMPOSIUM ON ADVANCED TOPICS IN ELECTRICAL ENGINEERING (ATEE)</t>
  </si>
  <si>
    <t>International Symposium on Advanced Topics in Electrical Engineering</t>
  </si>
  <si>
    <t>10th International Symposium on Advanced Topics in Electrical Engineering (ATEE)</t>
  </si>
  <si>
    <t>MAR 23-25, 2017</t>
  </si>
  <si>
    <t>Bucharest, ROMANIA</t>
  </si>
  <si>
    <t>liquids; multiphase ionic solutions; intense electric field; crystallization; extreme environments</t>
  </si>
  <si>
    <t>Structuring of ionic multiphase solutions in an electric field is an important study in the context of the research carried out worldwide concerning the behavioral differences of the biological and non-biological structures in various extreme environments. To create a logical approach and based on science we need to know the dynamic of ionic solutions in different environments by analyzing step by step more observable characteristics. In this context, the current study is based on differences in the structuring and crystallization of multiphase ionic solutions in an intense electric field. Therefore, by similarities, conclusions are drawn on how the electric field can change the internal structure and external shape of bacteria in extreme environments.</t>
  </si>
  <si>
    <t>[Mandrea, Lucian; Costea, Marian] Univ Politehn Bucuresti, Bucharest, Romania; [Marosy, Zoltan] Ecol Univ Bucharest, Bucharest, Romania</t>
  </si>
  <si>
    <t>National University of Science &amp; Technology POLITEHNICA Bucharest; Ecological University of Bucharest</t>
  </si>
  <si>
    <t>Mândrea, L (corresponding author), Univ Politehn Bucuresti, Bucharest, Romania.</t>
  </si>
  <si>
    <t>mandrea_lucian@hotmail.com; marosy.zoltan@gmail.com; marian_costea2003@yahoo.com</t>
  </si>
  <si>
    <t>Costea, Marian/AAX-1562-2021</t>
  </si>
  <si>
    <t>Costea, Marian/0000-0002-0691-6496</t>
  </si>
  <si>
    <t>Romanian Academy; Strategic Plan for Antarctic Research, 4. Thematic Area - Frontier Science: Antarctica - Terrestrial Analog for Outer Space</t>
  </si>
  <si>
    <t>Romanian Academy(Romanian Academy of Sciences); Strategic Plan for Antarctic Research, 4. Thematic Area - Frontier Science: Antarctica - Terrestrial Analog for Outer Space</t>
  </si>
  <si>
    <t>These studies are part of a project of the National Committee on Antarctic Research, supported by the Romanian Academy; part of the Strategic Plan for Antarctic Research 2016 - 2020, 4. Thematic Area - Frontier Science: Antarctica - Terrestrial Analog for Outer Space.</t>
  </si>
  <si>
    <t>1843-8571</t>
  </si>
  <si>
    <t>978-1-5090-5160-1</t>
  </si>
  <si>
    <t>INT SYMP ADV TOP</t>
  </si>
  <si>
    <t>BH8KL</t>
  </si>
  <si>
    <t>WOS:000403399400098</t>
  </si>
  <si>
    <t>Guidetti, R; McInnes, SJ; Cesari, M; Rebecchi, L; Rota-Stabelli, O</t>
  </si>
  <si>
    <t>Guidetti, Roberto; McInnes, Sandra J.; Cesari, Michele; Rebecchi, Lorena; Rota-Stabelli, Omar</t>
  </si>
  <si>
    <t>Evolutionary scenarios for the origin of an Antarctic tardigrade species based on molecular clock analyses and biogeographic data</t>
  </si>
  <si>
    <t>CONTRIBUTIONS TO ZOOLOGY</t>
  </si>
  <si>
    <t>Gondwana; historical biogeography; Last Glacial Maximum; molecular clock dating; vicariance</t>
  </si>
  <si>
    <t>SOUTHERN-OCEAN; CONTINENTAL ANTARCTICA; DRAKE PASSAGE; HISTORY; EUTARDIGRADA; GLACIATION; DIVERSITY; PHYLOGENY; ISLANDS; GENUS</t>
  </si>
  <si>
    <t>The origin of the Antarctic continental extant fauna is a highly debated topic, complicated by the paucity of organisms for which we have clear biogeographic distributions and understanding of their evolutionary timescale. To shed new light on this topic, we coupled molecular clock analyses with biogeographic studies on the heterotardigrade genus Mopsechiniscus. This taxon includes species with endemic distributions in Antarctica and other regions of the southern hemisphere. Molecular dating using different models and calibration priors retrieved similar divergence time for the split between the Antarctic and South American Mopsechiniscus lineages (32-48 Mya) and the estimated age of the Drake Passage opening that led to the separation of Antarctica and South America. Our divergence estimates are congruent with other independent studies in dating Gondwanan geological events. Although different analyses retrieved similar results for the internal relationships within the Heterotardigrada, our results indicated that the molecular dating of tardigrades using genes coding for ribosomal RNA (18S and 28S rDNA) is a complex task, revealed by a very wide range of posterior density and a relative difficulty in discriminating between competing models. Overall, our study indicates that Mopsechiniscus is an ancient genus with a clear Gondwanan distribution, in which speciation was probably directed by a cooccurrence of vicariance and glacial events.</t>
  </si>
  <si>
    <t>[Guidetti, Roberto; Cesari, Michele; Rebecchi, Lorena] Univ Modena &amp; Reggio Emilia, Dept Life Sci, Via Campi 213-D, I-41125 Modena, Italy; [McInnes, Sandra J.] British Antarctic Survey, Nat Environm Res Council, Madingley Rd, Cambridge CB3 0ET, England; [Rota-Stabelli, Omar] Fdn Edmund Mach, Res &amp; Innovat Ctr, Via Mach 1, I-38010 San Michele All Adige, Trento, Italy</t>
  </si>
  <si>
    <t>Universita di Modena e Reggio Emilia; UK Research &amp; Innovation (UKRI); Natural Environment Research Council (NERC); NERC British Antarctic Survey; Fondazione Edmund Mach</t>
  </si>
  <si>
    <t>Guidetti, R (corresponding author), Univ Modena &amp; Reggio Emilia, Dept Life Sci, Via Campi 213-D, I-41125 Modena, Italy.</t>
  </si>
  <si>
    <t>roberto.guidetti@unimore.it</t>
  </si>
  <si>
    <t>Cesari, Michele/AAS-4964-2020; McInnes, Sandra/AAN-4773-2020; Rota Stabelli, Omar/G-8477-2011; Rebecchi, Lorena/E-1653-2015</t>
  </si>
  <si>
    <t>Cesari, Michele/0000-0001-8857-3791; McInnes, Sandra/0000-0003-3403-9379; Rota Stabelli, Omar/0000-0002-0030-7788; Rebecchi, Lorena/0000-0001-5610-806X</t>
  </si>
  <si>
    <t>project Evolutive and phylogeographic history of Antarctic organisms and responses by ecosystems to climatic and environmental changings (PEA); Programma Nazionale Ricerche in Antartide (PNRA) - Ministero dell'Istruzione dell' Universita e della Ricerca (MIUR)</t>
  </si>
  <si>
    <t>This study was supported by the project Evolutive and phylogeographic history of Antarctic organisms and responses by ecosystems to climatic and environmental changings, (PEA 2013) supported by Programma Nazionale Ricerche in Antartide (PNRA) - Ministero dell'Istruzione dell' Universita e della Ricerca (MIUR). We thank two anonymous reviewers.</t>
  </si>
  <si>
    <t>NATURALIS BIODIVERSITY CENTER</t>
  </si>
  <si>
    <t>DARWINWEG 2, LEIDEN, 2333 CR, NETHERLANDS</t>
  </si>
  <si>
    <t>1383-4517</t>
  </si>
  <si>
    <t>1875-9866</t>
  </si>
  <si>
    <t>CONTRIB ZOOL</t>
  </si>
  <si>
    <t>Contrib. Zool.</t>
  </si>
  <si>
    <t>EX9VO</t>
  </si>
  <si>
    <t>WOS:000403606800001</t>
  </si>
  <si>
    <t>interstitial; isopoda; Japan; morphology; taxonomy</t>
  </si>
  <si>
    <t>BIOLOGICAL IDENTIFICATIONS; CRUSTACEA; BIOGEOGRAPHY</t>
  </si>
  <si>
    <t>A new species of Microcharon Karaman, 1934 (Asellota: Lepidocharontidae) is described from MihoUchihama beach, Shizuoka, Japan. Microcharon tanakai sp. n. differs from its congeners by having nine simple, five penicillate setae on antennal article 6; one simple distal seta on article 1 of the mandibular palp and having the apical lobe of male pleopod 1 convex, rounded, armed with seven setae. A key to Asian species of the genus and 16S rRNA of the new species are provided.</t>
  </si>
  <si>
    <t>[Kim, Jeongho; Lee, Wonchoel; Karanovic, Ivana] Hanyang Univ, Dept Life Sci, Seoul, South Korea; [Karanovic, Ivana] Univ Tasmania, Inst Marine &amp; Antarctic Studies, Hobart, Tas 7001, Australia</t>
  </si>
  <si>
    <t>Lee, Wonchoel/L-9822-2018</t>
  </si>
  <si>
    <t>Lee, Wonchoel/0000-0002-9873-1033</t>
  </si>
  <si>
    <t>BK21 Plus Program (Future-oriented innovative brain raising type) - Ministry of Education (MOE, Korea) [22A20130012806]; National Research Foundation of Korea (NRF) [NIBR201601201]; National Institute of Biological Resource (NIBR) - Ministry of Environment (MOE), Republic of Korea</t>
  </si>
  <si>
    <t>BK21 Plus Program (Future-oriented innovative brain raising type) - Ministry of Education (MOE, Korea)(Ministry of Education (MOE), Republic of Korea); National Research Foundation of Korea (NRF)(National Research Foundation of Korea); National Institute of Biological Resource (NIBR) - Ministry of Environment (MOE), Republic of Korea(Ministry of Environment (ME), Republic of Korea)</t>
  </si>
  <si>
    <t>This study was supported by the BK21 Plus Program (Future-oriented innovative brain raising type, 22A20130012806) funded by the Ministry of Education (MOE, Korea). This study was also supported by a grant (NIBR201601201) of National Research Foundation of Korea (NRF) and National Institute of Biological Resource (NIBR) funded by the Ministry of Environment (MOE), Republic of Korea. We would like to express our great appreciation to Dr. Nicole Coineau for her kind help and invaluable comments for the improvement of this paper.</t>
  </si>
  <si>
    <t>10.3897/zookeys.680.12048</t>
  </si>
  <si>
    <t>EX6ZT</t>
  </si>
  <si>
    <t>WOS:000403393500002</t>
  </si>
  <si>
    <t>McCann, J</t>
  </si>
  <si>
    <t>DeMelo, CJ; Vaz, E; Pinto, LMC</t>
  </si>
  <si>
    <t>McCann, Joy</t>
  </si>
  <si>
    <t>Upwelling: The Rise of Ecological Consciousness in the Southern Ocean</t>
  </si>
  <si>
    <t>ENVIRONMENTAL HISTORY IN THE MAKING, VOL II: ACTING</t>
  </si>
  <si>
    <t>Environmental History-Series</t>
  </si>
  <si>
    <t>In 1904 an eminent Australian geographer, JW Gregory, gave an address in New Zealand on the effects of ocean currents on climate in the Southern Hemisphere. The newly-federated nation of Australia was emerging from a catastrophic eight-year drought, and climatic extremes were fresh in Gregory's mind when he arrived amongst the green hills of Dunedin to give his address. He argued for the establishment of a United Meteorological Service for Australasia, modelled on the successful Indian service and drawing on contemporary knowledge about the way in which oceans controlled climate in the region. Our 'crude knowledge' of the Southern Ocean, he said, demanded that we study it more closely. If 'our weather be determined by the remote upwelling of water from the deep seas', then the fledgling science of meteorology was ill-equipped for the task of predicting climate patterns without an understanding the currents and winds that regulated them. The Southern Ocean, an immense, remote ocean in the high southern latitudes, is the world's youngest ocean. Its waters separate the southern coast and islands of Australia from Antarctica, the two driest and most climatically-extreme continents on Earth. The ocean has deep ecological, political and cultural significance to Australia, yet its history continues to be defined by imperial narratives of heroic maritime exploration and Antarctic exploration. At the time of Professor Gregory's address, the Southern Ocean had become notorious amongst mariners for its ferocious 'Roaring Forties' winds and powerful eastward-flowing currents that encircled the globe. Over the course of the next century, the Southern Ocean would shift dramatically in our consciousness as the new field of oceanography focused scientific attention on its deep ocean currents, revealing them to be a 'crucial cog' in the world's climatic patterns. In this chapter I seek to historicize the Southern Ocean by recasting the traditional narratives of the high southern latitudes within the larger and more complex story of our changing environmental relationships with the ocean. The discovery and exploration of the deep ocean of the high southern latitudes has received little attention from environmental historians. Yet the rise of an ecological consciousness of the Southern Ocean has had profound consequences for our understanding of the Earth's changing climate, and the impact of the ocean on the lives of those who inhabit the region. It is not possible to measure the full extent of that sea except with the eye of fantasy. No one will ever delve to the bottom of that sea except by plunging into the waves of his wildest dreams (O'Kane 1972, p. 163).(1) The Southern Ocean, sometimes called the Antarctic Ocean, encircles the globe in the high southern latitudes south of Australia, New Zealand, South America and South Africa. This chapter seeks to historicize the Southern Ocean, drawing on an Australian perspective to examine different local and global knowledge systems that have shaped, and continue to shape, our understanding of this remote, tempestuous and globally significant marine environment.</t>
  </si>
  <si>
    <t>[McCann, Joy] Australian Natl Univ, Canberra, ACT, Australia</t>
  </si>
  <si>
    <t>McCann, J (corresponding author), Australian Natl Univ, Canberra, ACT, Australia.</t>
  </si>
  <si>
    <t>joymccann@grapevine.com.au</t>
  </si>
  <si>
    <t>SPRINGER INT PUBLISHING AG</t>
  </si>
  <si>
    <t>2211-9019</t>
  </si>
  <si>
    <t>978-3-319-41139-2; 978-3-319-41137-8</t>
  </si>
  <si>
    <t>ENVIRON HIST-SER</t>
  </si>
  <si>
    <t>10.1007/978-3-319-41139-2_17</t>
  </si>
  <si>
    <t>10.1007/978-3-319-41139-2</t>
  </si>
  <si>
    <t>Green &amp; Sustainable Science &amp; Technology; Environmental Sciences; Environmental Studies</t>
  </si>
  <si>
    <t>Science &amp; Technology - Other Topics; Environmental Sciences &amp; Ecology</t>
  </si>
  <si>
    <t>BH6KW</t>
  </si>
  <si>
    <t>WOS:000401898100018</t>
  </si>
  <si>
    <t>Lewis, K</t>
  </si>
  <si>
    <t>Lewis, Keith</t>
  </si>
  <si>
    <t>The golden dawn of New Zealand oceanography</t>
  </si>
  <si>
    <t>JOURNAL OF THE ROYAL SOCIETY OF NEW ZEALAND</t>
  </si>
  <si>
    <t>Charles Fleming; DSIR; history of science; James Brodie; marine sciences; New Zealand; New Zealand Oceanographic Institute; NIWA; NZOI</t>
  </si>
  <si>
    <t>The New Zealand Oceanographic Institute (NZOI) laid the foundations for the interactive study of water masses, seabed geology and biota of the Southwest Pacific from 1954 until the demise of the Department of Scientific and Industrial Research in 1992. It was one of the first multidisciplinary marine sciences organisations outside the US and UK. With its brief extending from the seas around New Zealand's Island Territories near the equator to its Antarctic Ross Dependency, emphasis was always on understanding processes. James Brodie helped set up NZOI, became its first director and initiated many of the mechanisms for its success using a very flat, interactive management style. Initially, equipment, seagoing facilities and accommodation were primitive, but all improved significantly with the acquisition of a custom-build ship and new laboratories. NZOI's legacy was a huge resource of knowledge that continues to be used within the marine programmes of the National Institute of Water and Atmospheric Research and worldwide.</t>
  </si>
  <si>
    <t>keithlewis@paradise.net.nz</t>
  </si>
  <si>
    <t>0303-6758</t>
  </si>
  <si>
    <t>1175-8899</t>
  </si>
  <si>
    <t>J ROY SOC NEW ZEAL</t>
  </si>
  <si>
    <t>J. R. Soc. N.Z.</t>
  </si>
  <si>
    <t>10.1080/03036758.2017.1305973</t>
  </si>
  <si>
    <t>EV9KN</t>
  </si>
  <si>
    <t>WOS:000402105000011</t>
  </si>
  <si>
    <t>Han, X; Wei, FY; Chen, XR</t>
  </si>
  <si>
    <t>Han, Xue; Wei, Fengying; Chen, Xingrong</t>
  </si>
  <si>
    <t>Influence of the Anomalous Patterns of the Mascarene and Australian Highs on Precipitation during the Prerainy Season in South China</t>
  </si>
  <si>
    <t>HEMISPHERE ANNULAR MODE; SST DIPOLE EVENTS; INDIAN-OCEAN; INTERANNUAL VARIABILITY; ANTARCTIC OSCILLATION; WINTER PRECIPITATION; SUMMER MONSOON; BOREAL WINTER; RIVER VALLEY; CIRCULATION</t>
  </si>
  <si>
    <t>The authors investigate the features of precipitation during the prerainy season in South China (PSCPRS) and the atmospheric circulation in the Southern Hemisphere (SH), which is expected to influence the PSCPRS significantly. The Morlet wavelet method revealed that the PSCPRS has significant interannual variability, especially in its quasi-biennial oscillation. The PSCPRS exhibits a significant monsoonal precipitation pattern. Using singular value decomposition (SVD) and composite analysis, the anomalous characteristics of SH atmospheric circulations and their impacts on the PSCPRS are studied. The results reveal that eastward movements or extensions of the Mascarene high (MH) and Australian high (AH), which have quasi-baroclinic geopotential height structures in the lower and middle troposphere, are the most significant factors affecting the PSCPRS. Their impacts on the PSCPRS anomalies are further studied using the index east of the MH (IEMH) and index east of the AH (IEAH). The IEMH and IEAH have notable significant positive correlations with the PSCPRS. When either the IEMH or IEAH is stronger (weaker), more (less) rainfall occurs during the prerainy season in South China.</t>
  </si>
  <si>
    <t>[Han, Xue; Chen, Xingrong] Natl Marine Environm Forecasting Ctr, Beijing 100081, Peoples R China; [Wei, Fengying] Chinese Acad Meteorol Sci, State Key Lab Severe Weather, Beijing 100081, Peoples R China</t>
  </si>
  <si>
    <t>National Marine Environmental Forecasting Center; China Meteorological Administration; Chinese Academy of Meteorological Sciences (CAMS)</t>
  </si>
  <si>
    <t>Han, X (corresponding author), Natl Marine Environm Forecasting Ctr, Beijing 100081, Peoples R China.</t>
  </si>
  <si>
    <t>han_xue1129@hotmail.com</t>
  </si>
  <si>
    <t>National Natural Science Foundation of China [41306007, 41576029, 40975044, 41106004]; National Science &amp; Technology Supporting Program [2009BAC51B04]; National program on Global Change and Air-Sea Interaction [GASI-IPOVAI-03]</t>
  </si>
  <si>
    <t>National Natural Science Foundation of China(National Natural Science Foundation of China (NSFC)); National Science &amp; Technology Supporting Program; National program on Global Change and Air-Sea Interaction</t>
  </si>
  <si>
    <t>This study was supported by the National Natural Science Foundation of China (Grant nos. 41306007, 41576029, 40975044, and 41106004), the National Science &amp; Technology Supporting Program under Grant no. 2009BAC51B04, and the National program on Global Change and Air-Sea Interaction under Grant no. GASI-IPOVAI-03. The authors would like to thank Dr. Li Yan (Research Assistant of National Marine Data &amp; Information Service) for her continuous support.</t>
  </si>
  <si>
    <t>10.1155/2017/6408029</t>
  </si>
  <si>
    <t>EV0GV</t>
  </si>
  <si>
    <t>WOS:000401417400001</t>
  </si>
  <si>
    <t>Kadlag, Y; Becker, H</t>
  </si>
  <si>
    <t>Kadlag, Yogita; Becker, Harry</t>
  </si>
  <si>
    <t>Origin of highly siderophile and chalcogen element fractionations in the components of unequilibrated H and LL chondrites</t>
  </si>
  <si>
    <t>Re-Os systematics; HSE; Chalcogen elements; ICP-MS</t>
  </si>
  <si>
    <t>13 TRACE-ELEMENTS; TYPE-3 ORDINARY CHONDRITES; EARLY SOLAR-SYSTEM; PRIMITIVE METEORITES; ABUNDANCE PATTERNS; INTERELEMENT RELATIONSHIPS; RE-187-OS-187 SYSTEMATICS; ENSTATITE CHONDRITES; ISOTOPIC SYSTEMATICS; VOLATILE ELEMENTS</t>
  </si>
  <si>
    <t>Osmium isotopic compositions, abundances of highly siderophile elements (HSE: platinum group elements, Re and Au), the chalcogen elements S, Se and Te and major and minor elements were analysed in physically separated size fractions and components of the ordinary chondrites WSG 95300 (H3.3, meteorite find) and Parnallee (LL3.6, meteorite fall). Fine grained magnetic fractions are 268-65 times enriched in HSE compared to the non-magnetic fractions. A significant deviation of some fractions of WSG 95300 from the 4.568 Ga (187) Re-(187) Os isochron was caused by redistribution of Re due to weathering of metal. HSE abundance patterns show that at least four different types of HSE carriers are present in WSG 95300 and Parnallee. The HSE carriers display (i) CI chondritic HSE ratios, (ii) variable Re/Os ratios, (iii) lower than CI chondritic Pd/Ir and Au/Ir and (iv) higher Pt/Ir and Pt/Ru than in CI chondrites. These differences between components clearly indicate the loss of refractory HSE carrier phases before accretion of the components. Tellurium abundances correlate with Pd and are decoupled from S, suggesting that most Te partitioned into metal during the last high-temperature event. Tellurium is depleted in all fractions compared to CI chondrite normalized Se abundances. The depletion of Te is likely associated with the high temperature history of the metal precursors of H and LL chondrites and occurred independent of the metal loss event that depleted LL chondrites in siderophile elements. Most non-magnetic and slightly magnetic fractions have S/Se close to CI chondrites. In contrast, the decoupling of Te and Se from S in magnetic fractions suggests the influence of volatility and metal-silicate partitioning on the abundances of the chalcogen elements. The influence of terrestrial weathering on chalcogen element systematics of these meteorites appears to be negligible. (C) 2017 Elsevier GmbH. All rights reserved.</t>
  </si>
  <si>
    <t>[Kadlag, Yogita; Becker, Harry] Free Univ Berlin, Inst Geol Wissensch, Malteserstr 74-100, D-12249 Berlin, Germany</t>
  </si>
  <si>
    <t>Free University of Berlin</t>
  </si>
  <si>
    <t>Kadlag, Y (corresponding author), Free Univ Berlin, Inst Geol Wissensch, Malteserstr 74-100, D-12249 Berlin, Germany.</t>
  </si>
  <si>
    <t>yogita@zedat.fu-berlin.de</t>
  </si>
  <si>
    <t>The first ten million years of solar system-a planetary materials approach [DFG-SPP 1385, Be1820/10-1, Be1820/10-2]</t>
  </si>
  <si>
    <t>The first ten million years of solar system-a planetary materials approach</t>
  </si>
  <si>
    <t>This project was funded by DFG-SPP 1385 The first ten million years of solar system-a planetary materials approach (Be1820/10-1 and -2). We are thankful to The Natural History Museum, London for providing specimen of Parnallee (off BM.34792) and the Smithsonian National Museum of Natural History, Washington D.C. and the Antarctic Meteorite Working Group for providing an aliquot of the Smithsonian Allende meteorite standard reference powder and the piece of WSG 95300, respectively. We thank K. Hammerschmidt for technical help in the TIMS lab, M. Feth and S. Kommescher for support in the clean lab. We are also thankful to F. Mangels, C. Behr and R. Milke for assistance and guidance in the preparation of thick sections and during electron microprobe analysis.</t>
  </si>
  <si>
    <t>10.1016/j.chemer.2017.01.004</t>
  </si>
  <si>
    <t>EU4ZZ</t>
  </si>
  <si>
    <t>WOS:000401042700007</t>
  </si>
  <si>
    <t>Suh, SS; Yang, EJ; Lee, SG; Youn, UJ; Han, SJ; Kim, IC; Kim, S</t>
  </si>
  <si>
    <t>Suh, Sung-Suk; Yang, Eun Jin; Lee, Sung Gu; Youn, Ui Joung; Han, Se Jong; Kim, Il-Chan; Kim, Sanghee</t>
  </si>
  <si>
    <t>Bioactivities of ethanol extract from the Antarctic freshwater microalga, Chloromonas sp.</t>
  </si>
  <si>
    <t>INTERNATIONAL JOURNAL OF MEDICAL SCIENCES</t>
  </si>
  <si>
    <t>Bioactivities; ethanol extract; Chloromonas sp.</t>
  </si>
  <si>
    <t>NATURAL-PRODUCTS; ANTICANCER ACTIVITIES; ANTIOXIDANT ACTIVITY; CELL-DEATH; CANCER; FUCOXANTHIN; THERAPIES; APOPTOSIS</t>
  </si>
  <si>
    <t>Cancer is the principal cause of human death and occurs through highly complex processes that involve the multiple coordinated mechanisms of tumorigenesis. A number of studies have indicated that the microalgae extracts showed anticancer activity in a variety of human cancer cells and can provide a new insight in the development of novel anti-cancer therapy. Here, in order to investigate molecular mechanisms of anticancer activity in the Antarctic freshwater microalga, Chloromonas sp., we prepared ethanol extract of Chloromonas sp. (ETCH) and performed several in vitro assays using human normal keratinocyte (HaCaT) and different types of cancer cells including cervical, melanoma, and breast cancer cells (HeLa, A375 and Hs578T, respectively). We revealed that ETCH had the antioxidant capacity, and caused significant cell growth inhibition and apoptosis of cancer cells in a dose-dependent manner, whereas it showed no anti-proliferation to normal cells. In addition, ETCH had a significant inhibitory effect on cell invasion without the cytotoxic effect. Furthermore, ETCH-induced apoptosis was mediated by increase in pro-apoptotic proteins including cleaved caspase-3 and p53, and by decrease in anti-apoptotic protein, Bcl-2 in ETCH-treated cancer cells. Taken together, this work firstly explored the antioxidant and anticancer activities of an Antarctic freshwater microalga, and ETCH could be a potential therapeutic candidate in the treatment of human cancer.</t>
  </si>
  <si>
    <t>[Suh, Sung-Suk; Lee, Sung Gu; Youn, Ui Joung; Han, Se Jong; Kim, Il-Chan; Kim, Sanghee] Korea Polar Res Inst, Div Polar Life Sci, Incheon 21990, South Korea; [Yang, Eun Jin] Korea Polar Res Inst, Dept Polar Ocean Environm, Incheon 21990, South Korea; [Lee, Sung Gu; Han, Se Jong; Kim, Il-Chan; Kim, Sanghee] Univ Sci &amp; Technol, Dept Polar Sci, Incheon 21990, South Korea</t>
  </si>
  <si>
    <t>Korea Polar Research Institute (KOPRI); Korea Polar Research Institute (KOPRI)</t>
  </si>
  <si>
    <t>Kim, S (corresponding author), Korea Polar Res Inst, Div Polar Life Sci, Incheon 21990, South Korea.;Kim, S (corresponding author), Univ Sci &amp; Technol, Dept Polar Sci, Incheon 21990, South Korea.</t>
  </si>
  <si>
    <t>sangheekim@kopri.re.kr</t>
  </si>
  <si>
    <t>Yang, Eun Jin/0000-0002-8639-5968; HAN, Se Jong/0000-0001-9576-2179</t>
  </si>
  <si>
    <t>Korea Polar Research Institute, republic of Korea [PM16040, PE17180]</t>
  </si>
  <si>
    <t>Korea Polar Research Institute, republic of Korea</t>
  </si>
  <si>
    <t>This research was supported by the research project (PE17180) and K-AOOS (PM16040) of Korea Polar Research Institute, republic of Korea.</t>
  </si>
  <si>
    <t>IVYSPRING INT PUBL</t>
  </si>
  <si>
    <t>LAKE HAVEN</t>
  </si>
  <si>
    <t>PO BOX 4546, LAKE HAVEN, NSW 2263, AUSTRALIA</t>
  </si>
  <si>
    <t>1449-1907</t>
  </si>
  <si>
    <t>INT J MED SCI</t>
  </si>
  <si>
    <t>Int. J. Med. Sci.</t>
  </si>
  <si>
    <t>10.7150/ijms.18702</t>
  </si>
  <si>
    <t>EU6CP</t>
  </si>
  <si>
    <t>WOS:000401121900007</t>
  </si>
  <si>
    <t>Chavtur, VG</t>
  </si>
  <si>
    <t>Chavtur, V. G.</t>
  </si>
  <si>
    <t>The Composition, Structure, and Distribution of Benthic Ostracod Fauna (Ostracoda, Myodocopa) in Antarctic Waters</t>
  </si>
  <si>
    <t>RUSSIAN JOURNAL OF MARINE BIOLOGY</t>
  </si>
  <si>
    <t>Myodocopida; Cypridinidae; Philomedidae; Cylindroleberididae; Sarsiellidae; Antarctic; latitudinal and vertical distribution</t>
  </si>
  <si>
    <t>SOUTHERN-OCEAN; CYLINDROLEBERIDIDAE</t>
  </si>
  <si>
    <t>The benthic fauna of ostracods of the order Myodocopida of Antarctic waters is characterized by high diversity, relative species abundance, and a complicated taxonomic and ecological structure, with a simplified biogeographical structure. This fauna, which is distinguished by a high level of endemicity, although at a low taxonomic rank, includes a great share of deep-sea and subtidal elements. Ostracod populations of High and Low-Antarctic subzones differ qualitatively and quantitatively. A distinct impoverishment of fauna is observed in the region of the Antarctic divergence compared to the more northern areas. The number of species increases with depth to reach its maximum in the lower subtidal zone and on the upper continental slope at depths of 200-500 m. The number of species decreases with increasing depth. Myodocopida have not been yet found in the Antarctic waters deeper than 5000 m.</t>
  </si>
  <si>
    <t>[Chavtur, V. G.] Russian Acad Sci, Zhirmunsky Inst Marine Biol, Far Eastern Branch, Vladivostok 690041, Russia; [Chavtur, V. G.] Far Eastern Fed Univ, Vladivostok 690950, Russia</t>
  </si>
  <si>
    <t>Russian Academy of Sciences; National Scientific Center of Marine Biology, Far East Branch of the Russian Academy of Sciences; Far Eastern Federal University</t>
  </si>
  <si>
    <t>Chavtur, VG (corresponding author), Russian Acad Sci, Zhirmunsky Inst Marine Biol, Far Eastern Branch, Vladivostok 690041, Russia.;Chavtur, VG (corresponding author), Far Eastern Fed Univ, Vladivostok 690950, Russia.</t>
  </si>
  <si>
    <t>vchavtur@gmail.com</t>
  </si>
  <si>
    <t>Chavtur, Vladimir Grigoryevich/AAG-2457-2019</t>
  </si>
  <si>
    <t>Russian Foundation for Basic Research [16-04-00310a]</t>
  </si>
  <si>
    <t>The study was supported by the Russian Foundation for Basic Research, project no. 16-04-00310a.</t>
  </si>
  <si>
    <t>MAIK NAUKA/INTERPERIODICA/SPRINGER</t>
  </si>
  <si>
    <t>233 SPRING ST, NEW YORK, NY 10013-1578 USA</t>
  </si>
  <si>
    <t>1063-0740</t>
  </si>
  <si>
    <t>1608-3377</t>
  </si>
  <si>
    <t>RUSS J MAR BIOL+</t>
  </si>
  <si>
    <t>Russ. J. Mar. Biol.</t>
  </si>
  <si>
    <t>10.1134/S1063074017010035</t>
  </si>
  <si>
    <t>ET6FC</t>
  </si>
  <si>
    <t>WOS:000400385600002</t>
  </si>
  <si>
    <t>Kosobokova, KN; Isachenko, AI</t>
  </si>
  <si>
    <t>Kosobokova, K. N.; Isachenko, A. I.</t>
  </si>
  <si>
    <t>The Gonad Maturation and Size Structure of the Population of Abundant Planktonic Predator Eukrohnia hamata (Mobius, 1875) (Chaetognatha) in the Eurasian Basin of the Arctic Ocean in Summer</t>
  </si>
  <si>
    <t>chaetognaths; Eukrohnia hamata; Arctic basin; population size structure; morphology of the genital system; gonad maturation</t>
  </si>
  <si>
    <t>VERTICAL-DISTRIBUTION; PARASAGITTA-ELEGANS; SAGITTA-ELEGANS; PELAGIC CHAETOGNATHA; ANTARCTIC PENINSULA; GERLACHE STRAIT; NANSEN BASIN; LIFE-HISTORY; MESOZOOPLANKTON; ZOOPLANKTON</t>
  </si>
  <si>
    <t>The size structure of the population, morphology of the reproductive system, and gonad maturation of the chaetognath Eukrohnia hamata (Mobius, 1875) (Chaetognatha) were studied for the first time from zooplankton samples collected in Fram Strait and the deep Eurasian basin of the Arctic Ocean north of the Kara and Laptev seas in the summers of 1995 and 1997. We describe the gonad morphology and the progress of gonad maturation in male and female specimens and propose a system for classification of gonad maturity stages. During the Arctic summer, the population was represented by individuals ranging in size from 2 to 37 mm. The newly hatched young (2.0-3.5 mm long) and juveniles (4.0-12.5 mm long) dominated numerically (30 and 50% of the population, respectively). Our results indicate that E. hamata successfully matures and reproduces in the Arctic basin, but mature individuals make up less than 1% of the population in the summer against the background of juvenile abundance.</t>
  </si>
  <si>
    <t>[Kosobokova, K. N.] Russian Acad Sci, Shirshov Inst Oceanol, Moscow 117997, Russia; [Isachenko, A. I.] Arctic Res Ctr, Moscow 119333, Russia</t>
  </si>
  <si>
    <t>Russian Academy of Sciences; Shirshov Institute of Oceanology</t>
  </si>
  <si>
    <t>Kosobokova, KN (corresponding author), Russian Acad Sci, Shirshov Inst Oceanol, Moscow 117997, Russia.</t>
  </si>
  <si>
    <t>xkosobokova@ocean.ru; A_Isachenko@arcticresearch.ru</t>
  </si>
  <si>
    <t>Kosobokova, Ksenia/P-3363-2014</t>
  </si>
  <si>
    <t>Kosobokova, Ksenia/0000-0002-3039-4480</t>
  </si>
  <si>
    <t>Russian Foundation for Basic Research [13-04-00551-a, 16-04-00375]; Russian Science Foundation [14-50-00095]</t>
  </si>
  <si>
    <t>Russian Foundation for Basic Research(Russian Foundation for Basic Research (RFBR)Spanish Government); Russian Science Foundation(Russian Science Foundation (RSF))</t>
  </si>
  <si>
    <t>This study was supported by the Russian Foundation for Basic Research, project nos. 13-04-00551-a and 16-04-00375, and the Russian Science Foundation, project no. 14-50-00095.</t>
  </si>
  <si>
    <t>10.1134/S1063074017010072</t>
  </si>
  <si>
    <t>WOS:000400385600003</t>
  </si>
  <si>
    <t>Mishra, AP; Pandey, AC</t>
  </si>
  <si>
    <t>Mishra, A. P.; Pandey, A. C.</t>
  </si>
  <si>
    <t>Simulation Results for Southern Indian Ocean (SIO) Using Ocean Model</t>
  </si>
  <si>
    <t>JOURNAL OF INDIAN GEOPHYSICAL UNION</t>
  </si>
  <si>
    <t>Wind Stress; ACC; Sub surface horizontal circulation; Sea Surface Temperature; Vertical Velocity and Statistical Analyses</t>
  </si>
  <si>
    <t>ANTARCTIC CIRCUMPOLAR CURRENT; CIRCULATION MODEL; PREDICTIONS; HEIGHT; GEOSAT</t>
  </si>
  <si>
    <t>A z-coordinate Modular Ocean Model (herein after referred as MOM3) has been implemented for global domain forced by NCEP/NCAR wind stress climatologies and executed for twenty five years. Several results of interest were analysed mainly for Southern Indian Ocean (SIO) (60 degrees S-10 degrees N, 30 degrees E-120 degrees E) including Antarctic Circumpolar Current (ACC) region of Southern Ocean (SO) from the output of the above model. The fidelity of the model is examined for varieties of phenomenon viz: surface elevation, horizontal circulations/vertical velocities at sub-surface, property transport including statistical estimation of Sea Surface Temperature (SST). The Results indicate that model produces strong variability of vertical velocity in the deeper ocean showing inability of z level model for bottom boundary layer correctly whereas the strength of the subsurface currents decays in comparison to the preceding depth circulation. It is noticed that in the upper ocean, the zonal transports are eastwards that may directly follow the surface currents. Statistical analyses include the estimation of model Error (ME), Correlation Coefficient (CC) denoted by R and Skill Score (SS) between model &amp; observed SST data and result showing high correlation (R= 0.94) with ME between 0 to 10 degrees C. CC and SS suggests the success of model up to some extent. As seen from the R values, which are close to 1 over most of the model domain, is thought to be SST is simulated well.</t>
  </si>
  <si>
    <t>[Mishra, A. P.; Pandey, A. C.] Univ Allahabad, Dept Atmospher &amp; Ocean Studies, Nehru Sci Ctr, Fac Sci, Allahabad 211002, Uttar Pradesh, India; [Mishra, A. P.] Cent Water Commiss, New Delhi 110066, India</t>
  </si>
  <si>
    <t>University of Allahabad</t>
  </si>
  <si>
    <t>Mishra, AP (corresponding author), Univ Allahabad, Dept Atmospher &amp; Ocean Studies, Nehru Sci Ctr, Fac Sci, Allahabad 211002, Uttar Pradesh, India.;Mishra, AP (corresponding author), Cent Water Commiss, New Delhi 110066, India.</t>
  </si>
  <si>
    <t>anshu_ms@yahoo.com</t>
  </si>
  <si>
    <t>Pandey, Ashok/AAC-6340-2019; Pandey, Ashok/JBR-8714-2023</t>
  </si>
  <si>
    <t>Pandey, Ashok/0000-0003-1626-3529; Pandey, Ashok/0000-0003-1626-3529</t>
  </si>
  <si>
    <t>Ministry of Earth Sciences, Government of India</t>
  </si>
  <si>
    <t>Ministry of Earth Sciences, Government of India(Ministry of Earth Science (MoES), Government of India)</t>
  </si>
  <si>
    <t>We gratefully acknowledge Dr. Bohua Huang and Dr. Ben Kirtman of Center of Ocean Land Atmosphere Studies (COLA), Maryland, USA for providing the MOM source code and forcing fields for the model runs. We are very much thankful to COLA for providing the model source code. As, the work was funded by National Centre for Antarctic and Ocean Research, Goa (now under Ministry of Earth Sciences, Government of India) we would like to thank NCAOR for providing the assistance and valuable suggestions from time to time. The constructive comments and suggestions made by anonymous reviewers helped us to improve the manuscript. The authors are also thankful to Dr. M.R.K. Prabhakar Rao and Chief Editor for apt editing of the manuscript.</t>
  </si>
  <si>
    <t>INDIAN GEOPHYSICAL UNION-IGU</t>
  </si>
  <si>
    <t>HYDERABAD</t>
  </si>
  <si>
    <t>NGRI, UPPAL RD, HYDERABAD, 500 007, INDIA</t>
  </si>
  <si>
    <t>0257-7968</t>
  </si>
  <si>
    <t>J INDIAN GEOPHYS UNI</t>
  </si>
  <si>
    <t>J. Indian Geophys. Union</t>
  </si>
  <si>
    <t>ET1QW</t>
  </si>
  <si>
    <t>WOS:000400044900009</t>
  </si>
  <si>
    <t>Govarthanan, M; Fuzisawa, S; Hosogai, T; Chang, YC</t>
  </si>
  <si>
    <t>Govarthanan, Muthusamy; Fuzisawa, Soichiro; Hosogai, Toshiki; Chang, Young-Cheol</t>
  </si>
  <si>
    <t>Biodegradation of aliphatic and aromatic hydrocarbons using the filamentous fungus Penicillium sp CHY-2 and characterization of its manganese peroxidase activity</t>
  </si>
  <si>
    <t>RSC ADVANCES</t>
  </si>
  <si>
    <t>PHANEROCHAETE-CHRYSOSPORIUM; DEGRADING BACTERIA; DEGRADATION; PURIFICATION; BIOREMEDIATION; ENZYME; PYRENE; MINERALIZATION; ANTHRACENE; CONSORTIA</t>
  </si>
  <si>
    <t>The aim of this work was to study the potential of the non-lignolytic filamentous fungus Penicillium sp. CHY-2, isolated from Antarctic soil, for the biodegradation of eight different aliphatic and aromatic hydrocarbons such as octane, decane, dodecane, ethylbenzene, butylbenzene, naphthalene, acenaphthene, and benzo[a] pyrene. Among all the compounds, CHY-2 showed the highest level of degradation for decane (49.0%), followed by butylbenzene (42.0%) and dodecane (33.0%), and lower levels of degradation for naphthalene (15.0%), acenaphthene (10.0%), octane (8.0%), ethylbenzene (4.0%), and benzo[a] pyrene (2.0%) at 20 degrees C. The addition of carbon sources such as glucose (5 g L-1) and Tween-80 (5 g L-1) enhanced decane degradation by about 1.8-fold and 1.61-fold respectively at 20 degrees C. The metabolites produced during the degradation of decane were identified by gas chromatographymass spectrometry (GC-MS). Furthermore, the enzyme manganese peroxidase (MnP) from CHY-2 was purified. MnP was found to consist of monomers with a molecular mass of 36 kDa. The purified MnP had an optimum pH of 5.0 and temperature of 30 degrees C. The K-m and V-max values of MnP towards Mn2+ were 1.31 mu M and 185.19 mu M min(-1) respectively. These results indicated that the strain CHY-2 can be used for the degradation of hydrocarbons and could have promising applications in treatment of hydrocarbon contaminated sites.</t>
  </si>
  <si>
    <t>[Govarthanan, Muthusamy; Hosogai, Toshiki; Chang, Young-Cheol] Muroran Inst Technol, Coll Environm Technol, Dept Appl Sci, 27-1 Mizumoto, Muroran, Hokkaido 0508585, Japan; [Fuzisawa, Soichiro; Chang, Young-Cheol] Muroran Inst Technol, Coll Environm Technol, Div Sustainable &amp; Environm Engn, Course Chem &amp; Biol Engn, 27-1 Mizumoto, Muroran, Hokkaido 0508585, Japan</t>
  </si>
  <si>
    <t>Muroran Institute of Technology; Muroran Institute of Technology</t>
  </si>
  <si>
    <t>Chang, YC (corresponding author), Muroran Inst Technol, Coll Environm Technol, Dept Appl Sci, 27-1 Mizumoto, Muroran, Hokkaido 0508585, Japan.;Chang, YC (corresponding author), Muroran Inst Technol, Coll Environm Technol, Div Sustainable &amp; Environm Engn, Course Chem &amp; Biol Engn, 27-1 Mizumoto, Muroran, Hokkaido 0508585, Japan.</t>
  </si>
  <si>
    <t>ychang@mmm.muroran-it.ac.jp</t>
  </si>
  <si>
    <t>Muthusamy, Govarthanan/C-1491-2014; Chang, Young-Cheol/U-4910-2017</t>
  </si>
  <si>
    <t>Muthusamy, Govarthanan/0000-0001-8725-3059; Chang, Young-Cheol/0000-0002-6197-5974</t>
  </si>
  <si>
    <t>Japan Society for the Promotion of Science [26340067]; Muroran Institute of Technology; Grants-in-Aid for Scientific Research [26340067] Funding Source: KAKEN</t>
  </si>
  <si>
    <t>Japan Society for the Promotion of Science(Ministry of Education, Culture, Sports, Science and Technology, Japan (MEXT)Japan Society for the Promotion of Science); Muroran Institute of Technology; Grants-in-Aid for Scientific Research(Ministry of Education, Culture, Sports, Science and Technology, Japan (MEXT)Japan Society for the Promotion of ScienceGrants-in-Aid for Scientific Research (KAKENHI))</t>
  </si>
  <si>
    <t>Dr M. Govarthanan gratefully acknowledges the Muroran Institute of Technology for providing Postdoctoral fellowship. This work was supported by a Grant-in-Aid for Scientific Research C (26340067) from the Japan Society for the Promotion of Science. Thanks to Dr M. V. Reddy and Dr Yuka Yajima for their helpful discussion.</t>
  </si>
  <si>
    <t>ROYAL SOC CHEMISTRY</t>
  </si>
  <si>
    <t>THOMAS GRAHAM HOUSE, SCIENCE PARK, MILTON RD, CAMBRIDGE CB4 0WF, CAMBS, ENGLAND</t>
  </si>
  <si>
    <t>2046-2069</t>
  </si>
  <si>
    <t>RSC ADV</t>
  </si>
  <si>
    <t>RSC Adv.</t>
  </si>
  <si>
    <t>10.1039/c6ra28687a</t>
  </si>
  <si>
    <t>ES7IC</t>
  </si>
  <si>
    <t>WOS:000399722300002</t>
  </si>
  <si>
    <t>Shevnina, E; Kourzeneva, E</t>
  </si>
  <si>
    <t>Shevnina, Elena; Kourzeneva, Ekaterina</t>
  </si>
  <si>
    <t>Thermal regime and components of water balance of lakes in Antarctica at the Fildes peninsula and the Larsemann Hills</t>
  </si>
  <si>
    <t>Antarctica; lake thermal regime; lake water balance components; seasonal freshwater inflow; lake model FLake</t>
  </si>
  <si>
    <t>FLAKE MODEL; REGIONAL CLIMATE; CIERVA POINT; SURFACE; PERFORMANCE; BROKNES; VALLEYS; IMPACT; SOILS; CLOUD</t>
  </si>
  <si>
    <t>Thermal regime and water balance components of 12 lakes located at two different parts of the Antarctic (the Fildes peninsula in the Maritime Antarctic and the Larsemann Hills in the continental Antarctica) were studied using the observations from three field campaigns in 2012-2014. The morphometric characteristics of the studied lakes were updated with GPS/echo-sounding surveys, and changes in the length, width and volume of the lakes were revealed in comparison with the previous surveys. The thermal regime of the lakes was also studied by modelling, applying the lake model FLake, which is widely used in different environmental applications but was tested for the first time in the Antarctic conditions. In contrast to boreal lakes, for lakes in Antarctica the modelling results by FLake appeared to be sensitive to the light extinction coefficient. According to simulations, all lakes were mixed down to the bottom for the whole summer; however, the reasons for this are different for shallow and deep lakes. The sensitivity of different methods to calculate evaporation, by the Dalton-type empirical equation and by the atmospheric surface layer block of FLake, was studied. For endorheic lakes, the sensitivity appeared to be large, up to 47% of the total seasonal water volume change, which assumes that FLake has the potential to be used in hydrological applications to calculate evaporation. Seasonal variations of the volume of the lakes in the continental Antarctica are larger than in the Maritime Antarctic. Usually, small and medium-sized lakes accumulate or redistribute water during the warm season. However, the systems of big lakes also release the stored water through the mechanism of abrupt jumps, which simultaneously cause the inflow into the sea of huge amounts of fresh water during short time intervals.</t>
  </si>
  <si>
    <t>[Shevnina, Elena; Kourzeneva, Ekaterina] Finnish Meteorol Inst, Helsinki, Finland; [Shevnina, Elena] Russian State Hydrometeorol Univ, St Petersburg, Russia</t>
  </si>
  <si>
    <t>Finnish Meteorological Institute; Russian State Hydrometeorological University</t>
  </si>
  <si>
    <t>Shevnina, E (corresponding author), Finnish Meteorol Inst, Helsinki, Finland.;Shevnina, E (corresponding author), Russian State Hydrometeorol Univ, St Petersburg, Russia.</t>
  </si>
  <si>
    <t>Elena.Shevnina@fmi.fi</t>
  </si>
  <si>
    <t>Russian Federation; Academy of Finland [263918]; Academy of Finland (AKA) [263918] Funding Source: Academy of Finland (AKA)</t>
  </si>
  <si>
    <t>Russian Federation(Russian Federation); Academy of Finland(Research Council of Finland); Academy of Finland (AKA)(Research Council of Finland)</t>
  </si>
  <si>
    <t>The study was funded from the Russian Federation Program 'Study and Investigation of Antarctica' and the Academy of Finland AMICO project [contract number 263918].</t>
  </si>
  <si>
    <t>10.1080/16000870.2017.1317202</t>
  </si>
  <si>
    <t>ET0VV</t>
  </si>
  <si>
    <t>WOS:000399983600001</t>
  </si>
  <si>
    <t>Zheng, GG; Liu, XC; Zhao, Y; Wang, W; Chen, LY</t>
  </si>
  <si>
    <t>Zheng GuangGao; Liu XiaoChun; Zhao Yue; Wang Wei; Chen LongYao</t>
  </si>
  <si>
    <t>Mid-Cretaceous volcano-magmatism in the Curverville Island of the Antarctic Peninsula and its tectonic significance: Constraints from zircon U-Pb geochronology and Hf isotopic compositions</t>
  </si>
  <si>
    <t>ACTA PETROLOGICA SINICA</t>
  </si>
  <si>
    <t>Zircon U-Pb dating; Zircon Hf isotope; Antarctic Peninsula; Mid-Cretaceous; Island arc setting</t>
  </si>
  <si>
    <t>SOUTH SHETLAND ISLANDS; COAST INTRUSIVE SUITE; EASTERN PALMER LAND; PACIFIC MARGIN; LU-HF; SUBDUCTION HISTORY; LIVINGSTON ISLAND; CONTINENTAL-CRUST; SILICIC VOLCANISM; TRACE-ELEMENTS</t>
  </si>
  <si>
    <t>The Antarctic Peninsula, located in the western margin of Gondwana for a long time, was the final place of the Gondwana dispersion. Voluminous Mesozoic-Cenozoic igneous rocks occur in the Antarctic Peninsula, and the magmatic process, source characteristics and geodynamic setting of these rocks remain controversial. This has led to the argument for the tectonic evolution of the Antarctic Peninsula This paper reports zircon LA-MC-ICP-MS U-Pb dating and Hf isotopes of the andesitic volcanic rock, diorite porphyrite vein and diorite xenolith from the Curverville Island in the central domain of the Antarctic Peninsula. The results show that the zircon U-Pb ages are 103.3 +/- 1.7Ma for andesitic breccia lava, 101.9 +/- 1.8Ma for andesitic breccia, 92.0 +/- 1.2Ma for medium grained diorite xenolith, and 85.7 +/- 07Ma for diorite porphyrite vein. This suggests that there existed three episodes of volcanism in the Mid-Cretaceous, with the first episode of intensive volcanic eruption at ca. 102Ma, the second episode of diorite intrusion at ca. 92Ma, and the third episode of diorite porphyrite intrusion at ca. 86 Ma. The in-stiu zircon Hf isotopic analysis indicates that most epsilon(Hf) (t) values are +2.5 similar to +7.9, with an average value of +4.4. Their Hf model ages ranging from 505 Ma to 678 Ma, suggesting that the Mid-Cretaceous igneous rocks may have been derived from the partial melting of depleted mantle materials of the Neoproterozoic-Cambrian age. Coupled with the available published data, we propose that the igneous rocks from the Curverille Island formed in an island arc setting, which accompanies with the process of the Gondwana breakup. Therefore, the igneous rocks from the Curverille Island are one of the main lithology that makes up the central magmatic domain of the Antarctic Peninsula.</t>
  </si>
  <si>
    <t>[Zheng GuangGao; Liu XiaoChun; Zhao Yue; Wang Wei; Chen LongYao] Chinese Acad Geol Sci, Inst Geomech, Beijing 100081, Peoples R China; [Zheng GuangGao; Wang Wei; Chen LongYao] Peking Univ, Sch Earth &amp; Space Sci, Beijing 100871, Peoples R China</t>
  </si>
  <si>
    <t>China Geological Survey; Institute of Geomechanics, Chinese Academy of Geological Sciences; Chinese Academy of Geological Sciences; Peking University</t>
  </si>
  <si>
    <t>Zheng, GG (corresponding author), Chinese Acad Geol Sci, Inst Geomech, Beijing 100081, Peoples R China.;Zheng, GG (corresponding author), Peking Univ, Sch Earth &amp; Space Sci, Beijing 100871, Peoples R China.</t>
  </si>
  <si>
    <t>tiangang755@163.com</t>
  </si>
  <si>
    <t>1000-0569</t>
  </si>
  <si>
    <t>2095-8927</t>
  </si>
  <si>
    <t>ACTA PETROL SIN</t>
  </si>
  <si>
    <t>Acta Petrol. Sin.</t>
  </si>
  <si>
    <t>ES1QZ</t>
  </si>
  <si>
    <t>WOS:000399303400022</t>
  </si>
  <si>
    <t>Swaters, GE</t>
  </si>
  <si>
    <t>Swaters, Gordon E.</t>
  </si>
  <si>
    <t>Internal dissipative boundary layers in the cross-equatorial flow of a grounded deep western boundary current</t>
  </si>
  <si>
    <t>GEOPHYSICAL AND ASTROPHYSICAL FLUID DYNAMICS</t>
  </si>
  <si>
    <t>Grounded abyssal ocean currents; deep western boundary currents: cross-equatorial flow; frictional boundary layers</t>
  </si>
  <si>
    <t>MERIDIONAL OVERTURNING CIRCULATION; ANTARCTIC BOTTOM WATER; ATLANTIC-OCEAN; PART II; DYNAMICS; EDDIES; VARIABILITY</t>
  </si>
  <si>
    <t>It is known that dissipative adjustment must occur in the cross-equatorial dynamics of a deep western boundary current (DWBC) that is in planetary-geostrophic balance away from the equator. Theoretical modelling and numerical simulations suggest that the dissipative zones correspond to small isolated zonally-elongated regions within the trough and crest of a nonlinear stationary equatorial planetary wave that is formed as the DWBC flows eastward along the equator. An internal frictional boundary layer theory is advanced to describe the leading order structure of the DWBC in the dissipative regions, which asymptotically matches with the large scale inviscid flow characteristics in the equatorial region.</t>
  </si>
  <si>
    <t>[Swaters, Gordon E.] Univ Alberta, Inst Appl Math, Dept Math &amp; Stat Sci, Edmonton, AB, Canada; [Swaters, Gordon E.] Univ Alberta, Inst Geophys Res, Edmonton, AB, Canada</t>
  </si>
  <si>
    <t>University of Alberta; University of Alberta</t>
  </si>
  <si>
    <t>Swaters, GE (corresponding author), Univ Alberta, Inst Appl Math, Dept Math &amp; Stat Sci, Edmonton, AB, Canada.;Swaters, GE (corresponding author), Univ Alberta, Inst Geophys Res, Edmonton, AB, Canada.</t>
  </si>
  <si>
    <t>gswaters@ualberta.ca</t>
  </si>
  <si>
    <t>Swaters, Gordon E./0000-0001-5229-8572</t>
  </si>
  <si>
    <t>Discovery Research Grants - Natural Sciences and Engineering Research Council [NSERC RGPIN 05038]</t>
  </si>
  <si>
    <t>Discovery Research Grants - Natural Sciences and Engineering Research Council</t>
  </si>
  <si>
    <t>This work was partially supported by Discovery Research Grants awarded by the Natural Sciences and Engineering Research Council [NSERC RGPIN 05038].</t>
  </si>
  <si>
    <t>0309-1929</t>
  </si>
  <si>
    <t>1029-0419</t>
  </si>
  <si>
    <t>GEOPHYS ASTRO FLUID</t>
  </si>
  <si>
    <t>Geophys. Astrophys. Fluid Dyn.</t>
  </si>
  <si>
    <t>10.1080/03091929.2017.1287909</t>
  </si>
  <si>
    <t>Astronomy &amp; Astrophysics; Geochemistry &amp; Geophysics; Mechanics</t>
  </si>
  <si>
    <t>ES2LL</t>
  </si>
  <si>
    <t>WOS:000399359900001</t>
  </si>
  <si>
    <t>Jena, B</t>
  </si>
  <si>
    <t>Jena, Babula</t>
  </si>
  <si>
    <t>The effect of phytoplankton pigment composition and packaging on the retrieval of chlorophyll-a concentration from satellite observations in the Southern Ocean</t>
  </si>
  <si>
    <t>WATER-LEAVING REFLECTANCE; NATURAL PHYTOPLANKTON; BIOOPTICAL PROPERTIES; KERGUELEN PLATEAU; LIGHT-ABSORPTION; COLOR DATA; SEAWIFS; SEA; VARIABILITY; PRODUCTIVITY</t>
  </si>
  <si>
    <t>The Antarctic waters are known to be optically unique and the standard empirical ocean colour algorithms applied to these waters may not address the regional bio-optical characteristics. This article sheds light on the performance of current empirical algorithms and a regionally optimized algorithm (ROA) for the retrieval of chlorophyll-a (chl-a) concentration from Aqua-Moderate Resolution Imaging Spectroradiometer (Aqua-MODIS) and Sea-viewing Wide Field-of-view Sensor (SeaWiFS) in the Indian Ocean Sector of Southern Ocean (IOSO). Analysis indicated that empirical algorithms used for the retrieval of chl-a concentration from Aqua-MODIS and SeaWiFS underestimate by a factor varying from 2 to 2.9, resulting in underestimation when in situ chl-a exceeds about 0.3 mg m(-3). To explain these uncertainties, a study was carried out to understand the effect of phytoplankton pigment composition and pigment packaging on remote-sensing reflectance (R-rs,R-lambda), from the analysis of phytoplankton-specific absorption coefficient (a(ph,)*(lambda)). The spatial variation of phytoplankton groups analysed using diagnostics pigments (DP) indicated shifting of the phytoplankton community structure from offshore to coastal Antarctic, with a significant increasing trend for diatoms and a decreasing trend for haptophytes population. The diatomdominated population exhibits lower a(ph,*lambda) in the 405-510 nm region (with relative flattening in 443-489 nm) compared with the a(ph,)*(lambda) spectra of the haptophytes-dominated population that peaks near 443 nm. The flattening of a(ph,)*(lambda) spectra for the diatom-dominated population was attributed to its larger cell size, which leads to pigment packaging (intracellular shading) and in turn results in higher R-rs,R-lambda The relationship between pigment composition (normalized by chl-a) and blue: green absorption band ratios (a(ph),*(443): a(ph),*(555) and a(ph),*(489): a(ph),* (555)) corresponding to the Aqua-MODIS and SeaWiFS bands showed in-phase associations with most of the pigments such as 19'-hexanoyloxyfucoxanthin, 19'-butanoyloxyfucoxanthin, peridinin, and zeaxanthin. In contrast, the out-of-phase association observed between the blue: green absorption ratios and fucoxanthin indicated apparent deviations from the general pigment retrieval algorithms, which assumes that blue: green ratios vary in a systematic form with chl-a. The out-of-phase correspondence suggests that the increasing trend of fucoxanthin pigments towards the Antarctic coast was associated with the decreasing trend of blue: green absorption ratios and in turn results in higher R-rs,R-lambda Therefore, an increase in Rrs,. leads to underestimation of chl-a from Aqua-MODIS and SeaWiFS in the IOSO region.</t>
  </si>
  <si>
    <t>[Jena, Babula] MoES, Natl Ctr Antarctic &amp; Ocean Res, ESSO, Polar Sci, Headland Sada, Goa, India</t>
  </si>
  <si>
    <t>Earth System Science Organization (ESSO); Ministry of Earth Sciences (MoES) - India; National Centre for Polar and Ocean Research (NCPOR)</t>
  </si>
  <si>
    <t>Jena, B (corresponding author), MoES, Natl Ctr Antarctic &amp; Ocean Res, ESSO, Headland Sada 403804, Goa, India.</t>
  </si>
  <si>
    <t>bjena@ncaor.gov.in</t>
  </si>
  <si>
    <t>10.1080/01431161.2017.1308034</t>
  </si>
  <si>
    <t>ES0VU</t>
  </si>
  <si>
    <t>WOS:000399247300001</t>
  </si>
  <si>
    <t>Yang, LX; Qiu, WQ; Yin, YL; Row, KH; Cheng, YD; Jin, YZ</t>
  </si>
  <si>
    <t>Yang, Linxin; Qiu, Weiqiang; Yin, Yalan; Row, Kyung Ho; Cheng, Yudong; Jin, Yinzhe</t>
  </si>
  <si>
    <t>Dielectric properties of Antarctic krill (Euphausia superba) and white shrimp (Penaeus vannamei) during microwave thawing and heating</t>
  </si>
  <si>
    <t>JOURNAL OF MICROWAVE POWER AND ELECTROMAGNETIC ENERGY</t>
  </si>
  <si>
    <t>Antarctic krill; white shrimp; dielectric properties; temperature; frequency; food composition</t>
  </si>
  <si>
    <t>RADIO-FREQUENCY; MOISTURE-CONTENT; FOOD MATERIALS; PROCESS CHEESE; FROZEN FOODS; 3 GHZ; TEMPERATURE; WATER; BEEF; SPECTROSCOPY</t>
  </si>
  <si>
    <t>Dielectric properties of Antarctic krill and white shrimp were measured across the microwave frequency range 300-3000MHz in a temperature range of -20 to 20 degrees C. To shorten thawing time, the effects of salt, sucrose and moisture contents on dielectric properties at 915 and 2450MHz were also studied during microwave thawing (MT) and microwave heating (MH). The results indicate that the change in sucrose content had a smaller effect on dielectric properties, and only addition of salt had a significant influence (p &lt; 0.05) on dielectric properties during MT. Moreover, when these shrimps with addition of a salt-sucrose mixture at 3% w/w were thawed and heated to 20 degrees C, the microwave processing time was no more than 130 s. Compared with the samples without any additives, thawing time shortened significantly when salt and sucrose were simultaneously added to the samples. Besides, the centre temperature and temperature distribution within the cross section of shrimps confirmed effects of various additives on dielectric properties, suggesting that MT and MH can be applied to the processing of freshwater and oceanic shrimp, and that addition of only salt or the salt-sucrose mixture can further quicken thawing and heating rates to optimize the industrial processing of shrimp.</t>
  </si>
  <si>
    <t>[Yang, Linxin; Qiu, Weiqiang; Yin, Yalan; Cheng, Yudong; Jin, Yinzhe] Shanghai Ocean Univ, Coll Food Sci &amp; Technol, Engn Res Ctr Food Thermal Proc Technol, Shanghai, Peoples R China; [Row, Kyung Ho] Inha Univ, Dept Chem Engn, Incheon, South Korea</t>
  </si>
  <si>
    <t>Shanghai Ocean University; Inha University</t>
  </si>
  <si>
    <t>Jin, YZ (corresponding author), Shanghai Ocean Univ, Coll Food Sci &amp; Technol, Engn Res Ctr Food Thermal Proc Technol, Shanghai, Peoples R China.</t>
  </si>
  <si>
    <t>yzjin@shou.edu.cn</t>
  </si>
  <si>
    <t>Kyung Ho, Row/AGB-8348-2022</t>
  </si>
  <si>
    <t>Shanghai University Knowledge Service Platform and Shanghai Ocean University Aquatic Animal Breeding Center [ZFI206]; Shanghai Science and Technology Development Project [A2-0203-00-1000208]; Doctoral Starting up Foundation [A2-0203-00-100340]</t>
  </si>
  <si>
    <t>Shanghai University Knowledge Service Platform and Shanghai Ocean University Aquatic Animal Breeding Center; Shanghai Science and Technology Development Project; Doctoral Starting up Foundation</t>
  </si>
  <si>
    <t>This work was supported by the Shanghai University Knowledge Service Platform and Shanghai Ocean University Aquatic Animal Breeding Center [grant number ZFI206]; Shanghai Science and Technology Development Project [grant number A2-0203-00-1000208]; the Doctoral Starting up Foundation [grant number A2-0203-00-100340].</t>
  </si>
  <si>
    <t>0832-7823</t>
  </si>
  <si>
    <t>J MICROWAVE POWER EE</t>
  </si>
  <si>
    <t>J. Microw. Power Electromagn. Energy</t>
  </si>
  <si>
    <t>10.1080/08327823.2017.1291067</t>
  </si>
  <si>
    <t>Engineering, Chemical; Engineering, Electrical &amp; Electronic; Materials Science, Multidisciplinary</t>
  </si>
  <si>
    <t>ES5IS</t>
  </si>
  <si>
    <t>WOS:000399572200002</t>
  </si>
  <si>
    <t>Soto-Rogel, P; Aravena, JC</t>
  </si>
  <si>
    <t>Soto-Rogel, Pamela; Carlos Aravena, Juan</t>
  </si>
  <si>
    <t>A dendroclimatic analysis of Nothofagus betuloides forests from Cordillera Darwin, Tierra del Fuego, Chile</t>
  </si>
  <si>
    <t>BOSQUE</t>
  </si>
  <si>
    <t>Nothofagus betuloides; rainfall; temperature; AAO; Cordillera de Darwin</t>
  </si>
  <si>
    <t>SOUTHERN ANNULAR MODE; 20TH-CENTURY</t>
  </si>
  <si>
    <t>The lack of long and complete instrumental records hampers the study of climatic variability in remote regions of the Earth. Alternatively, paleoenvironmental sources of information such as tree rings provide valuable information on climate variations. In the context of this study, four new tree-ring width chronologies were developed from Nothofagus betuloides in Cordillera Darwin, southern Chile. The main goal of this study is to estimate the influence of the Antarctic Oscillation (AAO) and changes in temperature and rainfall on Nothofagus betuloides tree growth. New tree-ring chronologies were developed from samples collected at Glaciar Schiaparelli valley (54 degrees 25' S, 70 degrees 54' W) and Valle de los Divorcios (54 degrees 36' S, 69 degrees 03' W). Four already published tree-ring width chronologies from Nothofagus betuloides in the region were also included in the analysis. Using Principal Component Analysis (PCA) on the eight tree-ring width chronologies, two main growth patterns were identified: PC1 or eastern tree-growth mode, and PC2 or western tree-growth mode. Both components showed significant correlations with air temperature and AAO. PC1 presented significant negative correlations with summer rainfall, temperature and AAO index. On the contrary, PC2 showed significant positive correlations with air temperatures, rainfall and AAO index. Significant growth responses to climate variability indicate that N. betuliodes records could be considered a reliable proxy of environmental fluctuations during the last few centuries in Cordillera Darwin, Chile.</t>
  </si>
  <si>
    <t>[Soto-Rogel, Pamela; Carlos Aravena, Juan] Univ Magallanes, Punta Arenas, Chile</t>
  </si>
  <si>
    <t>Soto-Rogel, P (corresponding author), Univ Magallanes, Punta Arenas, Chile.</t>
  </si>
  <si>
    <t>pamela.soto.rogel@gmail.com</t>
  </si>
  <si>
    <t>Aravena, Juan-Carlos/D-5687-2013</t>
  </si>
  <si>
    <t>Soto-Rogel, Pamela/0000-0002-6488-9115</t>
  </si>
  <si>
    <t>UNIV AUSTRAL CHILE, FAC CIENCIAS FORESTALES</t>
  </si>
  <si>
    <t>VALDIVIA</t>
  </si>
  <si>
    <t>CASILLA 567, VALDIVIA, 00000, CHILE</t>
  </si>
  <si>
    <t>0717-9200</t>
  </si>
  <si>
    <t>Bosque</t>
  </si>
  <si>
    <t>10.4067/S0717-92002017000100016</t>
  </si>
  <si>
    <t>Ecology; Forestry</t>
  </si>
  <si>
    <t>Environmental Sciences &amp; Ecology; Forestry</t>
  </si>
  <si>
    <t>ER8UM</t>
  </si>
  <si>
    <t>WOS:000399098900016</t>
  </si>
  <si>
    <t>Greve, M; Mathakutha, R; Steyn, C; Chown, SL</t>
  </si>
  <si>
    <t>Greve, Michelle; Mathakutha, Rabia; Steyn, Christien; Chown, Steven L.</t>
  </si>
  <si>
    <t>Terrestrial invasions on sub-Antarctic Marion and Prince Edward Islands</t>
  </si>
  <si>
    <t>SOUTHERN-OCEAN ISLANDS; ALIEN VASCULAR PLANTS; FERAL HOUSE MICE; BIOLOGICAL INVASION; ABUNDANCE STRUCTURE; CLIMATE-CHANGE; HUMAN IMPACTS; RANGE LIMITS; COMMUNITIES; ERADICATION</t>
  </si>
  <si>
    <t>Background: The sub-Antarctic Prince Edward Islands (PEIs), South Africa's southernmost territories have high conservation value. Despite their isolation, several alien species have established and become invasive on the PEIs. Objectives: Here we review the invasion ecology of the PEIs. Methods: We summarise what is known about the introduction of alien species, what influences their ability to establish and spread, and review their impacts. Results: Approximately 48 alien species are currently established on the PEIs, of which 26 are known to be invasive. Introduction pathways for the PEIs are fairly well understood - species have mainly been introduced with ship cargo and building material. Less is known about establishment, spread and impact of aliens. It has been estimated that less than 5% of the PEIs is covered by invasive plants, but invasive plants have attained circuminsular distributions on both PEIs. Studies on impact have primarily focussed on the effects of vertebrate invaders, of which the house mouse, which is restricted to Marion Island, probably has the greatest impact on the biodiversity of the islands. Because of the risk of alien introductions, strict biosecurity regulations govern activities at the PEIs. These are particularly aimed at stemming the introduction of alien species, and are likely to have reduced the rates of new introductions. In addition, some effort is currently being made to eradicate selected range-restricted species. However, only one species that had established and spread on the PEIs, the cat, has been successfully eradicated from the islands. Conclusion: Given the ongoing threat of introductions, and the impacts of invaders, it is essential that future invasions to the PEIs are minimised, that the islands' management policies deal with all stages of the invasion process and that a better understanding of the risks and impacts of invasions is obtained.</t>
  </si>
  <si>
    <t>[Greve, Michelle; Mathakutha, Rabia; Steyn, Christien] Univ Pretoria, Dept Plant &amp; Soil Sci, ZA-0002 Pretoria, South Africa; [Chown, Steven L.] Monash Univ, Sch Biol Sci, Clayton, Vic 3800, Australia</t>
  </si>
  <si>
    <t>University of Pretoria; Monash University</t>
  </si>
  <si>
    <t>Greve, M (corresponding author), Univ Pretoria, Dept Plant &amp; Soil Sci, ZA-0002 Pretoria, South Africa.</t>
  </si>
  <si>
    <t>michelle_greve@yahoo.com</t>
  </si>
  <si>
    <t>Chown, Steven/ABD-7646-2021; Mathakutha, Rabia/G-3140-2015; Chown, Steven/H-3347-2011</t>
  </si>
  <si>
    <t>Chown, Steven/0000-0001-6069-5105</t>
  </si>
  <si>
    <t>South African NRF [93065]</t>
  </si>
  <si>
    <t>South African NRF(National Research Foundation - South Africa)</t>
  </si>
  <si>
    <t>The South African NRF-funded National Antarctic Programme is thanked for providing financial support to M.G. (Grant No. 93065).</t>
  </si>
  <si>
    <t>a2143</t>
  </si>
  <si>
    <t>10.4102/abc.v47i2.2143</t>
  </si>
  <si>
    <t>WOS:000398398000007</t>
  </si>
  <si>
    <t>Goodwin, CE; Berman, J; Downey, RV; Hendry, KR</t>
  </si>
  <si>
    <t>Goodwin, Claire E.; Berman, Jade; Downey, Rachel V.; Hendry, Katharine R.</t>
  </si>
  <si>
    <t>Carnivorous sponges (Porifera : Demospongiae : Poecilosclerida : Cladorhizidae) from the Drake Passage (Southern Ocean) with a description of eight new species and a review of the family Cladorhizidae in the Southern Ocean</t>
  </si>
  <si>
    <t>INVERTEBRATE SYSTEMATICS</t>
  </si>
  <si>
    <t>Antarctic; deep-water; new species; sponge; seamount; taxonomy</t>
  </si>
  <si>
    <t>ASBESTOPLUMA-HYPOGEA; NORTHEAST ATLANTIC; WEDDELL SEA; BIOGEOGRAPHY; SEAMOUNTS; FAUNA; DIVERSITY; ECOLOGY; PACIFIC; ANTARCTICA</t>
  </si>
  <si>
    <t>This study reviews the taxonomy and biogeography of carnivorous sponges (family Cladorhizidae) in the Southern Ocean. Specimens were collected from seamounts in the Drake Passage by dredging and trawling and biogeographical information from other sources was compiled and reviewed. Eight new species of carnivorous sponges are described: Abyssocladia leverhulmei, sp. nov., Asbestopluma (Asbestopluma) sarsensis, sp. nov., A. (A.) gemmae, sp. nov., A. (A.) rhaphidiophorus, sp. nov., Asbestopluma (Helophloeina) keraia, sp. nov., Chondrocladia (Chondrocladia) saffronae, sp. nov., Cladorhiza scanlonae, sp. nov. and Lycopodina drakensis, sp. nov. Specimens of three previously described species, L. callithrix, L. calyx and A. (A.) bitrichela, were also found. These new records increase the number of known carnivorous sponge species in the Southern Ocean by more than a third. We demonstrate that the Cladorhizidae is the second most species-rich family of Demospongiae in the Southern Ocean and many of its species are highly endemic, with 70% found only in this region. Southern Ocean species represent close to 20% of all known carnivorous sponges. This study highlights the importance of seamount and bathyal benthic habitats for supporting the rich and endemic carnivorous sponge fauna of the Southern Ocean.</t>
  </si>
  <si>
    <t>[Goodwin, Claire E.] Natl Museums Northern Ireland, 153 Bangor Rd, Holywood BT18 0EU, Down, North Ireland; [Goodwin, Claire E.] Queens Univ, Marine Lab, 2-13 Strand, Portaferry BT22 1PF, North Ireland; [Goodwin, Claire E.] Huntsman Marine Sci Ctr, Atlantic Reference Ctr, 1 Lower Campus Rd, St Andrews, NB E5B 2L7, Canada; [Berman, Jade] Ulster Wildlife, 10 Heron Rd, Belfast BT3 9LE, Antrim, North Ireland; [Downey, Rachel V.] Senckenberg Gesell Nat Forsch, Senckenberganlage 25, D-60325 Frankfurt, Germany; [Downey, Rachel V.] Australia Natl Univ, Fenner Sch Environm &amp; Soc, Linnaeus Way, Canberra, ACT 2601, Australia; [Hendry, Katharine R.] Univ Bristol, Sch Earth Sci, Wills Mem Bldg,Queens Rd, Bristol BS8 1RJ, Avon, England</t>
  </si>
  <si>
    <t>Senckenberg Gesellschaft fur Naturforschung (SGN); Australian National University; University of Bristol</t>
  </si>
  <si>
    <t>Goodwin, CE (corresponding author), Natl Museums Northern Ireland, 153 Bangor Rd, Holywood BT18 0EU, Down, North Ireland.;Goodwin, CE (corresponding author), Queens Univ, Marine Lab, 2-13 Strand, Portaferry BT22 1PF, North Ireland.;Goodwin, CE (corresponding author), Huntsman Marine Sci Ctr, Atlantic Reference Ctr, 1 Lower Campus Rd, St Andrews, NB E5B 2L7, Canada.</t>
  </si>
  <si>
    <t>claire.goodwin@huntsmanmarine.ca</t>
  </si>
  <si>
    <t>Downey, Rachel/Q-4156-2019; Hendry, Katharine/E-4793-2011</t>
  </si>
  <si>
    <t>Hendry, Katharine/0000-0002-0790-5895; Downey, Rachel/0000-0001-9275-8879; Goodwin, Claire/0000-0002-2428-1340</t>
  </si>
  <si>
    <t>Leverhulme Trust [RPG-2012-615]; National Science Foundation [0944474, 0636787, 1029986]; Royal Society; DFG [JA-1063-17-1]; Directorate For Geosciences; Division Of Polar Programs [0636787] Funding Source: National Science Foundation; Division Of Ocean Sciences; Directorate For Geosciences [1029986] Funding Source: National Science Foundation; Division Of Polar Programs; Directorate For Geosciences [0944474] Funding Source: National Science Foundation</t>
  </si>
  <si>
    <t>Leverhulme Trust(Leverhulme Trust); National Science Foundation(National Science Foundation (NSF)); Royal Society(Royal Society); DFG(German Research Foundation (DFG)); Directorate For Geosciences; Division Of Polar Programs(National Science Foundation (NSF)NSF - Directorate for Geosciences (GEO)); Division Of Ocean Sciences; Directorate For Geosciences(National Science Foundation (NSF)NSF - Directorate for Geosciences (GEO)); Division Of Polar Programs; Directorate For Geosciences(National Science Foundation (NSF)NSF - Directorate for Geosciences (GEO))</t>
  </si>
  <si>
    <t>The authors would like to thank Eduardo Hajdu (Museu Nacional/UFRJ) and Manuel Maldonado (Centre d'Estudis Avancats de Blanes, CEAB-CSIC) who provided useful information on species characteristics. Sponge material was collected on RVIB Nathaniel B Palmer Cruise NBP11-03 thanks to L. Robinson (Bristol), R. Waller (Maine) and the captain and crew. Permission for sampling in the Chilean EEZ was kindly provided by Armada de Chile, Servicio Hidrografico y Oceanografico (Permit Nos. 13270/24/287 and 13270/24/317) and in accordance with this, type specimens are deposited in the Museo Nacional de Historia Natural of Chile. Thanks also to Andrea Paz Martinez Salinas and Herman Nunez, who facilitated deposition of the type specimens in the Museo Nacional de Historia Natural of Chile, and Emma Sherlock (BMNH), Ole Tendal (ZMUC), Isabelle Domart-Coulon (MNHN) and Carsten Lueter (ZMB). We would like to thank the editors of Invertebrate Systematics and two anonymous referees for their helpful comments on the original manuscript. This work was funded by a research project grant from the Leverhulme Trust (RPG-2012-615) and the National Science Foundation (grants 0944474, 0636787 and 1029986). Kate Hendry is funded by the Royal Society. Rachel Downey is funded by DFG Project JA-1063-17-1.</t>
  </si>
  <si>
    <t>1445-5226</t>
  </si>
  <si>
    <t>1447-2600</t>
  </si>
  <si>
    <t>INVERTEBR SYST</t>
  </si>
  <si>
    <t>Invertebr. Syst.</t>
  </si>
  <si>
    <t>10.1071/IS16020</t>
  </si>
  <si>
    <t>Evolutionary Biology; Zoology</t>
  </si>
  <si>
    <t>ER0HS</t>
  </si>
  <si>
    <t>WOS:000398469500004</t>
  </si>
  <si>
    <t>Wöppke, CL</t>
  </si>
  <si>
    <t>Leon Woeppke, Consuelo</t>
  </si>
  <si>
    <t>ANTARCTIC PENINSULA WILDERNESS: FOOTPRINTS ON CHILEAN CREWS, 1948-1958</t>
  </si>
  <si>
    <t>REVISTA ESTUDIOS HEMISFERICOS Y POLARES</t>
  </si>
  <si>
    <t>Antarctic Wilderness; O'Higgins Antarctic Base; Psychological Traces; Chilean Early Percepciones of Antarctic Wilderness</t>
  </si>
  <si>
    <t>This paper analyzes the permanent and transitory footprints that the Antarctic wilderness left on 218 army servicemen who wintered in Chilean Antarctic Base Bernando O'Higgins between 1948 and 1958. The research - based on military personnel records, diaries, as well as books published by such staff-does not focus in the traditional perspective that examines the impact of human activities on nature, but aspires - on the one hand-to examine men's perceptions of the white continent, and - on the other hand-it aims to analyze and understand how the hostile Antarctic wilderness has affected men's behaviors and feelings over time.</t>
  </si>
  <si>
    <t>[Leon Woeppke, Consuelo] Ctr Estudios Hemisfer &amp; Polares, Calle Roma 116, Vina Del Mar, Chile</t>
  </si>
  <si>
    <t>Wöppke, CL (corresponding author), Ctr Estudios Hemisfer &amp; Polares, Calle Roma 116, Vina Del Mar, Chile.</t>
  </si>
  <si>
    <t>consuelo3loenw@gmail.com</t>
  </si>
  <si>
    <t>CENTRO ESTUDIOS HEMISFERICOS &amp; POLARES</t>
  </si>
  <si>
    <t>VINA DEL MAR</t>
  </si>
  <si>
    <t>CALLE ROMA, 116, CALETA ABARCA, VINA DEL MAR, 2580060, CHILE</t>
  </si>
  <si>
    <t>0718-9230</t>
  </si>
  <si>
    <t>REV ESTUD HEMISFERIC</t>
  </si>
  <si>
    <t>Rev. Estud. Hemisfericos Polares</t>
  </si>
  <si>
    <t>Area Studies</t>
  </si>
  <si>
    <t>ER7FR</t>
  </si>
  <si>
    <t>WOS:000398976100001</t>
  </si>
  <si>
    <t>Oldham, T; Dempster, T; Fosse, JO; Oppedal, F</t>
  </si>
  <si>
    <t>Oldham, Tina; Dempster, Tim; Fosse, Jan Olav; Oppedal, Frode</t>
  </si>
  <si>
    <t>Oxygen gradients affect behaviour of caged Atlantic salmon Salmo salar</t>
  </si>
  <si>
    <t>Hypoxia; Dissolved oxygen; Behaviour; Salmo salar; Fish distribution; Aquaculture</t>
  </si>
  <si>
    <t>SWIMMING BEHAVIOR; DISSOLVED-OXYGEN; SEA-CAGES; HYPOXIA; FISH; RESPONSES; L.; ACCLIMATION; SYSTEM; GROWTH</t>
  </si>
  <si>
    <t>Dissolved oxygen (DO) conditions in marine aquaculture cages are heterogeneous and fluctuate rapidly. Here, by temporarily wrapping a tarpaulin around the top 0 to 6 m of a marine cage (similar to 2000 m(3)), we manipulated DO to evaluate the behavioural response of Atlantic salmon Salmo salar to hypoxia. Videos were recorded before, during and after DO manipulation at 3 m depth while vertical profiles of temperature, salinity, DO and fish density were continuously measured. The trial was repeated 4 times over a 2 wk period. Temperature and salinity profiles varied little across treatment periods; however, DO saturation was reduced at all depths in all replicate trials during the tarpaulin treatment compared to the periods before or after. In 3 out of 4 trials, swim speeds were 1.5 to 2.7 times slower during the tarpaulin treatment than the before or after periods. Significant changes in vertical distribution of fish density and DO were observed between treatment periods in all replicate trials; salmon swam either above or below the most hypoxic depth layer (59 to 62% DO saturation). In a regression tree analysis, the relative influence of DO in determining fish distribution was 17%, while temperature (39%) and salinity (44%) explained the majority of variation. Our results demonstrate that salmon are capable of modifying their distribution and possibly activity levels in response to intermediate DO levels, but that DO is not a primary driver of behaviour at the saturation levels examined in this study.</t>
  </si>
  <si>
    <t>[Oldham, Tina] Univ Tasmania, Inst Marine &amp; Antarctic Studies, Aquat Anim Hlth Grp, Launceston, Tas 7250, Australia; [Dempster, Tim] Univ Melbourne, Sch BioSci, SALTT, Parkville, Vic 3052, Australia; [Fosse, Jan Olav; Oppedal, Frode] Inst Marine Res, N-5984 Matredal, Norway</t>
  </si>
  <si>
    <t>University of Tasmania; University of Melbourne; Institute of Marine Research - Norway</t>
  </si>
  <si>
    <t>Oldham, T (corresponding author), Univ Tasmania, Inst Marine &amp; Antarctic Studies, Aquat Anim Hlth Grp, Launceston, Tas 7250, Australia.</t>
  </si>
  <si>
    <t>tina.oldham@utas.edu.au</t>
  </si>
  <si>
    <t>; Dempster, Tim/E-9630-2011; Oldham, Tina Marie Weier/E-4779-2015</t>
  </si>
  <si>
    <t>Oppedal, Frode/0000-0001-8625-0331; Dempster, Tim/0000-0001-8041-426X; Oldham, Tina Marie Weier/0000-0002-8994-0052</t>
  </si>
  <si>
    <t>10.3354/aei00219</t>
  </si>
  <si>
    <t>EQ3EE</t>
  </si>
  <si>
    <t>Green Accepted, Green Submitted, gold</t>
  </si>
  <si>
    <t>WOS:000397953200005</t>
  </si>
  <si>
    <t>Pérez, W; Tellechea, JS; Lima, M</t>
  </si>
  <si>
    <t>Perez, William; Tellechea, Javier S.; Lima, Martin</t>
  </si>
  <si>
    <t>Remnat of the Intra-Abdominal Vitelline Artery in the Antarctic Minke Whale (Balaenoptera bonaerensis) and in the Sei Whale (Balaenoptera borealis)</t>
  </si>
  <si>
    <t>AQUATIC MAMMALS</t>
  </si>
  <si>
    <t>SMALL INTESTINAL STRANGULATION; PLACENTA; HORSE; DIVERTICULUM; OBSTRUCTION; VOLVULUS; BAND</t>
  </si>
  <si>
    <t>[Perez, William; Tellechea, Javier S.; Lima, Martin] Univ Republica, Fac Vet, Area Anat, Lasplaces 1620, Montevideo 11600, Uruguay; [Tellechea, Javier S.] Univ Republica, Fac Ciencias, Inst Biol, Lab Fisiol Reprod &amp; Ecol Peces,Dept Biol Anim, Igua 4225, Montevideo 11400, Uruguay</t>
  </si>
  <si>
    <t>Universidad de la Republica, Uruguay; Universidad de la Republica, Uruguay</t>
  </si>
  <si>
    <t>Pérez, W (corresponding author), Univ Republica, Fac Vet, Area Anat, Lasplaces 1620, Montevideo 11600, Uruguay.</t>
  </si>
  <si>
    <t>William Pérez, Anatomy./H-7222-2019; Tellechea, Javier S./P-7999-2019; PÉREZ, WILLIAM/D-2609-2009</t>
  </si>
  <si>
    <t>William Pérez, Anatomy./0000-0002-9647-4731; Tellechea, Javier S./0000-0002-1913-7563;</t>
  </si>
  <si>
    <t>EUROPEAN ASSOC AQUATIC MAMMALS</t>
  </si>
  <si>
    <t>MOLINE</t>
  </si>
  <si>
    <t>C/O DR JEANETTE THOMAS, BIOLOGICAL SCIENCES, WESTERN ILLIONIS UNIV-QUAD CITIES, 3561 60TH STREET, MOLINE, IL 61265 USA</t>
  </si>
  <si>
    <t>0167-5427</t>
  </si>
  <si>
    <t>AQUAT MAMM</t>
  </si>
  <si>
    <t>Aquat. Mamm.</t>
  </si>
  <si>
    <t>10.1578/AM.43.1.2017.87</t>
  </si>
  <si>
    <t>Marine &amp; Freshwater Biology; Zoology</t>
  </si>
  <si>
    <t>EP7ZF</t>
  </si>
  <si>
    <t>WOS:000397595000010</t>
  </si>
  <si>
    <t>Schall, E; Van Opzeeland, I</t>
  </si>
  <si>
    <t>Schall, Elena; Van Opzeeland, Ilse</t>
  </si>
  <si>
    <t>Calls Produced by Ecotype C Killer Whales (Orcinus orca) Off the Eckstrom Iceshelf, Antarctica</t>
  </si>
  <si>
    <t>killer whale; Orcinus orca; vocal behaviour; ecotype; passive acoustic monitoring; Antarctic; Southern Ocean</t>
  </si>
  <si>
    <t>ACOUSTIC BEHAVIOR; VOCAL BEHAVIOR; SEA; PATTERNS; WATERS</t>
  </si>
  <si>
    <t>Killer whales (Orcinus orca) are highly social predators distributed throughout the world's oceans. They are divided into different ecotypes to foraging specializations, phenotype, and social organization. For Northern Hemisphere killer whale ecotypes, acoustic behaviour has been shown to relate to foraging strategies and social organization. In contrast to the intensively studied Northern Hemisphere ecotypes, distribution patterns, social structures, and acoustic behaviour of the Southern Hemisphere killer whale ecotypes are poorly known. One of the Southern Hemisphere ecotypes, the Antarctic Ecotype C killer whale, is known to occur in regions with dense pack ice. The limited accessibility of these areas make passive acoustic monitoring (PAM) methods a very effective investigation tool to derive information on ecotype-specific abundance and distribution. During 2 d in February 2013, it was possible to collect concurrent visual and acoustic information of Ecotype C killer whales off the Antarctic continent. From these events, a call type catalogue was compiled. The 2,238 examined calls were subjectively classified into 26 discrete call types. Ten percent of the examined calls were re-classified by two additional independent observers to examine robustness of the classification. Mean classification accordance among observers was 68%. Most call types were composed of more than one call part. Sixty-five percent of all call types were monophonic, and 35% were biphonic. Almost two-third of all call types started with a short, broadband pulse. The variability within call types was relatively high. The Ecotype C vocal repertoire contained typical acoustic features such as biphonation, high call complexity, and generally high variability in frequency modulation. For future studies, the distinct characteristics of some of the call types described herein could potentially serve as acoustic markers for PAM-based differentiation of killer whale ecotypes in the Southern Ocean.</t>
  </si>
  <si>
    <t>[Schall, Elena; Van Opzeeland, Ilse] Alfred Wegener Inst Polar &amp; Marine Res, Ocean Acoust Lab, Bremerhaven, Germany</t>
  </si>
  <si>
    <t>Helmholtz Association; Alfred Wegener Institute, Helmholtz Centre for Polar &amp; Marine Research</t>
  </si>
  <si>
    <t>Van Opzeeland, I (corresponding author), Alfred Wegener Inst Polar &amp; Marine Res, Ocean Acoust Lab, Bremerhaven, Germany.</t>
  </si>
  <si>
    <t>ilse.van.opzeeland@awi.de</t>
  </si>
  <si>
    <t>10.1578/AM.43.2.2017.117</t>
  </si>
  <si>
    <t>EP8AB</t>
  </si>
  <si>
    <t>WOS:000397597200001</t>
  </si>
  <si>
    <t>de Pablo, MA; Molina, A; Recio, C; Ramos, M; Goyanes, G; Ropero, MA</t>
  </si>
  <si>
    <t>de Pablo, M. A.; Molina, A.; Recio, C.; Ramos, M.; Goyanes, G.; Ropero, M. A.</t>
  </si>
  <si>
    <t>Study of the active layer at the Spanish Antarctic station Gabriel de Castilla, Deception Island, Antarctica</t>
  </si>
  <si>
    <t>BOLETIN GEOLOGICO Y MINERO</t>
  </si>
  <si>
    <t>The degradation of permanent frozen ground (permafrost) and the increase in the thickness of the active layer may be caused both by natural processes (such as global climate change) and by anthropic activity, which changes the natural environmental conditions that allow its existence, as has been widely reported to occur in the northern polar and subpolar regions. In the case of Antarctica, some scientific research stations are located in areas with permafrost, such as the Spanish Antarctic station Gabriel de Castilla on Deception Island. In the place where the station is located, an important increase in erosion has been observed in recent years, including the excavation of new gullies and the erosion of the coastal cliffs. In order to develop an initial analysis of the possible effects of the station on the permafrost degradation, ground temperature has been monitored since 2012 and the thickness and of the active layer and the temperature, both inside and beneath the station, have also been sporadically measured. Here we show the results and discuss how the station reduces the freezing of the ground during the winter when the station is closed and facilitates the warming of the ground during the living periods of the station in the Antarctic summer. Those initial results and conclusions make necessary to continue the study of the permafrost and the active layer in the station site by systematic monitoring of the ground temperature and the thickness of the active layer.</t>
  </si>
  <si>
    <t>[de Pablo, M. A.; Molina, A.] Univ Alcala, Dept Geol Geog &amp; Medio Ambiente, Unidad Geol, Madrid 28871, Spain; [Recio, C.] Univ Politecn Madrid, Dept Matemat Aplicada TIC, E-28040 Madrid, Spain; [Ramos, M.] Univ Alcala, Dept Fis &amp; Matemat, Unidad Fis, Madrid 28871, Spain; [Goyanes, G.] Consejo Nacl Invest Cient &amp; Tecn, Direcc Nacl Antart, Inst Antart Argentino, San Martin, Provincia De Bu, Argentina; [Ropero, M. A.] INTA, Lab Ingenieros Ejercito Gen Marva, Madrid 28008, Spain</t>
  </si>
  <si>
    <t>Universidad de Alcala; Universidad Politecnica de Madrid; Universidad de Alcala; Instituto Antartico Argentino; Consejo Nacional de Investigaciones Cientificas y Tecnicas (CONICET); Consejo Superior de Investigaciones Cientificas (CSIC); CSIC - Centro de Astrobiologia (INTA)</t>
  </si>
  <si>
    <t>de Pablo, MA (corresponding author), Univ Alcala, Dept Geol Geog &amp; Medio Ambiente, Unidad Geol, Madrid 28871, Spain.</t>
  </si>
  <si>
    <t>miguelangel.depablo@uah.es</t>
  </si>
  <si>
    <t>De Pablo, Miguel Ángel/J-6442-2014; Goyanes Díaz, Gabriel Alejandro/JXM-1643-2024; Ramos, Miguel/K-2230-2014; Molina, Antonio/E-4698-2010; Molina, Antonio/AAE-1314-2020; Recio, Clemente/I-2637-2015</t>
  </si>
  <si>
    <t>De Pablo, Miguel Ángel/0000-0002-4496-2741; Goyanes Díaz, Gabriel Alejandro/0000-0001-5241-254X; Ramos, Miguel/0000-0003-3648-6818; Molina, Antonio/0000-0002-5038-2022; Recio, Clemente/0000-0002-2424-7249</t>
  </si>
  <si>
    <t>INST GEOLOGICA MINERO ESPANA</t>
  </si>
  <si>
    <t>MADRID</t>
  </si>
  <si>
    <t>MUSEO GEOMINERO, RIOS ROSAS, NO 23, MADRID, 28003, SPAIN</t>
  </si>
  <si>
    <t>0366-0176</t>
  </si>
  <si>
    <t>2253-6167</t>
  </si>
  <si>
    <t>BOL GEOL MIN</t>
  </si>
  <si>
    <t>Bol. Geol. Min.</t>
  </si>
  <si>
    <t>10.21701/bolgeomin.128.1.004</t>
  </si>
  <si>
    <t>EQ7IK</t>
  </si>
  <si>
    <t>WOS:000398257500004</t>
  </si>
  <si>
    <t>She, XY; Ke, CQ; Miao, X; Zhang, X; Zhang, J</t>
  </si>
  <si>
    <t>She, Xiao-Yi; Ke, Chang-Qing; Miao, Xin; Zhang, Xi; Zhang, Jie</t>
  </si>
  <si>
    <t>An automated method for the detection of emperor penguin colonies from Landsat 8 imagery</t>
  </si>
  <si>
    <t>REMOTE SENSING LETTERS</t>
  </si>
  <si>
    <t>Emperor penguins; colony; normalized difference faeces index; detection; Landsat 8; Antarctica</t>
  </si>
  <si>
    <t>CLIMATE; SNOW; SEA</t>
  </si>
  <si>
    <t>Detailed information on the emperor penguin colonies is crucial for estimating total populations and analysing population migration. This study presents a new method for detecting colonies of emperor penguins by identifying areas covered with their faeces using Landsat 8 data. Top of Atmosphere (TOA) reflectance and Brightness Temperature (BT) of Landsat images are used as inputs. This method first uses normalized spectral indexes (normalized difference water index (NDWI), normalized difference faeces index (NDFI), normalized difference snow index (NDSI)), band ratios and an individual band reflectance to produce probability masks for areas covered by faeces differentiating from other land cover types. Then, after eliminating those pixels that have abnormal elevations and performing a median filter, the probability masks for those areas covered by faeces are used to derive the corresponding polygons. Subsequently, the geometric centre of the polygons of those areas covered by faeces is used as the location for a corresponding colony. For a widely distributed set of data around the Ross and Somov Seas, the overall classification accuracy is as high as 91% with a small standard deviation of 0.12.</t>
  </si>
  <si>
    <t>[She, Xiao-Yi; Ke, Chang-Qing] Nanjing Univ, Collaborat Innovat Ctr South China Sea Studies, Jiangsu Prov Key Lab Geog Informat Sci &amp; Technol, Nanjing 210023, Jiangsu, Peoples R China; [Ke, Chang-Qing] Nanjing Univ, Collaborat Innovat Ctr Novel Software Technol &amp; I, Nanjing 210023, Jiangsu, Peoples R China; [Miao, Xin] Missouri State Univ, Dept Geog Geol &amp; Planning, Springfield, MO USA; [Zhang, Xi; Zhang, Jie] State Ocean Adm, Inst Oceanog 1, Qingdao, Peoples R China</t>
  </si>
  <si>
    <t>Nanjing University; Nanjing University; Missouri State University; First Institute of Oceanography, Ministry of Natural Resources</t>
  </si>
  <si>
    <t>Ke, CQ (corresponding author), Nanjing Univ, Collaborat Innovat Ctr South China Sea Studies, Jiangsu Prov Key Lab Geog Informat Sci &amp; Technol, Nanjing 210023, Jiangsu, Peoples R China.;Ke, CQ (corresponding author), Nanjing Univ, Collaborat Innovat Ctr Novel Software Technol &amp; I, Nanjing 210023, Jiangsu, Peoples R China.</t>
  </si>
  <si>
    <t>kecq@nju.edu.cn</t>
  </si>
  <si>
    <t>National Nature Science Foundation of China [41371391]; National key research and development program [2016YFA0600102]; Foreign Cooperation of Chinese Arctic and Antarctic Administration [IC201301]</t>
  </si>
  <si>
    <t>National Nature Science Foundation of China(National Natural Science Foundation of China (NSFC)); National key research and development program; Foreign Cooperation of Chinese Arctic and Antarctic Administration</t>
  </si>
  <si>
    <t>This work is supported by the Program for National Nature Science Foundation of China (No. 41371391), and National key research and development program (2016YFA0600102), and the program for Foreign Cooperation of Chinese Arctic and Antarctic Administration (No. IC201301).</t>
  </si>
  <si>
    <t>2150-704X</t>
  </si>
  <si>
    <t>2150-7058</t>
  </si>
  <si>
    <t>REMOTE SENS LETT</t>
  </si>
  <si>
    <t>Remote Sens. Lett.</t>
  </si>
  <si>
    <t>10.1080/2150704X.2017.1306136</t>
  </si>
  <si>
    <t>EQ6IN</t>
  </si>
  <si>
    <t>WOS:000398185100011</t>
  </si>
  <si>
    <t>Shortlidge, EE; Eppley, SM; Kohler, H; Rosenstiel, TN; Zúñiga, GE; Casanova-Katny, A</t>
  </si>
  <si>
    <t>Shortlidge, Erin E.; Eppley, Sarah M.; Kohler, Hans; Rosenstiel, Todd N.; Zuniga, Gustavo E.; Casanova-Katny, Angelica</t>
  </si>
  <si>
    <t>Passive warming reduces stress and shifts reproductive effort in the Antarctic moss, Polytrichastrum alpinum</t>
  </si>
  <si>
    <t>ANNALS OF BOTANY</t>
  </si>
  <si>
    <t>Antarctic flora; Antarctica; bryophytes; antioxidants; climate change; mosses; physiology; physiological ecology; Polytrichastrum alpinum; sexual reproduction</t>
  </si>
  <si>
    <t>PLANT COMMUNITY RESPONSES; SEXUAL REPRODUCTION; VASCULAR-PLANT; CLIMATE-CHANGE; CHLOROPHYLL FLUORESCENCE; CRYPTOPYGUS-ANTARCTICUS; DESICCATION-TOLERANCE; ENVIRONMENTAL-CHANGE; DECOMPOSITION RATES; GENETIC-STRUCTURE</t>
  </si>
  <si>
    <t>Background and Aims The Western Antarctic Peninsula is one of the most rapidly warming regions on Earth, and many biotic communities inhabiting this dynamic region are responding to these well-documented climatic shifts. Yet some of the most prevalent organisms of terrestrial Antarctica, the mosses, and their responses to warming have been relatively overlooked and understudied. In this research, the impacts of 6 years of passive warming were investigated using open top chambers (OTCs), on moss communities of Fildes Peninsula, King George Island, Antarctica. Methods The effects of experimental passive warming on the morphology, sexual reproductive effort and stress physiology of a common dioicous Antarctic moss, Polytrichastrum alpinum, were tested, gaining the first speciesspecific mechanistic insight into moss responses to warming in the Antarctic. Additionally community analyses were conducted examining the impact of warming on overall moss percentage cover and sporophyte production in intact Antarctic moss communities. Key Results Our results show a generally greater percentage moss cover under warming conditions as well as increased gametangia production in P. alpinum. Distinct morphological and physiological shifts in P. alpinum were found under passive warming compared with those without warming: warmed mosses reduced investment in cellular stress defences, but invested more towards primary productivity and gametangia development. Conclusions Taken together, results from this study of mosses under passive warming imply that in ice-free moss-dominated regions, continued climate warming will probably have profound impacts on moss biology and colonization along the Western Antarctic Peninsula. Such findings highlight the fundamental role that mosses will play in influencing the terrestrialization of a warming Antarctica.</t>
  </si>
  <si>
    <t>[Shortlidge, Erin E.] Portland State Univ, Dept Biol, Portland, OR 97201 USA; [Eppley, Sarah M.; Rosenstiel, Todd N.] Portland State Univ, Dept Biol, Portland, OR 97207 USA; [Eppley, Sarah M.; Rosenstiel, Todd N.] Portland State Univ, Ctr Life Extreme Environm, Portland, OR 97207 USA; [Kohler, Hans; Zuniga, Gustavo E.; Casanova-Katny, Angelica] Univ Santiago, Dept Biol &amp; Chem, Alameda 3363, Santiago, Chile; [Casanova-Katny, Angelica] Catholic Univ Temuco, Nat Resources Fac, Sch Environm Sci, Program Environm Studies NEA, Rudecindo Ortega 02950, Temuco, Chile</t>
  </si>
  <si>
    <t>Portland State University; Portland State University; Portland State University; Universidad Catolica de Temuco</t>
  </si>
  <si>
    <t>Shortlidge, EE (corresponding author), Portland State Univ, Dept Biol, Portland, OR 97201 USA.</t>
  </si>
  <si>
    <t>eshortlidge@pdx.edu</t>
  </si>
  <si>
    <t>Shortlidge, Erin/ABA-9548-2021; Casanova-Katny, Angelica/M-3994-2014; Zuñiga, Gustavo E/P-8306-2015</t>
  </si>
  <si>
    <t>Zuniga, Gustavo/0000-0002-8286-9468</t>
  </si>
  <si>
    <t>Chilean Antarctic Institute (INACH) [Fr-0112, T0307]; Comision Nacional de Investigacion Cientifica y Tecnologica, Chile (CONICYT-CHILE) [FONDECYT 1120895]; US National Science Foundation [DEB 128225, PLR 1341742]; Direct For Biological Sciences; Division Of Integrative Organismal Systems [1258225] Funding Source: National Science Foundation; Directorate For Geosciences; Office of Polar Programs (OPP) [1341742] Funding Source: National Science Foundation</t>
  </si>
  <si>
    <t>Chilean Antarctic Institute (INACH); Comision Nacional de Investigacion Cientifica y Tecnologica, Chile (CONICYT-CHILE); US National Science Foundation(National Science Foundation (NSF)); Direct For Biological Sciences; Division Of Integrative Organismal Systems(National Science Foundation (NSF)NSF - Directorate for Biological Sciences (BIO)NSF - Division of Integrative Organismal Systems (IOS)); Directorate For Geosciences; Office of Polar Programs (OPP)(National Science Foundation (NSF)NSF - Directorate for Geosciences (GEO))</t>
  </si>
  <si>
    <t>We thank P. Zuniga for help in the field, and Dr Cristina Munoz Vargas, from Soil and Natural resources from Agronomy Faculty, Universidad de Concepcion, Chillan, Chile. We thank Dr Juan Larrain for help with preparation of our voucher samples. A.C.K. and G.E.Z. thank Proyectos Basales y Vicerrectoria de Investigacion, Desarrollo e Innovacion, Codigo 021543ZN_ INTEXCELENC, Universidad de Santiago de Chile and the DIUCT at the Universidad Catolica de Temuco. Also, special thanks to three anonymous reviewers for their comments and insights which improved this manuscript. This work was supported by the Chilean Antarctic Institute (INACH) with generous financial and logistical support [Fr-0112 and T0307]; Comision Nacional de Investigacion Cientifica y Tecnologica, Chile (CONICYT-CHILE) [FONDECYT 1120895]; and the US National Science Foundation [DEB 128225 to S.M.E.; PLR 1341742 to S.M.E. and T.N.R.].</t>
  </si>
  <si>
    <t>0305-7364</t>
  </si>
  <si>
    <t>1095-8290</t>
  </si>
  <si>
    <t>ANN BOT-LONDON</t>
  </si>
  <si>
    <t>Ann. Bot.</t>
  </si>
  <si>
    <t>10.1093/aob/mcw201</t>
  </si>
  <si>
    <t>EM9HG</t>
  </si>
  <si>
    <t>WOS:000395621900003</t>
  </si>
  <si>
    <t>Antonello, A</t>
  </si>
  <si>
    <t>Antonello, Alessandro</t>
  </si>
  <si>
    <t>Engaging and Narrating the Antarctic Ice Sheet: The History of an Earthly Body</t>
  </si>
  <si>
    <t>ENVIRONMENTAL HISTORY</t>
  </si>
  <si>
    <t>CLIMATE; SCIENCE</t>
  </si>
  <si>
    <t>First explored at the beginning of the twentieth century, the Antarctic ice sheet is the largest body of ice in the world and plays a significant part in the earth's atmospheric and oceanic processes. With its massive spatial and temporal scales, the ice sheet has challenged human attempts to conceptualize and understand it; the ice sheet's dynamic responses to global warming have further challenged understanding. While there has been a substantial increase in knowledge, there has also been a continuous thread of dealing with the unknown and imaginative aspects of the ice sheet. This article explores the history of scientific engagements with and narrations of the Antarctic ice sheet since the early twentieth century. It looks at two aspects. First, it examines the ways in which explorers and scientists have come to understand the ice sheet as a spatial entity, particularly noting the limits of human engagements along lines of movement with particular technologies. Second, this article examines the ways in which the ice sheet has been understood as an entity in time, a stable or unstable earthly body with geo-histories and potential futures, with changing narrations over time. I argue that we must recognize that the Antarctic ice sheet, although manifestly objective and present in the world, had to be conceptualized and made.</t>
  </si>
  <si>
    <t>[Antonello, Alessandro] Univ Melbourne, Sch Hist &amp; Philosoph Studies, Melbourne, Vic, Australia</t>
  </si>
  <si>
    <t>University of Melbourne; Melbourne Bioinformatics</t>
  </si>
  <si>
    <t>Antonello, A (corresponding author), Univ Melbourne, Sch Hist &amp; Philosoph Studies, Melbourne, Vic, Australia.</t>
  </si>
  <si>
    <t>Antonello, Alessandro/0000-0002-7549-1436</t>
  </si>
  <si>
    <t>Divn Of Social and Economic Sciences; Direct For Social, Behav &amp; Economic Scie [1253779] Funding Source: National Science Foundation</t>
  </si>
  <si>
    <t>Divn Of Social and Economic Sciences; Direct For Social, Behav &amp; Economic Scie(National Science Foundation (NSF)NSF - Directorate for Social, Behavioral &amp; Economic Sciences (SBE))</t>
  </si>
  <si>
    <t>UNIV CHICAGO PRESS</t>
  </si>
  <si>
    <t>CHICAGO</t>
  </si>
  <si>
    <t>1427 E 60TH ST, CHICAGO, IL 60637-2954 USA</t>
  </si>
  <si>
    <t>1084-5453</t>
  </si>
  <si>
    <t>1930-8892</t>
  </si>
  <si>
    <t>ENVIRON HIST-US</t>
  </si>
  <si>
    <t>Environ. Hist.</t>
  </si>
  <si>
    <t>10.1093/envhis/emw070</t>
  </si>
  <si>
    <t>Environmental Studies; History</t>
  </si>
  <si>
    <t>Social Science Citation Index (SSCI); Arts &amp; Humanities Citation Index (A&amp;HCI)</t>
  </si>
  <si>
    <t>Environmental Sciences &amp; Ecology; History</t>
  </si>
  <si>
    <t>EP0ZN</t>
  </si>
  <si>
    <t>WOS:000397115300004</t>
  </si>
  <si>
    <t>Watson, RA; Pitcher, TJ; Jennings, S</t>
  </si>
  <si>
    <t>Watson, Reg A.; Pitcher, Tony J.; Jennings, Simon</t>
  </si>
  <si>
    <t>Plenty more fish in the sea?</t>
  </si>
  <si>
    <t>FISH AND FISHERIES</t>
  </si>
  <si>
    <t>Conservation; global abundance; historical fishing; reconstruction</t>
  </si>
  <si>
    <t>GLOBAL FISHERIES; OCEAN; PREDICTIONS; EFFICIENCY; PATTERNS; BIOMASS</t>
  </si>
  <si>
    <t>Only in the last century did humans overwhelmingly accept that fisheries resources are finite. Consequently, 'there are more fish still in the sea than ever came out of it' served as a popular metaphor for unbounded expectations for half a millennium, expectations that also extended to use of the planet in general. By reconstructing historical fishing back 1200 years, we identify when this metaphor actually ceased to be true. For some of our most important stocks, it has not been true for centuries, although surprisingly, for fishes globally, it applied until the last century. We demonstrate, however, that there can still be 'plenty more fish in the sea' and that with effective management they provide a continuous flow of benefits for our future.</t>
  </si>
  <si>
    <t>[Watson, Reg A.] Univ Tasmania, Inst Marine &amp; Antarctic Studies, Private Bag 129, Hobart, Tas 7001, Australia; [Pitcher, Tony J.] Univ British Columbia, Fisheries Ctr, 2202 Main Mall, Vancouver, BC V6T 1Z4, Canada; [Jennings, Simon] Univ East Anglia, Sch Environm Sci, Norwich NR7 4TJ, Norfolk, England; [Jennings, Simon] Ctr Environm Fisheries &amp; Aquaculture Sci, Lowestoft NR33 0HT, Suffolk, England</t>
  </si>
  <si>
    <t>University of Tasmania; University of British Columbia; University of East Anglia; Centre for Environment Fisheries &amp; Aquaculture Science</t>
  </si>
  <si>
    <t>Watson, RA (corresponding author), Univ Tasmania, Inst Marine &amp; Antarctic Studies, GPO Box 252-49, Hobart, Tas 7001, Australia.</t>
  </si>
  <si>
    <t>r.a.watson@utas.edu.au</t>
  </si>
  <si>
    <t>Watson, Reg A/F-4850-2012; Jennings, Simon/F-5085-2012</t>
  </si>
  <si>
    <t>Watson, Reg A/0000-0001-7201-8865; Jennings, Simon/0000-0002-2390-7225</t>
  </si>
  <si>
    <t>Australian Research Council Discovery project [DP140101377]; University of British Columbia's Sea Around Us project; Commonwealth Scientific Industrial and Research Organisation; UK Department of Environment, Food and Rural Affairs; Ernest Frohlich Fellowship</t>
  </si>
  <si>
    <t>Australian Research Council Discovery project(Australian Research Council); University of British Columbia's Sea Around Us project; Commonwealth Scientific Industrial and Research Organisation; UK Department of Environment, Food and Rural Affairs(Department for Environment, Food &amp; Rural Affairs (DEFRA)); Ernest Frohlich Fellowship</t>
  </si>
  <si>
    <t>R.A.W. acknowledges funding support from the Australian Research Council Discovery project support (DP140101377). We gratefully acknowledge provision of some data sources by the Pew Charitable Trust's support of the University of British Columbia's Sea Around Us project. S.J. thanks the Commonwealth Scientific Industrial and Research Organisation for support afforded by an Ernest Frohlich Fellowship, which facilitated planning of this study, and thanks the UK Department of Environment, Food and Rural Affairs for research funding. T.J.P acknowledges basic infrastructure support from the National Science and Engineering Research Council of Canada.</t>
  </si>
  <si>
    <t>1467-2960</t>
  </si>
  <si>
    <t>1467-2979</t>
  </si>
  <si>
    <t>FISH FISH</t>
  </si>
  <si>
    <t>Fish. Fish.</t>
  </si>
  <si>
    <t>10.1111/faf.12128</t>
  </si>
  <si>
    <t>EO0SC</t>
  </si>
  <si>
    <t>WOS:000396407200007</t>
  </si>
  <si>
    <t>Everson, I</t>
  </si>
  <si>
    <t>Everson, Inigo</t>
  </si>
  <si>
    <t>Designation and management of large-scale MPAs drawing on the experiences of CCAMLR</t>
  </si>
  <si>
    <t>CCAMLR; consensus; conservation measure; legal framework; marine-protected area; RFMO</t>
  </si>
  <si>
    <t>FISHERIES; CONSERVATION; ECOSYSTEM</t>
  </si>
  <si>
    <t>With the adoption of the United Nations Law of the Sea came the need for effective worldwide control of marine fisheries. Initially centred on single species, the tasks have extended to ecosystem-based management through the concept of marine-protected areas into habitats and biodiversity. These diverse requirements have placed enhanced responsibilities on fisheries management organizations. Commission for the Conservation of Antarctic Marine Living Resources (CCAMLR) has successfully developed effective management measures for the Southern Ocean but has encountered difficulties in establishing marine-protected areas. Key to the success of CCAMLR has been the establishment of conservation measures on clearly defined topics through decision making by consensus. It is argued that the problems that CCAMLR has encountered in establishing marine-protected areas centre on the range of features, in terms of stakeholder interests, to be afforded protection allied to problems with the consensus process. In this paper, the approaches of CCAMLR in converting the conceptual framework of treaty language into practical management measures using consensus are discussed in relation to the manner in which marine-protected areas might be established within other fisheries management organizations. It is concluded that the most effective approach is as a composite of strictly focussed conservation measures the sum of which cover all facets of a marine-protected area. This approach has the further advantage that individual components can be changed without opening the whole legal instrument to re-negotiation.</t>
  </si>
  <si>
    <t>[Everson, Inigo] Univ East Anglia, Sch Environm Sci, Norwich Res Pk, Norwich NR4 7TJ, Norfolk, England</t>
  </si>
  <si>
    <t>University of East Anglia</t>
  </si>
  <si>
    <t>Everson, I (corresponding author), Summer House,Sandy Lane, West Runton NR27 9NB, Norfolk, England.</t>
  </si>
  <si>
    <t>ideverson@gmail.com</t>
  </si>
  <si>
    <t>10.1111/faf.12137</t>
  </si>
  <si>
    <t>WOS:000396407200010</t>
  </si>
  <si>
    <t>Hill, JC; Long, DG</t>
  </si>
  <si>
    <t>Hill, Jordan C.; Long, David G.</t>
  </si>
  <si>
    <t>Extension of the QuikSCAT Sea Ice Extent Data Set With OSCAT Data</t>
  </si>
  <si>
    <t>IEEE GEOSCIENCE AND REMOTE SENSING LETTERS</t>
  </si>
  <si>
    <t>Arctic; Antarctic; radar remote sensing; sea ice</t>
  </si>
  <si>
    <t>BAND SCATTEROMETER DATA; ENHANCED-RESOLUTION; CLASSIFICATION; ALGORITHM; TARGETS</t>
  </si>
  <si>
    <t>The Ku-band Oceansat-2 Scatterometer (OSCAT) is very similar to the Quick Scatterometer (QuikSCAT), which operated from 1999 to 2009. OSCAT continues the Ku-band scatterometer data record through 2014 with an overlap of 19 days with QuikSCAT's mission in 2009. This letter discusses a particular climate application of the time series for sea ice extent observation. In this letter, a QuikSCAT sea ice extent algorithm is modified for OSCAT. Gaps in OSCAT data are accounted for and filled in to support sea ice extent mapping. The OSCAT sea ice extent data are validated with QuikSCAT and Special Sensor Microwave/Imager sea ice extent data.</t>
  </si>
  <si>
    <t>[Hill, Jordan C.; Long, David G.] Brigham Young Univ, Elect &amp; Comp Engn Dept, Provo, UT 84602 USA</t>
  </si>
  <si>
    <t>Hill, JC (corresponding author), Brigham Young Univ, Elect &amp; Comp Engn Dept, Provo, UT 84602 USA.</t>
  </si>
  <si>
    <t>hill@mers.byu.edu; long@ee.byu.edu</t>
  </si>
  <si>
    <t>IEEE-INST ELECTRICAL ELECTRONICS ENGINEERS INC</t>
  </si>
  <si>
    <t>PISCATAWAY</t>
  </si>
  <si>
    <t>445 HOES LANE, PISCATAWAY, NJ 08855-4141 USA</t>
  </si>
  <si>
    <t>1545-598X</t>
  </si>
  <si>
    <t>1558-0571</t>
  </si>
  <si>
    <t>IEEE GEOSCI REMOTE S</t>
  </si>
  <si>
    <t>IEEE Geosci. Remote Sens. Lett.</t>
  </si>
  <si>
    <t>10.1109/LGRS.2016.2630010</t>
  </si>
  <si>
    <t>Geochemistry &amp; Geophysics; Engineering, Electrical &amp; Electronic; Remote Sensing; Imaging Science &amp; Photographic Technology</t>
  </si>
  <si>
    <t>Geochemistry &amp; Geophysics; Engineering; Remote Sensing; Imaging Science &amp; Photographic Technology</t>
  </si>
  <si>
    <t>EM6MY</t>
  </si>
  <si>
    <t>WOS:000395427900019</t>
  </si>
  <si>
    <t>Ageyeva, V; Gruzdev, A</t>
  </si>
  <si>
    <t>Ageyeva, V. Yu.; Gruzdev, A. N.</t>
  </si>
  <si>
    <t>Seasonal features of quasi-biennial variations of NO2 stratospheric content derived from ground-based measurements</t>
  </si>
  <si>
    <t>IZVESTIYA ATMOSPHERIC AND OCEANIC PHYSICS</t>
  </si>
  <si>
    <t>nitrogen dioxide (NO2); ozone (O-3); quasi-biennial oscillation (QBO)</t>
  </si>
  <si>
    <t>OSCILLATION; ZVENIGOROD; O-3; TEMPERATURE; VARIABILITY; CIRCULATION; WARMINGS; COLUMN; OZONE; MODEL</t>
  </si>
  <si>
    <t>Seasonal and latitudinal distributions of amplitudes of quasi-biennial variations in total NO2 content (NO2 TC), total ozone content (TOC), and stratospheric temperature are obtained. NO2 TC data from ground-based spectrometric measurements within the Network for the Detection of Atmospheric Composition Change (NDACC), TOC data from satellite measurements, and stratospheric temperature data from ERA-Interim reanalysis are used for the analysis. The differences in the NO2 TC diurnal cycles are identified between the westerly and easterly phases of the quasi-biennial oscillations (QBO) of equatorial stratospheric wind. The QBO effects in the NO2 TC, TOC, and stratospheric temperature in the Northern (NH) and Southern (SH) hemispheres are most significant in the winter-spring periods, with essential differences between the NH and SH. The NO2 TC in the Antarctic is less for the westerly phase of the QBO than that for the easterly phase, and the NO2 TC quasi-biennial variations in the SH mid-latitudes are opposite of the variations in the Antarctic. In the NH, the winter values of the NO2 TC are generally less during the westerly QBO phase than during the easterly phase, whereas in spring, on the contrary, the values for the westerly QBO phase exceed those for the easterly phase. Along with NO2, the features of the quasi-biennial variations of TOC and stratospheric temperature are discussed. Possible mechanisms of the quasi-biennial variations of the analyzed parameters are considered for the different latitudinal zones.</t>
  </si>
  <si>
    <t>[Ageyeva, V. Yu.; Gruzdev, A. N.] Russian Acad Sci, Obukhov Inst Atmospher Phys, Moscow 119017, Russia</t>
  </si>
  <si>
    <t>Russian Academy of Sciences; Obukhov Institute of Atmospheric Physics of Russian Academy of Sciences</t>
  </si>
  <si>
    <t>Gruzdev, A (corresponding author), Russian Acad Sci, Obukhov Inst Atmospher Phys, Moscow 119017, Russia.</t>
  </si>
  <si>
    <t>a.n.gruzdev@mail.ru</t>
  </si>
  <si>
    <t>NASA GES DISC</t>
  </si>
  <si>
    <t>Data on the NO2 TC used in this work are publicly available on the NDACC website, and the authors are grateful to everyone who contributed directly to the measurements as well as to data processing and storage. We are especially grateful to A.S. Elokhov, V.M. Dorokhov, V.P. Sinyakov, V.K. Semenov, F.V. Kashin dagger, V.N. Aref'ev, J.-P. Pommereau, F. Goutail, A. Pazmino, M. Van Roozendael, F. Hendrick, M. De Maziere, P.V. Johnston, K. Kreher, S.V. Wood, J.P. Burrows, K. Stebel, and T. Svendby. To obtain the TOC data, we use the Giovanni Internet service created and supported by NASA GES DISC. We also used temperature data of the ERA-Interim reanalysis of the European Center for Medium Range Weather Forecasts (ECMWF) and the data from the Berlin Free University on the velocity of the equatorial stratospheric wind.</t>
  </si>
  <si>
    <t>0001-4338</t>
  </si>
  <si>
    <t>1555-628X</t>
  </si>
  <si>
    <t>IZV ATMOS OCEAN PHY+</t>
  </si>
  <si>
    <t>Izv. Atmos. Ocean. Phys.</t>
  </si>
  <si>
    <t>10.1134/S0001433817010029</t>
  </si>
  <si>
    <t>EN9GC</t>
  </si>
  <si>
    <t>WOS:000396307700008</t>
  </si>
  <si>
    <t>Chen, J; Wang, J; Dong, SC; Jiang, FX; Jia, MH; Zhang, HF</t>
  </si>
  <si>
    <t>Chen, Jie; Wang, Jian; Dong, Shucheng; Jiang, Fengxin; Jia, Minghao; Zhang, Hongfei</t>
  </si>
  <si>
    <t>Heating system of shutter house for the Antarctic Bright Stars Survey Telescope</t>
  </si>
  <si>
    <t>JOURNAL OF ASTRONOMICAL TELESCOPES INSTRUMENTS AND SYSTEMS</t>
  </si>
  <si>
    <t>thermal-insulation design; heating control; proportional-integral-derivative algorithm</t>
  </si>
  <si>
    <t>A heating system for the mechanical shutter for the Antarctic Bright Stars Survey Telescope (BSST) is introduced. The system consists of a thermal insulation shutter house and a heating control box. The key design of the thermal-insulation shutter house is introduced. The heating control algorithm based on fuzzy-proportional-integral-derivative is designed to improve the performance of the system. A secure control algorithm for power MOSFET is necessary in extremely cold environments. The system has been tested in the cryogenic environment for 4 weeks, which proved that the heating system has the characteristics of low temperature adaption, high accuracy of the temperature control, remote operation, and detection. As a part of the BSST, the system has been running successfully for over half a year at Zhongshan Station, Antarctica. (C) 2017 Society of Photo-Optical Instrumentation Engineers (SPIE)</t>
  </si>
  <si>
    <t>[Chen, Jie; Wang, Jian; Dong, Shucheng; Jiang, Fengxin; Jia, Minghao; Zhang, Hongfei] Univ Sci &amp; Technol China, Dept Modern Phys, State Key Lab Technol Particle Detect &amp; Elect, Anhui Key Lab Phys Elect, Hefei, Anhui, Peoples R China</t>
  </si>
  <si>
    <t>Chinese Academy of Sciences; University of Science &amp; Technology of China, CAS</t>
  </si>
  <si>
    <t>Wang, J (corresponding author), Univ Sci &amp; Technol China, Dept Modern Phys, State Key Lab Technol Particle Detect &amp; Elect, Anhui Key Lab Phys Elect, Hefei, Anhui, Peoples R China.</t>
  </si>
  <si>
    <t>wangjian@ustc.edu.cn</t>
  </si>
  <si>
    <t>Antarctic Bright Stars Survey Telescope project; Fundamental Research Funds for the Central Universities [WK2360000003, WK2030040064]; National Natural Science Funds of China [11275197, 11473062]; Natural Science Funds of Anhui Province [1508085MA07]; Research Funds of the State Key Laboratory of Particle Detection and Electronics; Fund for Fostering Talents in Basic Science of the National Natural Science Foundation of China [J1310021]; CAS Center for Excellence in Particle Physics</t>
  </si>
  <si>
    <t>Antarctic Bright Stars Survey Telescope project; Fundamental Research Funds for the Central Universities(Fundamental Research Funds for the Central Universities); National Natural Science Funds of China(National Natural Science Foundation of China (NSFC)); Natural Science Funds of Anhui Province; Research Funds of the State Key Laboratory of Particle Detection and Electronics; Fund for Fostering Talents in Basic Science of the National Natural Science Foundation of China(National Natural Science Foundation of China (NSFC)); CAS Center for Excellence in Particle Physics</t>
  </si>
  <si>
    <t>We acknowledge the financial support from the Antarctic Bright Stars Survey Telescope project, Fundamental Research Funds for the Central Universities (WK2360000003 and WK2030040064), National Natural Science Funds of China under Grant Nos. 11275197 and 11473062, Natural Science Funds of Anhui Province under Grant No. 1508085MA07, Research Funds of the State Key Laboratory of Particle Detection and Electronics, Fund for Fostering Talents in Basic Science of the National Natural Science Foundation of China under Grant No. J1310021 and CAS Center for Excellence in Particle Physics.</t>
  </si>
  <si>
    <t>SPIE-SOC PHOTO-OPTICAL INSTRUMENTATION ENGINEERS</t>
  </si>
  <si>
    <t>1000 20TH ST, PO BOX 10, BELLINGHAM, WA 98225 USA</t>
  </si>
  <si>
    <t>2329-4124</t>
  </si>
  <si>
    <t>2329-4221</t>
  </si>
  <si>
    <t>J ASTRON TELESC INST</t>
  </si>
  <si>
    <t>J. Astron. Telesc. Instrum. Syst.</t>
  </si>
  <si>
    <t>10.1117/1.JATIS.3.1.015001</t>
  </si>
  <si>
    <t>Engineering, Aerospace; Instruments &amp; Instrumentation; Optics</t>
  </si>
  <si>
    <t>Engineering; Instruments &amp; Instrumentation; Optics</t>
  </si>
  <si>
    <t>EO0DY</t>
  </si>
  <si>
    <t>WOS:000396369700004</t>
  </si>
  <si>
    <t>Kane, RP</t>
  </si>
  <si>
    <t>Kane, R. P.</t>
  </si>
  <si>
    <t>ANTARCTIC OZONE HOLE, LATEST 2015 SITUATION ABOUT RECOVEY</t>
  </si>
  <si>
    <t>MAUSAM</t>
  </si>
  <si>
    <t>Letter</t>
  </si>
  <si>
    <t>INTERANNUAL VARIABILITY; LOSSES; GCM</t>
  </si>
  <si>
    <t>[Kane, R. P.] INPE, CP 515, BR-12245970 Sao Jose Dos Campos, SP, Brazil</t>
  </si>
  <si>
    <t>Instituto Nacional de Pesquisas Espaciais (INPE)</t>
  </si>
  <si>
    <t>Kane, RP (corresponding author), INPE, CP 515, BR-12245970 Sao Jose Dos Campos, SP, Brazil.</t>
  </si>
  <si>
    <t>kane@dge.inpe.br</t>
  </si>
  <si>
    <t>FNDCT, Brazil [FINEP-537/CT]</t>
  </si>
  <si>
    <t>FNDCT, Brazil</t>
  </si>
  <si>
    <t>This work was partially supported by FNDCT, Brazil, under Contract FINEP-537/CT.</t>
  </si>
  <si>
    <t>INDIA METEOROLOGICAL DEPT</t>
  </si>
  <si>
    <t>NEW DELHI</t>
  </si>
  <si>
    <t>MAUSAM BHAWAN, LODI RD, NEW DELHI, 110 003, INDIA</t>
  </si>
  <si>
    <t>0252-9416</t>
  </si>
  <si>
    <t>Mausam</t>
  </si>
  <si>
    <t>EM5NV</t>
  </si>
  <si>
    <t>WOS:000395359200016</t>
  </si>
  <si>
    <t>Nygård, T; Tisler, P; Vihma, T; Pirazzini, R; Palo, T; Kouznetsov, R</t>
  </si>
  <si>
    <t>Nygard, Tiina; Tisler, Priit; Vihma, Timo; Pirazzini, Roberta; Palo, Timo; Kouznetsov, Rostislav</t>
  </si>
  <si>
    <t>Properties and temporal variability of summertime temperature inversions over Dronning Maud Land, Antarctica</t>
  </si>
  <si>
    <t>QUARTERLY JOURNAL OF THE ROYAL METEOROLOGICAL SOCIETY</t>
  </si>
  <si>
    <t>temperature inversion; vertical profile; temporal variability; diurnal cycle; Antarctica; radiation</t>
  </si>
  <si>
    <t>ATMOSPHERIC BOUNDARY-LAYER; SURFACE-BASED INVERSIONS; ROSS ICE SHELF; DOME-C; PLATEAU; PYRGEOMETER; PROFILES; MODELS; SHEBA; JETS</t>
  </si>
  <si>
    <t>The occurrence, properties and temporal variations of temperature inversions over Dronning Maud Land, Antarctica, were examined on the basis of tethersonde and 10 m tower measurements during the austral summer 2010-2011. Temperature inversions occurred in 96% of the observed tethersonde profiles, and a surface-based inversion in 58% of the profiles. Although the sun did not set during the study period, the amplitude of solar radiation was large enough to generate a diurnal cycle in near-surface temperatures, temperature gradients and inversion properties. However, daytime heating was not strong enough to destroy the entire inversion layer and therefore a long-living inversion layer often persisted, the lowest part of which strengthened during the nights. The surface-based inversions were strongly curved, with large negative values of the scaled curvature parameter. The majority of temperature change with height took place within the lowest approximate to 5-25 m (so-called strong inversion layer), and in the thicker part of the inversion above the temperature gradient was close to zero. The temporal evolution of near-surface temperature at fixed levels was notably affected by temporal changes of the depth of the strong inversion layer. A case-study, focusing on a typical nocturnal evolution of a surface-based inversion, demonstrated a deepening of the inversion layer during the night, presumably caused by radiative cooling at the top of the layer. Closer to the surface, where the temperature inversion was strongest, the warmer overlying layers caused a long-wave warming that probably compensated the large near-surface cooling due to sensible heat divergence. The factors most strongly favouring strong inversions with low base temperatures were the time of the day (early morning), a small cloud fraction, weak winds, and an air-mass of continental origin.</t>
  </si>
  <si>
    <t>[Nygard, Tiina; Tisler, Priit; Vihma, Timo; Pirazzini, Roberta; Palo, Timo; Kouznetsov, Rostislav] Finnish Meteorol Inst, Helsinki, Finland; [Palo, Timo] Univ Tartu, Tartu, Estonia; [Kouznetsov, Rostislav] AM Obukhov Inst Atmospher Phys, Moscow, Russia</t>
  </si>
  <si>
    <t>Finnish Meteorological Institute; University of Tartu; Russian Academy of Sciences; Obukhov Institute of Atmospheric Physics of Russian Academy of Sciences</t>
  </si>
  <si>
    <t>Nygård, T (corresponding author), Finnish Meteorol Inst, Meteorol Res, POB 503, FI-00101 Helsinki, Finland.</t>
  </si>
  <si>
    <t>tiina.nygard@fmi.fi</t>
  </si>
  <si>
    <t>Kouznetsov, Rostislav/ABD-3737-2020; Nygård, Tiina/O-3904-2019; Pirazzini, Roberta/G-2043-2012; Vihma, Timo/ABC-9771-2020</t>
  </si>
  <si>
    <t>Pirazzini, Roberta/0000-0003-3215-4592; Kouznetsov, Rostislav/0000-0001-5140-0037</t>
  </si>
  <si>
    <t>Academy of Finland through the AMICO project (Antarctic Meteorology and its Interaction with the Cryosphere and the Ocean) [263918]</t>
  </si>
  <si>
    <t>Academy of Finland through the AMICO project (Antarctic Meteorology and its Interaction with the Cryosphere and the Ocean)</t>
  </si>
  <si>
    <t>We are grateful to the staff of the Finnish Antarctic Research Program for logistics support and assistance in the field work. The work was supported by the Academy of Finland through the AMICO project (Antarctic Meteorology and its Interaction with the Cryosphere and the Ocean, contract 263918).</t>
  </si>
  <si>
    <t>0035-9009</t>
  </si>
  <si>
    <t>1477-870X</t>
  </si>
  <si>
    <t>Q J ROY METEOR SOC</t>
  </si>
  <si>
    <t>Q. J. R. Meteorol. Soc.</t>
  </si>
  <si>
    <t>UNDEFINED</t>
  </si>
  <si>
    <t>10.1002/qj.2951</t>
  </si>
  <si>
    <t>EM0EE</t>
  </si>
  <si>
    <t>WOS:000394990800044</t>
  </si>
  <si>
    <t>Hodgson-Johnston, I; Jackson, A; Jabour, J; Press, A</t>
  </si>
  <si>
    <t>Hodgson-Johnston, Indi; Jackson, Andrew; Jabour, Julia; Press, Anthony</t>
  </si>
  <si>
    <t>Cleaning up after human activity in Antarctica: legal obligations and remediation realities</t>
  </si>
  <si>
    <t>Antarctica; international law; pollution; restoration; waste disposal</t>
  </si>
  <si>
    <t>National Antarctic Programmes do not have a strict legal obligation to remediate the Antarctic environment following human activity. The Protocol on Environmental Protection to the Antarctic Treaty (the Madrid Protocol) obliges parties to conduct environmental impact assessments to prevent adverse impacts on the polar environment and to clean up pollution from waste disposal sites. The obligations stemming from the Madrid Protocol are not clearly defined, and give potential scope for parties to neglect past sites of human activity on the continent. This scope is narrowed by the work of the Committee for Environmental Protection in implementing clear practical clean-up guidelines for National Antarctic Programmes based on scientific-based recommendations from the Antarctic Treaty Parties. Despite better modern practice, Parties are still faced with damage from past activities. Some of these sites are deemed to be beyond help. This article proposes that rather than abandoning waste disposal sites because of widely acknowledged difficulties, that National Antarctic Programmes prioritize research into restorative methodologies and techniques, while increasing cooperation with other parties to overcome the enormous logistical and economic costs of cleaning up pollution in Antarctica.</t>
  </si>
  <si>
    <t>[Hodgson-Johnston, Indi; Jackson, Andrew; Jabour, Julia; Press, Anthony] Univ Tasmania, Inst Marine &amp; Antarctic Studies, 20 Castray Esplanade,Battery Point, Hobart 7004, Australia; [Hodgson-Johnston, Indi; Jackson, Andrew; Jabour, Julia; Press, Anthony] Antarctic Climate &amp; Ecosystems Cooperat Res Ctr, 20 Castray Esplanade,Battery Point, Hobart 7004, Australia</t>
  </si>
  <si>
    <t>Hodgson-Johnston, I (corresponding author), Univ Tasmania, Inst Marine &amp; Antarctic Studies, 20 Castray Esplanade,Battery Point, Hobart 7004, Australia.</t>
  </si>
  <si>
    <t>indiah.hodgsonjohnston@utas.edu.au</t>
  </si>
  <si>
    <t>Jabour, Julia A/J-7882-2014; Hodgson-Johnston, Indi/B-8054-2014</t>
  </si>
  <si>
    <t>Hodgson-Johnston, Indi/0000-0002-0305-9468; Press, Anthony/0000-0002-3233-8933</t>
  </si>
  <si>
    <t>10.1111/rec.12382</t>
  </si>
  <si>
    <t>WOS:000396475900017</t>
  </si>
  <si>
    <t>Potapov, M; Janion-Scheepers, C; Deharveng, L</t>
  </si>
  <si>
    <t>Potapov, Mikhail; Janion-Scheepers, Charlene; Deharveng, Louis</t>
  </si>
  <si>
    <t>Taxonomy of the Cryptopygus complex. II. Affinity of austral Cryptopygus s.s. and Folsomia, with the description of two new Folsomia species (Collembola, Isotomidae)</t>
  </si>
  <si>
    <t>Australia; New Zealand; taxonomy</t>
  </si>
  <si>
    <t>ENTOMOBRYOMORPHA</t>
  </si>
  <si>
    <t>Folsomia minorae sp. n. and F. australica sp. n. are described from New Zealand and Australia, respectively. Their possible affinity to two different groups of Cryptopygus sensu stricto is discussed. Attention is paid to the variability of sensillary patterns of the genital segment in Cryptopygus: mainly, all s- chaetae are subequal, but in more advanced forms the dorsal triplet, lateral duplet or either of them become macrochaeta- like in length. Cryptopygus ulrikeae (= Folsomia ulrikeae Najt &amp; Thibaud, 1987), comb. n. is given a new generic position.</t>
  </si>
  <si>
    <t>[Potapov, Mikhail] Moscow State Pedag Univ, Kibalchicha Str 6 Korp 3, Moscow 129278, Russia; [Janion-Scheepers, Charlene] Monash Univ, Sch Biol Sci, Clayton, Vic 3800, Australia; [Deharveng, Louis] UPMC, Sorbonne Univ, CNRS, MNHN,EPHE,Inst Systemat Evolut Biodivers ISYEB,UM, 45 Rue Buffon CP 50, F-75005 Paris, France</t>
  </si>
  <si>
    <t>Moscow State University of Education; Monash University; Universite PSL; Ecole Pratique des Hautes Etudes (EPHE); Museum National d'Histoire Naturelle (MNHN); Centre National de la Recherche Scientifique (CNRS); Sorbonne Universite</t>
  </si>
  <si>
    <t>Janion-Scheepers, C (corresponding author), Monash Univ, Sch Biol Sci, Clayton, Vic 3800, Australia.</t>
  </si>
  <si>
    <t>cjanion@gmail.com</t>
  </si>
  <si>
    <t>Potapov, Mikhail/AFK-6336-2022; Potapov, Mikhail B./T-7534-2017; Potapov, Mikhail/AAG-4607-2022</t>
  </si>
  <si>
    <t>Potapov, Mikhail/0000-0002-6111-3354; Potapov, Mikhail/0000-0002-6111-3354; Janion-Scheepers, Charlene/0000-0001-5942-7912</t>
  </si>
  <si>
    <t>Protea I and II South Africa-France bilateral grants [68652]; Museum national d'Histoire Naturelle (Paris, France); RFBR (Russia) [14-04-01140]; Federal Environment Agency; German Federal Ministry for the Environment, Nature Conservation and Nuclear Safety [FKZ 3709 85 157]; Australian Research Council [DP140102815]</t>
  </si>
  <si>
    <t>Protea I and II South Africa-France bilateral grants; Museum national d'Histoire Naturelle (Paris, France); RFBR (Russia)(Russian Foundation for Basic Research (RFBR)); Federal Environment Agency; German Federal Ministry for the Environment, Nature Conservation and Nuclear Safety; Australian Research Council(Australian Research Council)</t>
  </si>
  <si>
    <t>We thank Maria Minor (Massey University, New Zealand) and Arne Fjellberg (Norway) who provided material on F. minorae sp. n. The material belonging to the following persons was also used: Valery Bulavintsev (Moscow), Penelope Greenslade (Ballarat), Morgan Lythe (Melbourne), David Russell (Gorlitz) and Wanda M. Weiner (Krakow). We thank the New Zealand Department of Conservation for the collection permit (national authorization #38116-GEO to M. Minor), the staff of the Snow Farm for help in providing access, Dr. Alastair Robertson (Institute of Agriculture &amp; Environment, Massey University) for help with fieldwork, CapeNature and SanParks (South Africa) and Parks Victoria (Australia) for collection permits. The work in South Africa was supported by the Protea I and II South Africa-France bilateral grants (no. 68652 for L. Deharveng). This work was partly supported by Museum national d'Histoire Naturelle (Paris, France) and RFBR research project No 14-04-01140 (Russia) for MP. Jean-Marc Thibaud (Paris) lent some material of Cryptopygus. This work would not have been possible without creative initiative of Anatoly Babenko (Moscow). We are grateful to Arne Fjellberg, Wanda Weiner and three anonymous reviewers for their comments. The collections in Antarctic Peninsula were supported by Federal Environment Agency and funded by the German Federal Ministry for the Environment, Nature Conservation and Nuclear Safety under the project nr. FKZ 3709 85 157. CJS was supported by Australian Research Council grant DP140102815.</t>
  </si>
  <si>
    <t>10.3897/zookeys.658.11227</t>
  </si>
  <si>
    <t>EM9JG</t>
  </si>
  <si>
    <t>WOS:000395627100002</t>
  </si>
  <si>
    <t>DeMets, C; Calais, E; Merkouriev, S</t>
  </si>
  <si>
    <t>DeMets, C.; Calais, E.; Merkouriev, S.</t>
  </si>
  <si>
    <t>Reconciling geodetic and geological estimates of recent plate motion across the Southwest Indian Ridge</t>
  </si>
  <si>
    <t>GEOPHYSICAL JOURNAL INTERNATIONAL</t>
  </si>
  <si>
    <t>Plate motions; Mid-ocean ridge processes; Africa; Antarctica</t>
  </si>
  <si>
    <t>SUMATRA-ANDAMAN EARTHQUAKE; PACIFIC-NORTH AMERICA; POSTSEISMIC RELAXATION; 20 MA; GREAT EARTHQUAKES; COSEISMIC SLIP; RECONSTRUCTIONS; DEFORMATION; MODEL; ANTARCTICA</t>
  </si>
  <si>
    <t>We use recently published, high-resolution reconstructions of the Southwest Indian Ridge to test whether a previously described systematic difference between Global Positioning System (GPS) and 3.16-Myr-average estimates of seafloor spreading rates between Antarctica and Africa is evidence for a recent slowdown in Southwest Indian Ridge seafloor spreading rates. Along the Nubia-Antarctic segment of the ridge, seafloor opening rates that are estimated with the new, high-resolution reconstructions and corrected for outward displacement agree well with geodetic rate estimates and reduce previously reported, highly significant non-closure of the Nubia-Antarctic-Sur plate circuit. The observations are inconsistent with a slowdown in spreading rates and instead indicate that Nubia-Antarctic plate motion has been steady since at least 5.2 Ma. Lwandle-Antarctic seafloor spreading rates that are estimated from the new high-resolution reconstructions differ insignificantly from a GPS estimate, thereby implying steady Lwandle-Antarctic plate motion since 5.2 Ma. Between the Somalia and Antarctic plates, the new Southwest Indian Ridge reconstructions eliminate roughly half of the systematic difference between the GPS and MORVEL spreading rate estimates. We interpret the available observations as evidence that Somalia-Antarctic spreading rates have been steady since at least 5.2 Ma and postulate that the remaining difference is attributable to random and/or systematic errors in the plate kinematic estimates and the combined effects of insufficient geodetic sampling of undeforming areas of the Somalia plate, glacial isostatic adjustment in Antarctica and transient deformation triggered by the 1998 M-w = 8.2 Antarctic earthquake, the 2004 M-w = 9.3 Sumatra earthquake, or possibly other large historic earthquakes.</t>
  </si>
  <si>
    <t>[DeMets, C.] Univ Wisconsin, Dept Geosci, Madison, WI 53706 USA; [Calais, E.] Ecole Normale Super, UMR CNRS 8538, Dept Geosci, 24 Run Lhomond, F-75231 Paris 05, France; [Merkouriev, S.] Russian Acad Sci, Pushkov Inst Terr Magnetism, St Petersburg Filial 1 Mendeleevskaya Liniya, St Petersburg 199034, Russia; [Merkouriev, S.] St Petersburg State Univ, Inst Earth Sci, Univ Skaya Nab 7-9, St Petersburg 199034, Russia</t>
  </si>
  <si>
    <t>University of Wisconsin System; University of Wisconsin Madison; Russian Academy of Sciences; Saint Petersburg State University</t>
  </si>
  <si>
    <t>DeMets, C (corresponding author), Univ Wisconsin, Dept Geosci, Madison, WI 53706 USA.</t>
  </si>
  <si>
    <t>chuck@geology.wisc.edu</t>
  </si>
  <si>
    <t>Calais, Eric/K-8219-2012; Merkuryev, Sergey/K-1202-2015</t>
  </si>
  <si>
    <t>Merkuryev, Sergey/0000-0002-1520-110X</t>
  </si>
  <si>
    <t>U.S. National Science Foundation [OCE-0926274, OCE-1433323, EAR-0538119]; National Science Foundation [EAR-0350028, EAR-0732947]; Global GNSS Network under NSF [EAR-0735156]; Division Of Ocean Sciences; Directorate For Geosciences [1433323] Funding Source: National Science Foundation</t>
  </si>
  <si>
    <t>U.S. National Science Foundation(National Science Foundation (NSF)); National Science Foundation(National Science Foundation (NSF)); Global GNSS Network under NSF; Division Of Ocean Sciences; Directorate For Geosciences(National Science Foundation (NSF)NSF - Directorate for Geosciences (GEO))</t>
  </si>
  <si>
    <t>We thank Matt King and an anonymous reviewer for comments that lead to substantial improvements to this manuscript. This work was supported by U.S. National Science Foundation grants OCE-0926274 and OCE-1433323 (DeMets) and EAR-0538119 (Calais). Figures were drafted using Generic Mapping Tools software (Wessel &amp; Smith 1991). We are grateful for open access to continuous GPS data from a variety of sources, including the Plate Boundary Observatory operated by UNAVCO and supported by National Science Foundation grants EAR-0350028 and EAR-0732947, the Global GNSS Network operated by UNAVCO for NASA Jet Propulsion Laboratory under NSF cooperative agreement no. EAR-0735156, and SONEL (www.sonel.org).</t>
  </si>
  <si>
    <t>0956-540X</t>
  </si>
  <si>
    <t>1365-246X</t>
  </si>
  <si>
    <t>GEOPHYS J INT</t>
  </si>
  <si>
    <t>Geophys. J. Int.</t>
  </si>
  <si>
    <t>10.1093/gji/ggw386</t>
  </si>
  <si>
    <t>EO6PK</t>
  </si>
  <si>
    <t>WOS:000396814800009</t>
  </si>
  <si>
    <t>Carcione, JM; Picotti, S; Francese, R; Giorgi, M; Pettenati, F</t>
  </si>
  <si>
    <t>Carcione, Jose M.; Picotti, Stefano; Francese, Roberto; Giorgi, Massimo; Pettenati, Franco</t>
  </si>
  <si>
    <t>Effect of soil and bedrock anelasticity on the S-wave amplification function</t>
  </si>
  <si>
    <t>Amplification function; Anelasticity; Glaciers; S-waves</t>
  </si>
  <si>
    <t>VERTICAL SPECTRAL RATIOS; SUBGLACIAL LAKE WHILLANS; VELOCITY; BENEATH</t>
  </si>
  <si>
    <t>We analyse how intrinsic attenuation and bedrock elasticity affect the amplitude and frequency of the resonance peaks of the S-wave amplification function. The Zener model (with a single relaxation peak) and the constant-Q model are used to describe attenuation. We consider two different cases, namely, the soil is softer than the bedrock (the usual situation, that is, a sediment overlying a stiff formation) and the upper layer is stiffer than the lower half-space (e.g. basalt over sediment). The presence of Zener loss in the upper layer causes a shift of the fundamental peak towards the low frequencies, while no shift is observed due to the non-rigid (viscoelastic) character of the half-space. In the constant-Q case, the shift to the low frequencies is not significant implying that it is difficult to estimate the attenuation parameters on the basis of the location of the resonance peaks. However, attenuation affects the amplitude of the higher modes, while these modes have the same amplitude of the fundamental mode no matter the degree of elasticity of the half-space. Attenuation of the layer and non-rigidity of the half-space affect the peaks, with the latter having a stronger effect. Examples are given, considering two real cases representing a glacier in Northern Italy and an ice stream in the Antarctic continent.</t>
  </si>
  <si>
    <t>[Carcione, Jose M.; Picotti, Stefano; Giorgi, Massimo; Pettenati, Franco] OGS, Ist Nazl Ocean &amp; Geofis Sperimentale, Borgo Grotta Gigante 42-c, I-34010 Trieste, Italy; [Francese, Roberto] Univ Parma, Parma, Italy</t>
  </si>
  <si>
    <t>Istituto Nazionale di Oceanografia e di Geofisica Sperimentale; University of Parma</t>
  </si>
  <si>
    <t>Carcione, JM (corresponding author), OGS, Ist Nazl Ocean &amp; Geofis Sperimentale, Borgo Grotta Gigante 42-c, I-34010 Trieste, Italy.</t>
  </si>
  <si>
    <t>jcarcione@libero.it</t>
  </si>
  <si>
    <t>Pettenati, Franco/IMR-0840-2023; Carcione, Jose M/T-9660-2019</t>
  </si>
  <si>
    <t>Pettenati, Franco/0000-0003-4476-817X; Carcione, Jose M/0000-0002-2839-705X; Giorgi, Massimo/0000-0002-3316-1404; picotti, stefano/0000-0001-7341-1095</t>
  </si>
  <si>
    <t>Italian National Program of Antarctic Research (PNRA-WISSLAKE Project); U.S. National Science Foundation (WISSARD Program) [NSF 0944794, 0632198, 0424589]; Directorate For Geosciences; Office of Polar Programs (OPP) [0632198, 0424589] Funding Source: National Science Foundation</t>
  </si>
  <si>
    <t>Italian National Program of Antarctic Research (PNRA-WISSLAKE Project); U.S. National Science Foundation (WISSARD Program); Directorate For Geosciences; Office of Polar Programs (OPP)(National Science Foundation (NSF)NSF - Directorate for Geosciences (GEO))</t>
  </si>
  <si>
    <t>This work was supported by the Italian National Program of Antarctic Research (PNRA-WISSLAKE Project) and the U.S. National Science Foundation (WISSARD Program- NSF 0944794, 0632198, and 0424589). We would like to thank Alessandro Vuan for his constructive suggestions.</t>
  </si>
  <si>
    <t>10.1093/gji/ggw402</t>
  </si>
  <si>
    <t>WOS:000396814800031</t>
  </si>
  <si>
    <t>Chisham, G</t>
  </si>
  <si>
    <t>Chisham, G.</t>
  </si>
  <si>
    <t>A new methodology for the development of high-latitude ionospheric climatologies and empirical models</t>
  </si>
  <si>
    <t>INTERPLANETARY MAGNETIC-FIELD; SUPERDARN HF-RADARS; POLAR-CAP; PLASMA CONVECTION; IMAGE SPACECRAFT; ALIGNED CURRENTS; LINE BOUNDARY; PATTERNS; DISTRIBUTIONS; EXCITATION</t>
  </si>
  <si>
    <t>Many empirical models and climatologies of high-latitude ionospheric processes, such as convection, have been developed over the last 40 years. One common feature in the development of these models is that measurements from different times are combined and averaged on fixed coordinate grids. This methodology ignores the reality that high-latitude ionospheric features are organized relative to the location of the ionospheric footprint of the boundary between open and closed geomagnetic field lines (OCB). This boundary is in continual motion, and the polar cap that it encloses is continually expanding and contracting in response to changes in the rates of magnetic reconnection at the Earth's magnetopause and in the magnetotail. As a consequence, models that are developed by combining and averaging data in fixed coordinate grids heavily smooth the variations that occur near the boundary location. Here we propose that the development of future models should consider the location of the OCB in order to more accurately model the variations in this region. We present a methodology which involves identifying the OCB from spacecraft auroral images and then organizing measurements in a grid where the bins are placed relative to the OCB location. We demonstrate the plausibility of this methodology using ionospheric vorticity measurements made by the Super Dual Auroral Radar Network radars and OCB measurements from the IMAGE spacecraft FUV auroral imagers. This demonstration shows that this new methodology results in sharpening and clarifying features of climatological maps near the OCB location. We discuss the potential impact of this methodology on space weather applications.</t>
  </si>
  <si>
    <t>[Chisham, G.] British Antarctic Survey, Cambridge, England</t>
  </si>
  <si>
    <t>Chisham, G (corresponding author), British Antarctic Survey, Cambridge, England.</t>
  </si>
  <si>
    <t>gchi@bas.ac.uk</t>
  </si>
  <si>
    <t>Chisham, Gareth/0000-0003-1151-5934</t>
  </si>
  <si>
    <t>Natural Environment Research Council;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United States of America; Natural Environment Research Council [bas0100031] Funding Source: researchfish; NERC [bas0100031] Funding Source: UKRI</t>
  </si>
  <si>
    <t>Natural Environment Research Council(UK Research &amp; Innovation (UKRI)Natural Environment Research Council (NERC));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United States of America;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</si>
  <si>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Natural Environment Research Council. The authors would like to thank the NASA Space Physics Data Facility and National Space Science Data Center. The IMAGE FUV data are provided courtesy of the instrument PI Stephen Mende (University of California, Berkeley). We thank the PI, the IMAGE mission, and the IMAGE FUV team for data usage and processing tools. The raw IMAGE data, and software, are available from http://sprg.ssl.berkeley.edu/image/. The auroral boundary data set, and the full methodology used to create it, are available from the author. The author acknowledges the use of SuperDARN data. SuperDARN is a collection of radars funded by the national scientific funding agencies of Australia, Canada, China, France, Japan, South Africa, United Kingdom, and United States of America. The SuperDARN vorticity database, and the software used to produce it, are available from the author.</t>
  </si>
  <si>
    <t>10.1002/2016JA023235</t>
  </si>
  <si>
    <t>Green Accepted, Bronze</t>
  </si>
  <si>
    <t>WOS:000395655800066</t>
  </si>
  <si>
    <t>Jadwiszczaka, P; Mörs, T</t>
  </si>
  <si>
    <t>Jadwiszczaka, Piotr; Mors, Thomas</t>
  </si>
  <si>
    <t>An enigmatic fossil penguin from the Eocene of Antarctica</t>
  </si>
  <si>
    <t>POLAR RESEARCH</t>
  </si>
  <si>
    <t>Antarctic Peninsula; La Meseta Formation; Paleogene; Sphenisciformes; tarsometatarsus; new morphotype</t>
  </si>
  <si>
    <t>SEYMOUR ISLAND</t>
  </si>
  <si>
    <t>Tarsometatarsi are key skeletal elements in penguin palaeontology. They constitute, among others, type specimens of all 10 widely accepted species of fossil penguins from the Eocene La Meseta Formation on Seymour Island (Graham Land, Antarctic Peninsula). Here, we report on a recently collected large-sized tarsometatarsus from this formation that represents a new morphotype. We are convinced that the morphotype corresponds to a new species, but the material is too scarce for a taxonomic act. Undoubtedly, the bone discussed here is a valuable addition to our knowledge on diversity of early penguins.</t>
  </si>
  <si>
    <t>[Jadwiszczaka, Piotr] Univ Bialystok, Inst Biol, Ciolkowskiego 1J, PL-15245 Bialystok, Poland; [Mors, Thomas] Swedish Museum Nat Hist, Dept Palaeobiol, Stockholm, Sweden</t>
  </si>
  <si>
    <t>University of Bialystok; Swedish Museum of Natural History</t>
  </si>
  <si>
    <t>Jadwiszczaka, P (corresponding author), Univ Bialystok, Inst Biol, Ciolkowskiego 1J, PL-15245 Bialystok, Poland.</t>
  </si>
  <si>
    <t>piotrj@uwb.edu.pl</t>
  </si>
  <si>
    <t>Jadwiszczak, Piotr/0000-0002-5263-1125</t>
  </si>
  <si>
    <t>European Community Research Infrastructure Action under FP7 Structuring the European Research Area programme (SYNTHESYS project) [GB-TAF-4610]; Swedish Research Council [2009-4447]</t>
  </si>
  <si>
    <t>European Community Research Infrastructure Action under FP7 Structuring the European Research Area programme (SYNTHESYS project); Swedish Research Council(Swedish Research Council)</t>
  </si>
  <si>
    <t>This work was supported by the European Community Research Infrastructure Action under FP7 Structuring the European Research Area programme (SYNTHESYS project); (GB-TAF-4610); the Swedish Research Council (2009-4447).</t>
  </si>
  <si>
    <t>0800-0395</t>
  </si>
  <si>
    <t>1751-8369</t>
  </si>
  <si>
    <t>POLAR RES</t>
  </si>
  <si>
    <t>Polar Res.</t>
  </si>
  <si>
    <t>10.1080/17518369.2017.1291086</t>
  </si>
  <si>
    <t>Ecology; Geosciences, Multidisciplinary; Oceanography</t>
  </si>
  <si>
    <t>Environmental Sciences &amp; Ecology; Geology; Oceanography</t>
  </si>
  <si>
    <t>EO6PW</t>
  </si>
  <si>
    <t>WOS:000396816000001</t>
  </si>
  <si>
    <t>Chaikovsky, A; Korol, M; Malinka, A; Zege, E; Katsev, I; Prikhach, A; Denisov, S; Dick, V; Goloub, P; Blarel, L; Chaikovskaya, L; Lapyonok, A; Podvin, T; Denishchik-Nelubina, N; Fedarenka, A; Svidinsky, V</t>
  </si>
  <si>
    <t>Dreischuh, T; Gateva, S; Daskalova, A; Serafetinide, A</t>
  </si>
  <si>
    <t>Chaikovsky, Anatoli; Korol, Michail; Malinka, A.; Zege, E.; Katsev, I.; Prikhach, A.; Denisov, S.; Dick, V.; Goloub, P.; Blarel, L.; Chaikovskaya, L.; Lapyonok, A.; Podvin, T.; Denishchik-Nelubina, N.; Fedarenka, A.; Svidinsky, V.</t>
  </si>
  <si>
    <t>Combined ground-based and satellite remote sensing of atmospheric aerosol and Earth surface in the Antarctic</t>
  </si>
  <si>
    <t>19TH INTERNATIONAL CONFERENCE AND SCHOOL ON QUANTUM ELECTRONICS: LASER PHYSICS AND APPLICATIONS</t>
  </si>
  <si>
    <t>19th International Conference and School on Quantum Electronics (ICSQE) - Laser Physics and Applications</t>
  </si>
  <si>
    <t>SEP 26-30, 2016</t>
  </si>
  <si>
    <t>Antarctic; ground-based and satellite remote sensing; lidar; radiometer</t>
  </si>
  <si>
    <t>SNOW GRAIN-SIZE; OPTICAL-PROPERTIES; POLLUTION AMOUNT; ALGORITHM; RETRIEVAL; AREA</t>
  </si>
  <si>
    <t>The paper presents lecture materials given at the Nineteenth International Conference and School on Quantum Electronics Laser Physics and Applications (19th ICSQE) in 2016, Sozopol, Bulgaria and contains the results of the 10-year research of Belarusian Antarctic expeditions to study the atmospheric aerosol and Earth surface in Antarctica. The works focus on the studying variability and trends of aerosol, cloud and snow characteristics in the Antarctic and the links of these processes with the long range transport of atmospheric pollutants and climate changes.</t>
  </si>
  <si>
    <t>[Chaikovsky, Anatoli; Korol, Michail; Malinka, A.; Zege, E.; Katsev, I.; Prikhach, A.; Denisov, S.; Dick, V.; Chaikovskaya, L.; Denishchik-Nelubina, N.; Fedarenka, A.; Svidinsky, V.] Natl Acad Sci Belarus, BI Stepanov Inst Phys, 68 Nezavisimosti Ave, Minsk 220072, BELARUS; [Goloub, P.; Blarel, L.; Lapyonok, A.; Podvin, T.] Univ Lille, Lab Opt Atmospher, Lille, France</t>
  </si>
  <si>
    <t>National Academy of Sciences of Belarus (NASB); B.I. Stepanov Institute of Physics of the National Academy of Sciences of Belarus; Universite de Lille</t>
  </si>
  <si>
    <t>Chaikovsky, A (corresponding author), Natl Acad Sci Belarus, BI Stepanov Inst Phys, 68 Nezavisimosti Ave, Minsk 220072, BELARUS.</t>
  </si>
  <si>
    <t>chaikov@dragon.bas-net.by</t>
  </si>
  <si>
    <t>Prikhach, Alexander/ABB-5719-2020; Malinka, Aleksey/AAW-3377-2021</t>
  </si>
  <si>
    <t>Malinka, Aleksey/0000-0002-0651-5115</t>
  </si>
  <si>
    <t>State Program of Polar Research of Belarus [605]; European Union's Horizon 2020 research and innovation programme (ACTRIS-2) [654109]; Belarusian Republican Foundation for Fundamental Research [F15SB-023]; NASA/HQ</t>
  </si>
  <si>
    <t>State Program of Polar Research of Belarus; European Union's Horizon 2020 research and innovation programme (ACTRIS-2); Belarusian Republican Foundation for Fundamental Research; NASA/HQ</t>
  </si>
  <si>
    <t>The financial support by the State Program of Polar Research (contract #605) of Belarus is gratefully acknowledged.; The development of the LRS technique and program package was supported by the European Union's Horizon 2020 research and innovation programme (ACTRIS-2, grant agreement no. 654109).; The developments of technique and equipment for lidar investigations in the Antarctic were supported by the Belarusian Republican Foundation for Fundamental Research, Agreement No. F15SB-023.; We acknowledge for the use of data and imagery from LANCE FIRMS operated by the NASA/GSFC/Earth Science Data and Information System (ESDIS) with funding provided by NASA/HQ (https://earthdata.nasa.gov/earth-observation-data/near-real-time/firms).</t>
  </si>
  <si>
    <t>978-1-5106-0953-2; 978-1-5106-0954-9</t>
  </si>
  <si>
    <t>UNSP 102260T</t>
  </si>
  <si>
    <t>10.1117/12.2261794</t>
  </si>
  <si>
    <t>Optics; Physics, Applied</t>
  </si>
  <si>
    <t>Optics; Physics</t>
  </si>
  <si>
    <t>BH0BE</t>
  </si>
  <si>
    <t>WOS:000394538400028</t>
  </si>
  <si>
    <t>van Putten, I; Villanueva, C; Cvitanovic, C</t>
  </si>
  <si>
    <t>van Putten, Ingrid; Villanueva, Cecilia; Cvitanovic, Christopher</t>
  </si>
  <si>
    <t>The Influence of Community Size and Location on Different Dimensions of Vulnerability: a case study of Australian coastal communities</t>
  </si>
  <si>
    <t>AUSTRALIAN GEOGRAPHER</t>
  </si>
  <si>
    <t>Coastal communities; vulnerability; sustainable livelihood; community typology; human capital; social capital</t>
  </si>
  <si>
    <t>CLIMATE-CHANGE; POLICY; ADAPTATION; RESILIENCE; MIGRATION; MANAGEMENT; GROWTH</t>
  </si>
  <si>
    <t>Coastal communities are part of the Australian identity but little is known about their characteristics and their long-term prosperity prospects. Increased migration to coastal areas and increased exposure to extreme climatic events indicates a need for social and economic data to inform socio-ecological systems planning. Here, we undertake a geo-spatial analysis to develop a typology of Australian coastal communities and assess relative vulnerability to climate-driven environmental change for a range of social and economic indicators. The aim of this study is to understand how the vulnerability of Australian coastal communities varies with geographic location or community size, and in comparison to other community types. Results show that both the population size and location of a coastal community matter and that coastal communities overall are more vulnerable on some socio-economic dimensions to climate-driven environmental change than their rural equivalents. However, results also demonstrate that the smallest coastal communities are strong in some important aspects of the human, social and financial domains, putting them in a good position to deal with some changes. Scale-appropriate and context-specific social policies are needed to address identified socio-economic vulnerabilities, supported by a range of formal and informal institutional structures, such as strategies to improve education and female workforce participation, and encourage participation in volunteering to increase human and social capital.</t>
  </si>
  <si>
    <t>[van Putten, Ingrid] CSIRO Oceans &amp; Atmosphere, Hobart, Tas, Australia; [van Putten, Ingrid; Villanueva, Cecilia; Cvitanovic, Christopher] Univ Tasmania, Ctr Marine Socioecol, Hobart, Tas, Australia; [Villanueva, Cecilia] Univ Tasmania, Inst Marine &amp; Antarctic Studies, Hobart, Tas, Australia; [Cvitanovic, Christopher] Univ Tasmania, Fac Law, Battery Point, Tas, Australia</t>
  </si>
  <si>
    <t>Commonwealth Scientific &amp; Industrial Research Organisation (CSIRO); University of Tasmania; University of Tasmania; University of Tasmania</t>
  </si>
  <si>
    <t>van Putten, I (corresponding author), CSIRO Oceans &amp; Atmosphere, Hobart, Tas, Australia.;van Putten, I (corresponding author), Univ Tasmania, Ctr Marine Socioecol, Hobart, Tas, Australia.</t>
  </si>
  <si>
    <t>ingrid.vanputten@csiro.au</t>
  </si>
  <si>
    <t>van putten, ingrid/AAV-1301-2021</t>
  </si>
  <si>
    <t>van putten, ingrid/0000-0001-8397-9768; Villanueva, Cecilia/0000-0001-9694-3131; Cvitanovic, Christopher/0000-0002-2565-3396</t>
  </si>
  <si>
    <t>0004-9182</t>
  </si>
  <si>
    <t>1465-3311</t>
  </si>
  <si>
    <t>AUST GEOGR</t>
  </si>
  <si>
    <t>Aust. Geogr.</t>
  </si>
  <si>
    <t>10.1080/00049182.2016.1168727</t>
  </si>
  <si>
    <t>EM2ZI</t>
  </si>
  <si>
    <t>WOS:000395183900009</t>
  </si>
  <si>
    <t>Godard, G; Reynes, J; Bascou, J; Ménot, RP; Palmeri, R</t>
  </si>
  <si>
    <t>Godard, Gaston; Reynes, Julien; Bascou, Jerome; Menot, Rene-Pierre; Palmeri, Rosaria</t>
  </si>
  <si>
    <t>First rocks sampled in Antarctica (1840): Insights into the landing area and the Terre Adelie craton</t>
  </si>
  <si>
    <t>COMPTES RENDUS GEOSCIENCE</t>
  </si>
  <si>
    <t>Antarctica; Terre Adelie'' craton; Icecap shrinking; Little Ice age; Migmatite; Prehnite-pumpellyite; High-T metamorphism</t>
  </si>
  <si>
    <t>EAST-ANTARCTICA; POINTE-GEOLOGIE; PALEOPROTEROZOIC TECTONICS; UNCERTAINTIES; TERRAINS; DATASET</t>
  </si>
  <si>
    <t>In January 1840, Dumont d'Urville's expedition landed along the coast of Terre Adelie and took three rock specimens, the first ever sampled on the Antarctic continent. The petrological and geochemical study of these samples, stored at the Museum national d'histoire naturelle'', in Paris, characterizes them as migmatitic cordierite + microcline-bearing paragneiss and mesocratic quartz + biotite-bearing amphibolite. The paragneiss reached 670 degrees C at 3.2 kbar, suggesting an abnormal high-T gradient of ca. 60 degrees C/km during the regional metamorphism that affected the Terre Adelie'' craton 1.7 Ga ago. The studied samples are identical to the rocks observed at the Rocher du Debarquement'', confirming that this was the actual landing place. On the other hand, quartz diorite and volcanic rocks reportedly sampled in Adelie Land during the same expedition and stored at Le Mans and Toulouse Museums do not originate from Antarctica. The examination of Dumont d'Urville's map suggests an icecap shrinking by 9 km in the landing area since 1840. (C) 2016 Academie des sciences. Published by Elsevier Masson SAS. All rights reserved.</t>
  </si>
  <si>
    <t>[Godard, Gaston] Univ Paris Diderot, Inst Phys Globe Paris, UMR CNRS 7154, 1 Rue Jussieu, F-75238 Paris 05, France; [Reynes, Julien] Ecole Normale Super Paris, UMR CNRS 8538, Lab Geol, 24 Rue Lhomond, F-75005 Paris, France; [Bascou, Jerome; Menot, Rene-Pierre] Univ Lyon, UJM St Etienne, UMR CNRS IRD 6524, Lab Magmas &amp; Volcans, F-42023 St Etienne, France; [Palmeri, Rosaria] Univ Siena, Museo Nazl Antartide, Via Laterina 8, I-53100 Siena, Italy</t>
  </si>
  <si>
    <t>Universite Paris Cite; Centre National de la Recherche Scientifique (CNRS); CNRS - National Institute for Earth Sciences &amp; Astronomy (INSU); Universite PSL; Ecole Normale Superieure (ENS); University of Siena</t>
  </si>
  <si>
    <t>Godard, G (corresponding author), Univ Paris Diderot, Inst Phys Globe Paris, UMR CNRS 7154, 1 Rue Jussieu, F-75238 Paris 05, France.</t>
  </si>
  <si>
    <t>godard@ipgp.fr</t>
  </si>
  <si>
    <t>Italian ''Progetto Nazionale di Ricerca in Antartide'' [PdR 13/B2.07-Palmeri]</t>
  </si>
  <si>
    <t>Italian ''Progetto Nazionale di Ricerca in Antartide''</t>
  </si>
  <si>
    <t>Gabriel Carlier and Caroline Noyes are warmly thanked for having facilitated our investigation on the MNHN collections. Didier Morel did the same for the Le Mans sample. We thank the ''Institut polaire francais Paul-Emile-Victor'' for access facilities to the ''Rocher du Debarquement''. We sincerely thank George Gibson, Jacques Touret, Jean and Juliette Mergoil for their comments, which were of great help in revising the manuscript. The research benefited from the financial support by the Italian ''Progetto Nazionale di Ricerca in Antartide'' (PdR 13/B2.07-Palmeri).</t>
  </si>
  <si>
    <t>ELSEVIER FRANCE-EDITIONS SCIENTIFIQUES MEDICALES ELSEVIER</t>
  </si>
  <si>
    <t>23 RUE LINOIS, 75724 PARIS, FRANCE</t>
  </si>
  <si>
    <t>1631-0713</t>
  </si>
  <si>
    <t>1778-7025</t>
  </si>
  <si>
    <t>CR GEOSCI</t>
  </si>
  <si>
    <t>C. R. Geosci.</t>
  </si>
  <si>
    <t>10.1016/j.crte.2016.12.001</t>
  </si>
  <si>
    <t>EO1BE</t>
  </si>
  <si>
    <t>WOS:000396431800002</t>
  </si>
  <si>
    <t>Buchholz, HH; Duncan, KR</t>
  </si>
  <si>
    <t>Buchholz, Holger H.; Duncan, Katherine R.</t>
  </si>
  <si>
    <t>Antarctic Sponge Associated Microbial Chemistry with Biomedical Relevance- the Need for Ecologically Driven Studies</t>
  </si>
  <si>
    <t>CURRENT ORGANIC CHEMISTRY</t>
  </si>
  <si>
    <t>Biomedical applications; secondary metabolites; antarctic sponges; symbiotic bacteria; antagonism</t>
  </si>
  <si>
    <t>PSEUDOALTEROMONAS-HALOPLANKTIS TAC125; BURKHOLDERIA-CEPACIA COMPLEX; POTENTIAL CHEMICAL DEFENSES; VOLATILE ORGANIC-COMPOUNDS; ANTI-BIOFILM ACTIVITY; MARINE SPONGES; PSEUDOMONAS-AERUGINOSA; MEDITERRANEAN SPONGES; ANTIFOULING COMPOUNDS; ACID-DERIVATIVES</t>
  </si>
  <si>
    <t>Sponges are known to be a rich source of structurally diverse bioactive natural products, accounting for approximately one third of the 25,000 novel marine natural products discovered to date. The advancement of molecular techniques, especially next generation sequencing, has revealed a highly diverse and complex microbial consortia associated with sponges. Currently, research is on-going to investigate the role of these microorganisms in symbiosis and in the production of these sponge-associated secondary metabolites. It is hypothesised that adaptations to extreme temperatures and oxygen levels in the Antarctic may result in novel microbial strains with unprecedented bioactive metabolites. Although ecological and environmental factors are believed to play a crucial role in the expression of microbial bioactive secondary metabolites, underpinning the ecological function of microorganism-sponge interactions within Antarctica is poorly understood, despite mounting evidence that these metabolites play an important role in chemical defence and microbial community structure. The importance of the Antarctic ecosystem as a research resource will be underpinned by future global change; therefore it will be vital for ecological approaches to be addressed in addition to these biomedical functions. This review collates studies that assess the biomedical activity of secondary metabolites produced by Antarctic sponge associated microorganisms, which may stimulate the ecological function to be addressed by the community.</t>
  </si>
  <si>
    <t>[Buchholz, Holger H.] Scottish Marine Inst, Scottish Assoc Marine Sci, Oban PA37 1QA, Argyll, Scotland; [Duncan, Katherine R.] Univ Strathclyde, Strathclyde Inst Pharm &amp; Biomed Sci, Glasgow G4 0RE, Lanark, Scotland</t>
  </si>
  <si>
    <t>UHI Millennium Institute; University of Strathclyde</t>
  </si>
  <si>
    <t>Duncan, KR (corresponding author), Univ Strathclyde, Strathclyde Inst Pharm &amp; Biomed Sci, Glasgow G4 0RE, Lanark, Scotland.</t>
  </si>
  <si>
    <t>katherine.duncan@strath.ac.uk</t>
  </si>
  <si>
    <t>1385-2728</t>
  </si>
  <si>
    <t>1875-5348</t>
  </si>
  <si>
    <t>CURR ORG CHEM</t>
  </si>
  <si>
    <t>Curr. Org. Chem.</t>
  </si>
  <si>
    <t>10.2174/1385272820666161020122153</t>
  </si>
  <si>
    <t>Chemistry, Organic</t>
  </si>
  <si>
    <t>EK8KI</t>
  </si>
  <si>
    <t>WOS:000394172200004</t>
  </si>
  <si>
    <t>Kuhn, CE; Chumbley, K; Johnson, D; Fritz, L</t>
  </si>
  <si>
    <t>Kuhn, Carey E.; Chumbley, Kathryn; Johnson, Devin; Fritz, Lowell</t>
  </si>
  <si>
    <t>A re-examination of the timing of pupping for Steller sea lions Eumetopias jubatus breeding on two islands in Alaska</t>
  </si>
  <si>
    <t>Marmot Island; Pupping date; Pup production; Reproduction; Ugamak Island</t>
  </si>
  <si>
    <t>ANTARCTIC FUR SEALS; TEMPORAL VARIATION; POPULATION TRENDS; BIRTH; PUP; AGE; DATE; PARTURITION; SYNCHRONY; ABUNDANCE</t>
  </si>
  <si>
    <t>Steller sea lions are distributed from Japan to the California coast, USA, and population demographics vary spatially, with populations in some regions increasing while others are declining. To assess changes in population size, aerial surveys are conducted annually to quantify pup production. The timing of these surveys is critical for accurate population estimates, and survey windows were determined based on historical estimates of mean pupping date. We re assessed the timing of pupping for Steller sea lions at 2 breeding islands in the central Gulf of Alaska, USA (Marmot Island) and the eastern Aleutian Islands (Ugamak Island) for evidence of temporal shift. Using land-based counts of pups, we quantified mean pupping date and the duration of the pupping season between 2003 and 2013 and compared these data to historical mean pupping dates between 1977 and 1999. The mean pupping date of 9 June on Marmot Island was not significantly different than the mean pupping date on Ugamak Island, 8 June. On Marmot Island, mean pupping date differed by 3.7 +/- 0.9 d between beaches; however, mean pupping date did not differ between beaches on Ugamak Island. On Ugamak Island, mean pupping date was significantly earlier than previously reported by 2.5 d, but this may be an artifact of the limited number of years available for comparison. On Marmot Island mean pupping date was not different from historical dates. On both islands, 94.2 +/- 1.6% of the pups were born prior to the planned start of aerial surveys in Alaska (23 June). Our results demonstrate that although mean pupping date was variable and may have shifted earlier relative to historical data at Ugamak Island, the current timing of the aerial survey is suitable for obtaining peak pup counts for Steller sea lions in these regions.</t>
  </si>
  <si>
    <t>[Kuhn, Carey E.; Chumbley, Kathryn; Johnson, Devin; Fritz, Lowell] NOAA, Marine Mammal Lab, Alaska Fisheries Sci Ctr, Natl Marine Fisheries Serv, 7600 Sand Point Way NE, Seattle, WA 98115 USA</t>
  </si>
  <si>
    <t>Kuhn, CE (corresponding author), NOAA, Marine Mammal Lab, Alaska Fisheries Sci Ctr, Natl Marine Fisheries Serv, 7600 Sand Point Way NE, Seattle, WA 98115 USA.</t>
  </si>
  <si>
    <t>carey.kuhn@noaa.gov</t>
  </si>
  <si>
    <t>Kuhn, Carey/0000-0002-6835-9744</t>
  </si>
  <si>
    <t>10.3354/esr00796</t>
  </si>
  <si>
    <t>EO9SB</t>
  </si>
  <si>
    <t>WOS:000397027300006</t>
  </si>
  <si>
    <t>Zverina, O; Coufalík, P; Brat, K; Cervenka, R; Kuta, J; Mikes, O; Komárek, J</t>
  </si>
  <si>
    <t>Zverina, Ondrej; Coufalik, Pavel; Brat, Kristian; Cervenka, Rostislav; Kuta, Jan; Mikes, Ondrej; Komarek, Josef</t>
  </si>
  <si>
    <t>Leaching of mercury from seal carcasses into Antarctic soils</t>
  </si>
  <si>
    <t>Mercury; Methylmercury; Seal; Soil; Antarctica</t>
  </si>
  <si>
    <t>JAMES-ROSS-ISLAND; HEAVY-METAL CONTAMINATION; PHOCA-VITULINA-RICHARDII; MCMURDO SOUND REGION; PACIFIC HARBOR SEAL; ULU PENINSULA; ECOSYSTEMS; ORGANISMS; SELENIUM; BIOMAGNIFICATION</t>
  </si>
  <si>
    <t>More than 400 seal mummies and skeletons are now mapped in the northern part of James Ross Island, Antarctica. Decomposing carcasses represent a rare source of both organic matter and associated elements for the soil. Owing to their high trophic position, seals are known to carry a significant mercury body burden. This work focuses on the extent of the mercury input from seal carcasses and shows that such carcasses represent locally significant sources of mercury and methylmercury for the environment. Mercury contents in soil samples from the surrounding areas were determined using a single-purpose AAS mercury analyzer. For the determination of methylmercury, an ultra-sensitive isotopic dilution HPLC-ICP-MS technique was used. In the soils lying directly under seal carcasses, mercury contents were higher, with levels reaching almost 40 mu g/kg dry weight of which methylmercury formed up to 2.8 % of the total. The spatial distribution implies rather slow vertical transport to the lower soil layers instead of a horizontal spread. For comparison, the background level of mercury in soils of the investigated area was found to be 8 mu g/kg dry weight, with methylmercury accounting for less than 0.1 %. Apart from the direct mercury input, an enhanced level of nutrients in the vicinity of carcasses enables the growth of lichens and mosses with accumulative ability with respect to metals. The enhanced capacity of soil to retain mercury is also anticipated due to the high content of total organic carbon (from 1.6 to 7.5 %). According to the results, seal remains represent a clear source of mercury in the observed area.</t>
  </si>
  <si>
    <t>[Zverina, Ondrej] Masaryk Univ, Fac Med, Dept Publ Hlth, Kamenice 5, Brno 62500, Czech Republic; [Zverina, Ondrej; Coufalik, Pavel; Komarek, Josef] Masaryk Univ, Fac Sci, Dept Chem, Kotlarska 2, CS-61137 Brno, Czech Republic; [Coufalik, Pavel] Czech Acad Sci, Inst Analyt Chem, Vvi, Veveri 97, Brno 60200, Czech Republic; [Brat, Kristian] Masaryk Univ, Dept Resp Dis &amp; TB, Fac Med, Kamenice 5, Brno 62500, Czech Republic; [Brat, Kristian] Univ Hosp Brno, Dept Resp Dis &amp; TB, Jihlavska 20, Brno 62500, Czech Republic; [Cervenka, Rostislav; Kuta, Jan; Mikes, Ondrej] Masaryk Univ, Fac Sci, Res Ctr Tox Cpds Environm RECETOX, Kamenice 5, Brno 62500, Czech Republic</t>
  </si>
  <si>
    <t>Masaryk University Brno; Masaryk University Brno; Czech Academy of Sciences; Institute of Analytical Chemistry of the Czech Academy of Sciences; Masaryk University Brno; University Hospital Brno; Masaryk University Brno</t>
  </si>
  <si>
    <t>Zverina, O (corresponding author), Masaryk Univ, Fac Med, Dept Publ Hlth, Kamenice 5, Brno 62500, Czech Republic.;Zverina, O (corresponding author), Masaryk Univ, Fac Sci, Dept Chem, Kotlarska 2, CS-61137 Brno, Czech Republic.</t>
  </si>
  <si>
    <t>zverina@med.muni.cz</t>
  </si>
  <si>
    <t>Mikes, Ondrej/AAG-1273-2021; Mikes, Ondrej/G-3450-2017; Cervenka, Rostislav/AAX-4624-2021; Zvěřina, Ondřej/AAE-5507-2019; Brat, Kristian/ABE-8121-2020; Zvěřina, Ondřej/AAA-2400-2022; Coufalik, Pavel/G-9819-2014</t>
  </si>
  <si>
    <t>Zvěřina, Ondřej/0000-0003-0035-6851; Zvěřina, Ondřej/0000-0003-0035-6851; Mikes, Ondrej/0000-0003-3633-737X; Kuta, Jan/0000-0002-5776-9596; Coufalik, Pavel/0000-0001-6332-9020; Cervenka, Rostislav/0000-0002-4542-0717</t>
  </si>
  <si>
    <t>Grant Agency of the Czech Republic [P503/12/0682]; Institute of Analytical Chemistry of the CAS [RVO: 68081715]; Czech Ministry of Education, Youth and Sports [LO1214, LM2015051]</t>
  </si>
  <si>
    <t>Grant Agency of the Czech Republic(Grant Agency of the Czech RepublicNorwegian Agency for Development Cooperation - NORAD); Institute of Analytical Chemistry of the CAS; Czech Ministry of Education, Youth and Sports(Ministry of Education, Youth &amp; Sports - Czech Republic)</t>
  </si>
  <si>
    <t>The authors are grateful to the Czech Polar project for use of its facilities (Johann Gregor Mendel Station) and for financial support from the Grant Agency of the Czech Republic, project P503/12/0682. The involvement of Pavel Coufalik was supported by the Institute of Analytical Chemistry of the CAS under the Institutional Research Plan RVO: 68081715. This work was also supported by the Czech Ministry of Education, Youth and Sports (LO1214 and LM2015051).</t>
  </si>
  <si>
    <t>10.1007/s11356-016-7879-3</t>
  </si>
  <si>
    <t>EK9OO</t>
  </si>
  <si>
    <t>WOS:000394254000032</t>
  </si>
  <si>
    <t>Sivri, N; Kiremitci, VZ; Ozcan, HK; Cullu, AF</t>
  </si>
  <si>
    <t>Sivri, Nuket; Kiremitci, V. Zulal; Ozcan, H. Kurtulus; Cullu, Ahmet Faruk</t>
  </si>
  <si>
    <t>THE POTENTIAL PHYSICAL IMPACTS OF MACRO/MICROPLASTICS ON ISTANBUL COASTAL AREA</t>
  </si>
  <si>
    <t>FRESENIUS ENVIRONMENTAL BULLETIN</t>
  </si>
  <si>
    <t>18th International Symposium on Environmental Pollution and its Impact on Life in the Mediterranean Region (MESAEP)</t>
  </si>
  <si>
    <t>SEP 26-30, 2015</t>
  </si>
  <si>
    <t>Crete, GREECE</t>
  </si>
  <si>
    <t>Anthropogenic litter; plastic; macro/microplastic; recreation areas; Turkey</t>
  </si>
  <si>
    <t>ANTARCTIC FUR SEALS; PLASTIC DEBRIS; MICROPLASTIC POLLUTION; MARINE-ENVIRONMENT; ACCUMULATION; INGESTION; ATLANTIC; ENTANGLEMENT; PLANKTON</t>
  </si>
  <si>
    <t>The increasing pollution leads to the deterioration in the water quality of the region as well as the quality of the recreation areas in parallel with the meteorological and hydrodynamic conditions in seas. Therefore, plastic packages and plastic wastes being formed later on, no matter how meticulously they are collected, may lead to adverse effects on marine ecosystems in terms of their content. In coastal areas where macro plastics are detected, the entrance of materials into the marine ecosystem is very easy as a result of climatic and abiotic factors. The macro plastics that reach seas and oceans disintegrate in time and get a microplastic size and thus pose a threat for the marine organisms. This study aims to determine the possible entrance ways of macro and micro plastics, which were detected after they had been dimensioned in coastal area, into the marine ecosystem and their possible effects on living ecosystem on Istanbul coastal area. The studies, which have newly been started on microplastics, reveal the need for making a policy by predicting the conditions of globalized world apart from the country conditions. The role of researchers in the monitoring of plastic pollution will increase in the coming years, and the truly big data they document must become part of the science of plastic pollution. For the present, it is real that a few scientists around the Turkey are engaged in attempting to understand the consequences seas.</t>
  </si>
  <si>
    <t>[Sivri, Nuket; Kiremitci, V. Zulal; Ozcan, H. Kurtulus; Cullu, Ahmet Faruk] Istanbul Univ, Fac Engn, Dept Environm Engn, TR-34320 Istanbul, Turkey</t>
  </si>
  <si>
    <t>Istanbul University</t>
  </si>
  <si>
    <t>Sivri, N (corresponding author), Istanbul Univ, Fac Engn, Dept Environm Engn, TR-3420 Istanbul, Turkey.</t>
  </si>
  <si>
    <t>sivrin@gmail.com</t>
  </si>
  <si>
    <t>Sivri, Nuket/D-5024-2019; Sivri, Nuket/AFM-4107-2022; ÇULLU, Ahmet Faruk/M-3055-2018; Ozcan, H Kurtulus/C-9457-2019</t>
  </si>
  <si>
    <t>Sivri, Nuket/0000-0002-4269-5950; Sivri, Nuket/0000-0002-4269-5950;</t>
  </si>
  <si>
    <t>Research Fund of the Istanbul University [UDP-57007]</t>
  </si>
  <si>
    <t>Research Fund of the Istanbul University(Istanbul University)</t>
  </si>
  <si>
    <t>This work was supported by the Research Fund of the Istanbul University (Project number: UDP-57007). Authors thank Berrak Kanbo and Muge Kanbo for their technical assistant. We gratefully acknowledge Oguz Kuzu for his excellent and quick editing on our manuscript.</t>
  </si>
  <si>
    <t>PARLAR SCIENTIFIC PUBLICATIONS (P S P)</t>
  </si>
  <si>
    <t>FREISING</t>
  </si>
  <si>
    <t>ANGERSTR. 12, 85354 FREISING, GERMANY</t>
  </si>
  <si>
    <t>1018-4619</t>
  </si>
  <si>
    <t>1610-2304</t>
  </si>
  <si>
    <t>FRESEN ENVIRON BULL</t>
  </si>
  <si>
    <t>Fresenius Environ. Bull.</t>
  </si>
  <si>
    <t>EN0TS</t>
  </si>
  <si>
    <t>WOS:000395724000030</t>
  </si>
  <si>
    <t>Grushinskii, AN</t>
  </si>
  <si>
    <t>Grushinskii, A. N.</t>
  </si>
  <si>
    <t>Antarctic Moho depth model and isostatic state of Southern polar region</t>
  </si>
  <si>
    <t>IZVESTIYA-PHYSICS OF THE SOLID EARTH</t>
  </si>
  <si>
    <t>lithosphere; Bouguer gravity anomalies; seismic Moho depth; isostatic compensation; coefficient of overcompensation</t>
  </si>
  <si>
    <t>RIFT</t>
  </si>
  <si>
    <t>The paper addresses the study of the Antarctic lithosphere. Based on the new gravimetric and seismic data, the refined model of the Moho depth is constructed. New estimates of the isostatic state are obtained for the Antarctic and Southern Ocean. The interpretation of the results is presented.</t>
  </si>
  <si>
    <t>[Grushinskii, A. N.] Russian Acad Sci, Schmidt Inst Phys Earth, Moscow 123995, Russia</t>
  </si>
  <si>
    <t>Russian Academy of Sciences; Schmidt Institute of Physics of the Earth of the Russian Academy of Sciences</t>
  </si>
  <si>
    <t>Grushinskii, AN (corresponding author), Russian Acad Sci, Schmidt Inst Phys Earth, Moscow 123995, Russia.</t>
  </si>
  <si>
    <t>a.grushinsky@mail.ru</t>
  </si>
  <si>
    <t>1069-3513</t>
  </si>
  <si>
    <t>1555-6506</t>
  </si>
  <si>
    <t>IZV-PHYS SOLID EART+</t>
  </si>
  <si>
    <t>Izv.-Phys. Solid Earth</t>
  </si>
  <si>
    <t>10.1134/S1069351317010074</t>
  </si>
  <si>
    <t>EL0WI</t>
  </si>
  <si>
    <t>WOS:000394342100009</t>
  </si>
  <si>
    <t>Wegner, CE; Ellis, JT</t>
  </si>
  <si>
    <t>Wegner, Chelsea E.; Ellis, Jean T.</t>
  </si>
  <si>
    <t>The Influence of Sea-Level Rise on Wave-Energy Dissipation and Wave-Driven Currents at Buck Island Reef National Monument</t>
  </si>
  <si>
    <t>JOURNAL OF COASTAL RESEARCH</t>
  </si>
  <si>
    <t>Infragravity waves; barrier reef; climate change; energy transmission; reef geomorphology; longshore transport</t>
  </si>
  <si>
    <t>CORAL-REEFS; HYDRODYNAMICS; SEDIMENT; DYNAMICS; BREAKING; MOLOKAI; FLOW</t>
  </si>
  <si>
    <t>Modern Caribbean reefs have undergone significant degradation in the past century because of various anthropogenic stressors, which include climate-change-related impacts, hurricanes, and, potentially, sea-level rise. Degraded reefs will be unable to maintain sufficient vertical accretion with substantial increases in sea level, which will alter the hydrodynamics of these systems. A reduction in wave dissipation by reefs has the potential to shift the shorelines behind the reefs, potentially resulting in economic and habitat losses for tropical shorelines. This study focused on a barrier reef with low, live coral cover (&lt;10%) and accretion rates comparable to current rates of sea-level rise in the region ( similar to 1.7 mm/y). Tides served as a proxy for sea-level rise, with the spring high tide representing a future low tide. These findings indicate that at low tide, infragravity wave frequencies (0.004-0.04 Hz) dominate in the lagoon and are a function of wave breaking on the reef. At high tide, the infragravity waves are less prominent. Current velocities were higher at high tide, averaging 0.14 m s(-1) vs. 0.11 m s(-1) at low tide. The spectral current characteristics correlate with the infragravity wave frequencies and suggest that these waves are a driving force in lagoon circulation. Wave-energy transmission increased at high tide by 20-30% throughout the sampling period. These results suggest that with sea-level rise, infragravity band waves will be reduced and affect the stresses on the sea bed and sediment-transport processes, also allowing larger and more energetic waves to reach the shoreline.</t>
  </si>
  <si>
    <t>[Wegner, Chelsea E.; Ellis, Jean T.] Univ South Carolina, Marine Sci Program, Columbia, SC 29208 USA; [Ellis, Jean T.] Univ South Carolina, Dept Geog, Columbia, SC 29208 USA; [Wegner, Chelsea E.] NSF US Antarctic Programs Antarctic Support Contr, Arlington, VA 22201 USA</t>
  </si>
  <si>
    <t>University of South Carolina System; University of South Carolina Columbia; University of South Carolina System; University of South Carolina Columbia</t>
  </si>
  <si>
    <t>Ellis, JT (corresponding author), Univ South Carolina, Marine Sci Program, Columbia, SC 29208 USA.;Ellis, JT (corresponding author), Univ South Carolina, Dept Geog, Columbia, SC 29208 USA.</t>
  </si>
  <si>
    <t>jtellis@sc.edu</t>
  </si>
  <si>
    <t>Koch, Chelsea Wegner/O-6580-2018; Koch, Chelsea/ITT-8695-2023</t>
  </si>
  <si>
    <t>Koch, Chelsea Wegner/0000-0003-0684-9657;</t>
  </si>
  <si>
    <t>University of South Carolina's Department of Geography; School of the Earth, Ocean and Environment</t>
  </si>
  <si>
    <t>This work would not have been possible without the support of the NPS at Buck Island Reef National Monument, including Zandy Hillis-Starr and Ian Lundgren. This project was funded by the University of South Carolina's Department of Geography and the School of the Earth, Ocean and Environment, with significant resources provided by the NPS, instrumentation provided by Raymond Torres and Libe Washburn, and data processing support from Chris Gotschalk. Revisions and comments by Curt Storlazzi and Zandy Hillis-Starr were vital in making substantial improvements to this project.</t>
  </si>
  <si>
    <t>COASTAL EDUCATION &amp; RESEARCH FOUNDATION</t>
  </si>
  <si>
    <t>COCONUT CREEK</t>
  </si>
  <si>
    <t>5130 NW 54TH STREET, COCONUT CREEK, FL 33073 USA</t>
  </si>
  <si>
    <t>0749-0208</t>
  </si>
  <si>
    <t>1551-5036</t>
  </si>
  <si>
    <t>J COASTAL RES</t>
  </si>
  <si>
    <t>J. Coast. Res.</t>
  </si>
  <si>
    <t>10.2112/JCOASTRES-D-15-00052.1</t>
  </si>
  <si>
    <t>Environmental Sciences; Geography, Physical; Geosciences, Multidisciplinary</t>
  </si>
  <si>
    <t>Environmental Sciences &amp; Ecology; Physical Geography; Geology</t>
  </si>
  <si>
    <t>EL9FS</t>
  </si>
  <si>
    <t>WOS:000394926100004</t>
  </si>
  <si>
    <t>Lamp, JL; Marchant, DR; Mackay, SL; Head, JW</t>
  </si>
  <si>
    <t>Lamp, J. L.; Marchant, D. R.; Mackay, S. L.; Head, J. W.</t>
  </si>
  <si>
    <t>Thermal stress weathering and the spalling of Antarctic rocks</t>
  </si>
  <si>
    <t>JOURNAL OF GEOPHYSICAL RESEARCH-EARTH SURFACE</t>
  </si>
  <si>
    <t>thermal stress weathering; weathering; Antarctica</t>
  </si>
  <si>
    <t>SUBCRITICAL CRACK-GROWTH; MCMURDO DRY VALLEYS; SOUTHERN VICTORIA LAND; DEBRIS-COVERED GLACIER; FRACTURE-TOUGHNESS; BEACON VALLEY; EXPOSURE AGES; TENSILE-STRENGTH; COSMOGENIC HE-3; MULLINS GLACIER</t>
  </si>
  <si>
    <t>Using in situ field measurements, laboratory analyses, and numerical modeling, we test the potential efficacy of thermal stress weathering in the flaking of millimeter-thick alteration rinds observed on cobbles and boulders of Ferrar Dolerite on Mullins Glacier, McMurdo Dry Valleys (MDV). In particular, we examine whether low-magnitude stresses, arising from temperature variations over time, result in thermal fatigue weathering, yielding slow crack propagation along existing cracks and ultimate flake detachment. Our field results show that during summer months clasts of Ferrar Dolerite experience large-temperature gradients across partially detached alteration rinds (&gt;4.7 degrees Cmm(-1)) and abrupt fluctuations in surface temperature (up to 12 degrees Cmin(-1)); the latter are likely due to the combined effects of changing solar irradiation and cooling from episodic winds. The results of our thermal stress model, coupled with subcritical crack growth theory, suggest that thermal stresses induced at the base of thin alteration rinds similar to 2mm thick, common on rocks exposed for similar to 10(5)years, may be sufficient to cause existing cracks to propagate under present-day meteorological forcing, eventually leading to rind detachment. The increase in porosity observed within alteration rinds relative to unaltered rock interiors, as well as predicted decreases in rind strength based on allied weathering studies, likely facilitates thermal stress crack propagation through a reduction of fracture toughness. We conclude that thermal stress weathering may be an active, though undervalued, weathering process in hyperarid, terrestrial polar deserts such as the stable upland region of the MDV.</t>
  </si>
  <si>
    <t>[Lamp, J. L.; Marchant, D. R.; Mackay, S. L.] Boston Univ, Dept Earth &amp; Environm, Boston, MA 02215 USA; [Head, J. W.] Brown Univ, Dept Earth Environm &amp; Planetary Sci, Providence, RI 02912 USA</t>
  </si>
  <si>
    <t>Boston University; Brown University</t>
  </si>
  <si>
    <t>Lamp, JL (corresponding author), Boston Univ, Dept Earth &amp; Environm, Boston, MA 02215 USA.</t>
  </si>
  <si>
    <t>jlamp@ldeo.columbia.edu</t>
  </si>
  <si>
    <t>National Science Foundation (NSF); NSF [PLR-1043706, PLR-0944702]</t>
  </si>
  <si>
    <t>National Science Foundation (NSF)(National Science Foundation (NSF)); NSF(National Science Foundation (NSF))</t>
  </si>
  <si>
    <t>This material is based upon work supported by a National Science Foundation (NSF) Graduate Research Fellowship Program grant awarded to J. Lamp, as well as NSF grants PLR-1043706 and PLR-0944702 awarded to D. Marchant. The authors would like to thank A. Hayden, G. Wissink, and A. Yau for their help in the field; A. Christ for reviewing and editing the manuscript; S. Martel for the insights into rock fracture mechanisms; D. Elmo for the analyses of dolerite properties; N. Chatterjee for the help with EDS/WDS measurements; and J. Sparks for the help with XRD measurements. This manuscript was greatly improved by reviews from M. Eppes, K. Hall, H. Viles, and an anonymous reviewer. The data used in this study are listed in the tables, supporting information, and at http://people.bu.edu/marchant/databases/index.html.</t>
  </si>
  <si>
    <t>2169-9003</t>
  </si>
  <si>
    <t>2169-9011</t>
  </si>
  <si>
    <t>J GEOPHYS RES-EARTH</t>
  </si>
  <si>
    <t>J. Geophys. Res.-Earth Surf.</t>
  </si>
  <si>
    <t>10.1002/2016JF003992</t>
  </si>
  <si>
    <t>EL8XY</t>
  </si>
  <si>
    <t>WOS:000394904900001</t>
  </si>
  <si>
    <t>Anthony, RE; Aster, RC; McGrath, D</t>
  </si>
  <si>
    <t>Anthony, Robert E.; Aster, Richard C.; McGrath, Daniel</t>
  </si>
  <si>
    <t>Links between atmosphere, ocean, and cryosphere from two decades of microseism observations on the Antarctic Peninsula</t>
  </si>
  <si>
    <t>sea ice; microseism; Drake Passage; Antarctic Peninsula; storm activity; Southern Annular Mode</t>
  </si>
  <si>
    <t>SEISMIC BACKGROUND-NOISE; CLIMATE-CHANGE; UNITED-STATES; WAVE CLIMATE; SEA; WIND; VARIABILITY; COASTAL; SURFACE</t>
  </si>
  <si>
    <t>The lack of landmasses, climatological low pressure, and strong circumpolar westerly winds between the latitudes of 50 degrees S to 65 degrees S produce exceptional storm-driven wave conditions in the Southern Ocean. This combination makes the Antarctic Peninsula one of Earth's most notable regions of high-amplitude wave activity and thus, ocean-swell-driven microseism noise in both the primary (direct wave-coastal region interactions) and secondary (direct ocean floor forcing due to interacting wave trains) period bands. Microseism observations are examined across 23years (1993-2015) from Palmer Station (PMSA), on the west coast of the Antarctic Peninsula, and from East Falkland Island (EFI). These records provide a spatially integrative measure of both Southern Ocean wave amplitudes and the interactions between ocean waves and the solid Earth in the presence of sea ice, which can reduce wave coupling with the continental shelf. We utilize a spatiotemporal correlation-based approach to illuminate how the distribution of sea ice influences seasonal microseism power. We characterize primary and secondary microseism power due to variations in sea ice and find that primary microseism energy is both more sensitive to sea ice and more capable of propagating across ocean basins than secondary microseism energy. During positive phases of the Southern Annular Mode, sea ice is reduced in the Bellingshausen Sea and overall storm activity in the Drake Passage increases, thus strongly increasing microseism power levels.</t>
  </si>
  <si>
    <t>[Anthony, Robert E.; Aster, Richard C.; McGrath, Daniel] Colorado State Univ, Dept Geosci, Ft Collins, CO 80523 USA; [Anthony, Robert E.] US Geol Survey, Albuquerque Seismol Lab, Albuquerque, NM 87113 USA; [McGrath, Daniel] US Geol Survey, Alaska Sci Ctr, Anchorage, AK USA</t>
  </si>
  <si>
    <t>Colorado State University; United States Department of the Interior; United States Geological Survey; United States Department of the Interior; United States Geological Survey</t>
  </si>
  <si>
    <t>Anthony, RE (corresponding author), Colorado State Univ, Dept Geosci, Ft Collins, CO 80523 USA.;Anthony, RE (corresponding author), US Geol Survey, Albuquerque Seismol Lab, Albuquerque, NM 87113 USA.</t>
  </si>
  <si>
    <t>robert.anthony@colostate.edu</t>
  </si>
  <si>
    <t>Aster, Richard/E-5067-2013; Anthony, Rob/J-2212-2017</t>
  </si>
  <si>
    <t>Aster, Richard/0000-0002-0821-4906; MCGRATH, DANIEL/0000-0002-9462-6842; Anthony, Robert/0000-0001-7089-8846</t>
  </si>
  <si>
    <t>NSF [EAR-1261681, 1419268, 1141916]; Office of Polar Programs (OPP); Directorate For Geosciences [1141916, 1419268] Funding Source: National Science Foundation</t>
  </si>
  <si>
    <t>NSF(National Science Foundation (NSF)); Office of Polar Programs (OPP); Directorate For Geosciences(National Science Foundation (NSF)NSF - Directorate for Geosciences (GEO))</t>
  </si>
  <si>
    <t>We thank David Reusch for his assistance in preparing and analyzing the sea ice data used in this manuscript, which was obtained from the National Snow and Ice Data Center (https://nsidc.org/). We additionally thank Adam Ringler, David Thompson, David Reusch, Derek Schutt, and two anonymous reviewers for their comments and suggestions to improve this article. Monthly mean Southern Annular Mode indices were retrieved from the National Weather Service Climate Prediction Center (http://www.cpc.ncep.noaa.gov/products/precip/cwlink/daily_ao_index/aao/aao_index.html). The facilities of IRIS Data Services, and specifically the IRIS Data Management Center, were used for access to waveforms, related metadata (http://ds.iris.edu/mda). The Global Seismographic Network (GSN) is a cooperative scientific facility operated jointly by the Incorporated Research Institutions for Seismology (IRIS), the United States Geological Survey (USGS), and the National Science Foundation (NSF). IRIS facilities operate under NSF Cooperative AgreementEAR-1261681. This research was funded through NSF grants 1419268 and 1141916. Any use of trade, firm, or product names is for descriptive purposes only and does not imply endorsement by the U.S. Government.</t>
  </si>
  <si>
    <t>10.1002/2016JF004098</t>
  </si>
  <si>
    <t>WOS:000394904900008</t>
  </si>
  <si>
    <t>Minchew, BM; Simons, M; Riel, B; Milillo, P</t>
  </si>
  <si>
    <t>Minchew, B. M.; Simons, M.; Riel, B.; Milillo, P.</t>
  </si>
  <si>
    <t>Tidally induced variations in vertical and horizontal motion on Rutford Ice Stream, West Antarctica, inferred from remotely sensed observations</t>
  </si>
  <si>
    <t>synthetic aperture radar; glacier mechanics; ice-ocean interactions; ice shelf buttressing; ice-bed mechanics; ice rheology</t>
  </si>
  <si>
    <t>RADAR INTERFEROMETRY; BASAL MECHANICS; PINE ISLAND; OCEAN TIDES; INSAR DATA; VELOCITY; FLOW; MARGINS; SHELF; BED</t>
  </si>
  <si>
    <t>To better understand the influence of stress changes over floating ice shelves on grounded ice streams, we develop a Bayesian method for inferring time-dependent 3-D surface velocity fields from synthetic aperture radar (SAR) and optical remote sensing data. Our specific goal is to observe ocean tide-induced variability in vertical ice shelf position and horizontal ice stream flow. Thus, we consider the special case where observed surface displacement at a given location can be defined by a 3-D secular velocity vector, a family of 3-D sinusoidal functions, and a correction to the digital elevation model used to process the SAR data. Using nearly 9months of SAR data collected from multiple satellite viewing geometries with the COSMO-SkyMed 4-satellite constellation, we infer the spatiotemporal response of Rutford Ice Stream, West Antarctica, to ocean tidal forcing. Consistent with expected tidal uplift, inferred vertical motion over the ice shelf is dominated by semidiurnal and diurnal tidal constituents. Horizontal ice flow variability, on the other hand, occurs primarily at the fortnightly spring-neap tidal period (M-sf). We propose that periodic grounding of the ice shelf is the primary mechanism for translating vertical tidal motion into horizontal flow variability, causing ice flow to accelerate first and most strongly over the ice shelf. Flow variations then propagate through the grounded ice stream at a mean rate of approximate to 29km/d and decay quasi-linearly with distance over approximate to 85km upstream of the grounding zone.</t>
  </si>
  <si>
    <t>[Minchew, B. M.; Simons, M.; Riel, B.] CALTECH, Div Geol &amp; Planetary Sci, Seismol Lab, Pasadena, CA 91125 USA; [Minchew, B. M.] British Antarctic Survey, Cambridge, England; [Milillo, P.] Univ Basilicata, Sch Engn, Potenza, Italy; [Milillo, P.] CALTECH, Jet Prop Lab, Pasadena, CA USA</t>
  </si>
  <si>
    <t>California Institute of Technology; UK Research &amp; Innovation (UKRI); Natural Environment Research Council (NERC); NERC British Antarctic Survey; University of Basilicata; National Aeronautics &amp; Space Administration (NASA); NASA Jet Propulsion Laboratory (JPL); California Institute of Technology</t>
  </si>
  <si>
    <t>Minchew, BM (corresponding author), CALTECH, Div Geol &amp; Planetary Sci, Seismol Lab, Pasadena, CA 91125 USA.;Minchew, BM (corresponding author), British Antarctic Survey, Cambridge, England.</t>
  </si>
  <si>
    <t>bremin15@bas.ac.uk</t>
  </si>
  <si>
    <t>Milillo, Pietro/H-6691-2019; Simons, Mark/N-4397-2015</t>
  </si>
  <si>
    <t>Milillo, Pietro/0000-0002-1171-3976; Simons, Mark/0000-0003-1412-6395</t>
  </si>
  <si>
    <t>NASA [NNX14AH80G]; NSF Earth Sciences Postdoctoral Fellowship award [1452587]; NASA Earth and Space Sciences fellowship; NASA postdoctoral fellowship; Directorate For Geosciences; Division Of Earth Sciences [1452587] Funding Source: National Science Foundation; NASA [683089, NNX14AH80G] Funding Source: Federal RePORTER</t>
  </si>
  <si>
    <t>NASA(National Aeronautics &amp; Space Administration (NASA)); NSF Earth Sciences Postdoctoral Fellowship award; NASA Earth and Space Sciences fellowship; NASA postdoctoral fellowship; Directorate For Geosciences; Division Of Earth Sciences(National Science Foundation (NSF)NSF - Directorate for Geosciences (GEO)); NASA(National Aeronautics &amp; Space Administration (NASA))</t>
  </si>
  <si>
    <t>We thank E. Smith and A. Smith for providing the seismic data, and we benefitted from conversations with H. Gudmundsson, H. Martens, V. Tsai, J. Thompson, and P. Agram. B.M. was partially funded by NASA Cyospheric Sciences award NNX14AH80G, NSF Earth Sciences Postdoctoral Fellowship award 1452587, and donations from the Albert Parvin and ARCS LA Chapter foundations. B.R. was partially funded by a NASA Earth and Space Sciences fellowship. P.M. was partially funded by a NASA postdoctoral fellowship, and much of this work was completed while he was a visiting student at the California Institute of Technology. Original COSMO-SkyMed products (copyright ASI-Agenzia Spaziale Italiana, 2013-2016) are archived at JPL and were processed under license from ASI as part of a collaborative project between CIDOT and JPL/Caltech. Displacement fields and other processed SAR data are available from the authors upon request, and the velocity field components will be archived at the National Snow and Ice Data Center (NSIDC; see nsidc.org). Software used to infer time-dependent, 3-D velocity fields is freely available at https://github.com/bminchew/fourDvel.</t>
  </si>
  <si>
    <t>10.1002/2016JF003971</t>
  </si>
  <si>
    <t>Bronze, Green Accepted</t>
  </si>
  <si>
    <t>WOS:000394904900009</t>
  </si>
  <si>
    <t>Jones, TR; Cuffey, KM; White, JWC; Steig, EJ; Buizert, C; Markle, BR; McConnell, JR; Sigl, M</t>
  </si>
  <si>
    <t>Jones, T. R.; Cuffey, K. M.; White, J. W. C.; Steig, E. J.; Buizert, C.; Markle, B. R.; McConnell, J. R.; Sigl, M.</t>
  </si>
  <si>
    <t>Water isotope diffusion in the WAIS Divide ice core during the Holocene and last glacial</t>
  </si>
  <si>
    <t>ice core; water isotopes; diffusion length; West Antarctica; paleoclimate; firn modeling</t>
  </si>
  <si>
    <t>POLAR FIRN; WD2014 CHRONOLOGY; WEST ANTARCTICA; SELF-DIFFUSION; PRECIPITATION; NORTHGRIP; GREENLAND; CLIMATE; SHEETS; SNOW</t>
  </si>
  <si>
    <t>We use a high-resolution water isotope record from the West Antarctic Ice Sheet Divide ice core (WDC) to evaluate the effects of water isotope diffusion for the last 29ka B.P. Using spectral analysis of the data, we determine diffusion lengths in depth and time domains. The diffusion length quantifies the mean cumulative diffusive displacement of water molecules relative to their original location at time of deposition. We simulate the observed signal with models and find that our understanding of processes and conditions in the ice sheet is incomplete. With the effects of ice-deformational thinning removed, portions of the Holocene record show total diffusion lengths smaller than predicted for a lower limit case of diffusion through a single ice crystal. Such reduced diffusion is probably due to structural features such as crusts and tortuous porosity that inhibit vapor transport in the firn. In the late glacial portion of the record, diffusion lengths double between similar to 19.5 and 17ka B.P. Known dependencies of diffusion on climatic variables do not account for this enhancement in models, and we hypothesize that it could arise from thermal gradients in the firn column, impurity-driven enhancement of solid ice diffusion, or changes in firn grain properties that alter vapor access to open pores. Despite model uncertainties, the WDC diffusion length chronology will be an essential input to future studies of high-frequency variability in the water isotope climate record, as it allows for the effects of diffusion to be removed.</t>
  </si>
  <si>
    <t>[Jones, T. R.; White, J. W. C.] Univ Colorado, Inst Arctic &amp; Alpine Res, Boulder, CO 80309 USA; [Cuffey, K. M.] Univ Calif Berkeley, Dept Geog, Berkeley, CA 94720 USA; [White, J. W. C.] Univ Colorado, Dept Geol Sci, Boulder, CO 80309 USA; [Steig, E. J.; Markle, B. R.] Univ Washington, Dept Earth &amp; Space Sci, Seattle, WA 98195 USA; [Buizert, C.] Oregon State Univ, Coll Earth Ocean &amp; Atmospher Sci, Corvallis, OR 97331 USA; [McConnell, J. R.; Sigl, M.] Nevada Syst Higher Educ, Desert Res Inst, Reno, NV USA</t>
  </si>
  <si>
    <t>University of Colorado System; University of Colorado Boulder; University of California System; University of California Berkeley; University of Colorado System; University of Colorado Boulder; University of Washington; University of Washington Seattle; Oregon State University; Nevada System of Higher Education (NSHE); Desert Research Institute NSHE</t>
  </si>
  <si>
    <t>Jones, TR (corresponding author), Univ Colorado, Inst Arctic &amp; Alpine Res, Boulder, CO 80309 USA.</t>
  </si>
  <si>
    <t>tyler.jones@colorado.edu</t>
  </si>
  <si>
    <t>White, James W.C./A-7845-2009; Markle, Bradley R/I-6132-2019; /G-9088-2015</t>
  </si>
  <si>
    <t>McConnell, Joseph/0000-0001-9051-5240; Markle, Bradley/0000-0002-2282-6546; /0000-0002-8191-5549; JONES, TYLER/0000-0003-1871-2105; Sigl, Michael/0000-0002-9028-9703</t>
  </si>
  <si>
    <t>U.S. National Science Foundation (NSF) [0537593, 0537661, 0537930, 0539232, 0839093, 1043092, 1043167, 1043518, 1142166]; NSF [0230396, 0440817, 0944266, 0944348]; National Science Foundation Division of Polar Programs; Div Of Information &amp; Intelligent Systems; Direct For Computer &amp; Info Scie &amp; Enginr [1245947] Funding Source: National Science Foundation; Office of Polar Programs (OPP); Directorate For Geosciences [0537593] Funding Source: National Science Foundation; Office of Polar Programs (OPP); Directorate For Geosciences [1043092, 0537930] Funding Source: National Science Foundation</t>
  </si>
  <si>
    <t>U.S. National Science Foundation (NSF)(National Science Foundation (NSF)); NSF(National Science Foundation (NSF)); National Science Foundation Division of Polar Programs(National Science Foundation (NSF)); Div Of Information &amp; Intelligent Systems; Direct For Computer &amp; Info Scie &amp; Enginr(National Science Foundation (NSF)NSF - Directorate for Computer &amp; Information Science &amp; Engineering (CISE));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</si>
  <si>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U.S. National Science Foundation (NSF) grants 0537593, 0537661, 0537930, 0539232, 0839093, 1043092, 1043167, 1043518, and 1142166. Additional support was provided by a gift from the Martin Family Foundation. The authors would like to thank all field crew, laboratory staff, students, and principal investigators for years of hard work. Field and logistical activities were managed by the WAIS Divide Science Coordination Office at the Desert Research Institute, Reno, NE, USA, and the University of New Hampshire, USA (NSF grants 0230396, 0440817, 0944266, and 0944348). The National Science Foundation Division of Polar Programs funded the Ice Drilling Program Office (IDPO), the Ice Drilling Design and Operations (IDDO) group, the National Ice Core Laboratory (NICL), the Antarctic Support Contractor, and the 109th New York Air National Guard. Finally, we would like to thank Richard Alley for conceptual insights into glaciological and chemical processes included in this paper. Data supporting the conclusions of this paper can be obtained in the supporting information, including the water isotope record and the diffusion length record, or referenced within the Publication section of http://www.waisdivide.unh.edu/.</t>
  </si>
  <si>
    <t>10.1002/2016JF003938</t>
  </si>
  <si>
    <t>WOS:000394904900015</t>
  </si>
  <si>
    <t>Hausmann, U; McGillicuddy, DJ; Marshall, J</t>
  </si>
  <si>
    <t>Hausmann, U.; McGillicuddy, Dennis J., Jr.; Marshall, John</t>
  </si>
  <si>
    <t>Observed mesoscale eddy signatures in Southern Ocean surface mixed-layer depth</t>
  </si>
  <si>
    <t>JOURNAL OF GEOPHYSICAL RESEARCH-OCEANS</t>
  </si>
  <si>
    <t>Antarctic Circumpolar Current; Argo; satellite altimetry</t>
  </si>
  <si>
    <t>WINTERTIME CONVECTION; CYCLONIC RING; EDDIES; CHLOROPHYLL; CIRCULATION; IMPACT; WIND</t>
  </si>
  <si>
    <t>Combining satellite altimetry with Argo profile data a systematic observational estimate of mesoscale eddy signatures in surface mixed-layer depth (MLD) is provided across the Southern Ocean (SO). Eddy composite MLD anomalies are shallow in cyclones, deep in anticyclones, and increase in magnitude with eddy amplitude. Their magnitudes show a pronounced seasonal modulation roughly following the depth of the climatological mixed layer. Weak eddies of the relatively quiescent SO subtropics feature peak late-winter perturbations of 10 m. Much larger MLD perturbations occur over the vigorous eddies originating along the Antarctic Circumpolar Current (ACC) and SO western boundary current systems, with late-winter peaks of -30 m and +60 m in the average over cyclonic and anticyclonic eddy cores (a difference of approximate to 100 m). The asymmetry between modest shallow cyclonic and pronounced deep anticyclonic anomalies is systematic and not accompanied by corresponding asymmetries in eddy amplitude. Nonetheless, the net deepening of the climatological SO mixed layer by this asymmetry in eddy MLD perturbations is estimated to be small (few meters). Eddies are shown to enhance SO MLD variability with peaks in late winter and eddy-intense regions. Anomalously deep late-winter mixed layers occur disproportionately within the cores of anticyclonic eddies, suggesting the mesoscale heightens the frequency of deep winter surface-mixing events along the eddy-intense regions of the SO. The eddy modulation in MLD reported here provides a pathway via which the oceanic mesoscale can impact air-sea fluxes of heat and carbon, the ventilation of water masses, and biological productivity across the SO.</t>
  </si>
  <si>
    <t>[Hausmann, U.; McGillicuddy, Dennis J., Jr.] Woods Hole Oceanog Inst, Dept Appl Ocean Phys &amp; Engn, Woods Hole, MA 02543 USA; [Hausmann, U.; Marshall, John] MIT, Dept Earth Atmospher &amp; Planetary Sci, Cambridge, MA 02139 USA</t>
  </si>
  <si>
    <t>Woods Hole Oceanographic Institution; Massachusetts Institute of Technology (MIT)</t>
  </si>
  <si>
    <t>Hausmann, U (corresponding author), Woods Hole Oceanog Inst, Dept Appl Ocean Phys &amp; Engn, Woods Hole, MA 02543 USA.;Hausmann, U (corresponding author), MIT, Dept Earth Atmospher &amp; Planetary Sci, Cambridge, MA 02139 USA.</t>
  </si>
  <si>
    <t>uhausc@gmail.com</t>
  </si>
  <si>
    <t>McGillicuddy, Dennis/0000-0002-1437-2425; Hausmann, Ute/0000-0003-2753-5710</t>
  </si>
  <si>
    <t>NSF via the MOBY project; NASA; Division Of Ocean Sciences; Directorate For Geosciences [1048897] Funding Source: National Science Foundation</t>
  </si>
  <si>
    <t>NSF via the MOBY project; NASA(National Aeronautics &amp; Space Administration (NASA)); Division Of Ocean Sciences; Directorate For Geosciences(National Science Foundation (NSF)NSF - Directorate for Geosciences (GEO))</t>
  </si>
  <si>
    <t>We are grateful to Dudley Chelton and colleagues for providing the eddy data set, available at http://cioss.coas.oregonstate.edu/eddies, as well as to James Holte and colleagues for providing Argo mixed-layer depths, available at http://mixedlayer.ucsd.edu, and discussion with H. Song. The Ssalto/Duacs altimeter products were distributed by Aviso (www.aviso.altimetry.fr). U.H. would like to thank Amala Mahadevan and Mick Follows for helpful discussions and J.B. Sallee for an earlier investigation into this topic. The authors furthermore acknowledge support from NSF via the MOBY project investigating the impacts of ocean eddies on biogeochemical cycles. In addition, DJM also acknowledges support from NASA.</t>
  </si>
  <si>
    <t>2169-9275</t>
  </si>
  <si>
    <t>2169-9291</t>
  </si>
  <si>
    <t>J GEOPHYS RES-OCEANS</t>
  </si>
  <si>
    <t>J. Geophys. Res.-Oceans</t>
  </si>
  <si>
    <t>10.1002/2016JC012225</t>
  </si>
  <si>
    <t>EM0GI</t>
  </si>
  <si>
    <t>WOS:000394996400037</t>
  </si>
  <si>
    <t>Walsh, AT; Barrett, N; Hill, N</t>
  </si>
  <si>
    <t>Walsh, Aidan T.; Barrett, Neville; Hill, Nicole</t>
  </si>
  <si>
    <t>Efficacy of baited remote underwater video systems and bait type in the cool-temperature zone for monitoring 'no-take' marine reserves</t>
  </si>
  <si>
    <t>bait comparison; BRUVs; depth gradient; rocky reef; Tasmania</t>
  </si>
  <si>
    <t>REEF FISH ASSEMBLAGES; RELATIVE DENSITY; VISUAL CENSUS; WAVE EXPOSURE; PROTECTION; PERFORMANCE; INVERTEBRATES; BIODIVERSITY; VARIABILITY; MORTALITY</t>
  </si>
  <si>
    <t>Cool-temperate reef fish assemblages are often poorly described below 20 m because of depth limitations of conventional diver-based visual census. The recent development of baited remote underwater video systems (BRUVs) provide an alternative quantitative sampling method. Despite being used in warmer temperate and tropical waters and cool-temperate waters in Victoria, initial trials of vertical BRUVs in Tasmania, Australia, provided poor results. Our study explored possible reasons for this, including using horizontal BRUVs and various baits across a depth gradient. We examined the fish fauna in, and adjacent to, a small, but long-established, no-take marine reserve to assess the potential for BRUVs to enhance monitoring programs in exposed coastal environments. Significant differences in the fish assemblage were described relating to location, depth and bait type, with pilchards being an effective bait type. Fish abundance and species richness increased with depth. The research validated BRUVs for monitoring deep-reef systems in Tasmania, reinforced the importance of depth in structuring fish assemblages and identified the range of observable species in this region that may not be fully captured with diver-based surveys alone. Power analyses were conducted using the data generated here to inform the amount of replication needed to detect biologically meaningful differences in targeted fish assemblages in subsequent studies examining the response of no-take marine reserves to protection. This facilitates future assessments of the effectiveness of Tasmanian no-take reserves and allows for more broad-scale studies that can address a range of ecological and conservation questions.</t>
  </si>
  <si>
    <t>[Walsh, Aidan T.; Barrett, Neville; Hill, Nicole] Univ Tasmania, Inst Marine &amp; Antarctic Studies, Private Bag 49, Hobart, Tas 7001, Australia</t>
  </si>
  <si>
    <t>Walsh, AT (corresponding author), Univ Tasmania, Inst Marine &amp; Antarctic Studies, Private Bag 49, Hobart, Tas 7001, Australia.</t>
  </si>
  <si>
    <t>aidan_tavis_walsh@hotmail.com</t>
  </si>
  <si>
    <t>Hill, Nicole/AAI-7323-2021; Barrett, Neville/J-7593-2014</t>
  </si>
  <si>
    <t>Hill, Nicole/0000-0001-9329-6717; Barrett, Neville/0000-0002-6167-1356</t>
  </si>
  <si>
    <t>10.1071/MF15165</t>
  </si>
  <si>
    <t>EN5II</t>
  </si>
  <si>
    <t>WOS:000396038400016</t>
  </si>
  <si>
    <t>Dodds, K</t>
  </si>
  <si>
    <t>Dodds, Klaus</t>
  </si>
  <si>
    <t>'Awkward Antarctic nationalism': bodies, ice cores and gateways in and beyond Australian Antarctic Territory/East Antarctica</t>
  </si>
  <si>
    <t>GEOPOLITICS</t>
  </si>
  <si>
    <t>This paper explores 'awkward Antarctic nationalism' and builds on the critical scholarship that explores the contours and contradictions of everyday, mundane, banal and even hot polar nationalisms. The emphasis on 'awkward' is designed to draw attention to the resonances and affordances that are associated with Australian polar nationalism in and beyond the Australian Antarctic Territory/East Antarctica. Using the 2016 Australian Antarctic strategy: 20 year action plan as a starting point, it considers how bodies, ice cores and gateways are put to work in order to address a fundamental pressure facing all claimant states. That is how to reassure domestic audiences that claims to territory and access are safe, sovereign and secure without alienating others with whom one wishes to do business within a particular area of Antarctica. More broadly, the paper concludes that both claimant states and non-claimant states are rubbing up against one another in areas such as custodianship, environmental stewardship and polar science and logistics. This has implications for how we interrogate the ideals and practices of the Antarctic Treaty.</t>
  </si>
  <si>
    <t>[Dodds, Klaus] Royal Holloway Univ London, Dept Geog, Egham TW20 0EX, Surrey, England</t>
  </si>
  <si>
    <t>University of London; Royal Holloway University London</t>
  </si>
  <si>
    <t>Dodds, K (corresponding author), Royal Holloway Univ London, Dept Geog, Egham TW20 0EX, Surrey, England.</t>
  </si>
  <si>
    <t>K.Dodds@rhul.ac.uk</t>
  </si>
  <si>
    <t>10.1017/S0032247416000516</t>
  </si>
  <si>
    <t>WOS:000394588900002</t>
  </si>
  <si>
    <t>Johnston, M; Dawson, J; De Souza, E; Stewart, EJ</t>
  </si>
  <si>
    <t>Johnston, Margaret; Dawson, Jackie; De Souza, Elsa; Stewart, Emma J.</t>
  </si>
  <si>
    <t>Management challenges for the fastest growing marine shipping sector in Arctic Canada: pleasure crafts</t>
  </si>
  <si>
    <t>ANTARCTIC TOURISM; CRUISE TOURISM</t>
  </si>
  <si>
    <t>Changing environmental conditions in the Canadian Arctic are associated with an increase in marine tourism. A substantial decline in the extent of ice coverage in the summer season has resulted in greater accessibility for all categories of ships, and the tourism sector has been quick to respond to new opportunities. This increase in vessel traffic has raised significant issues for management, and particular concerns about the pleasure craft (non-commercial tourism) sector. This paper reports on research aimed at identifying change in the pleasure craft sector in Canadian Arctic waters since 1990; exploring management concerns held by stakeholders regarding changes in the sector; and, providing recommendations for government stakeholders. The paper is based on material gathered through an examination of existing data sources and stakeholder interviews (n=22). Analysis was aimed at understanding the rapid development of the sector and potential management strategies, including research needs. Analysis reveals a dramatic increase in annual vessel numbers, particularly from 2010 onwards. Management concerns of interviewees relate to implications of this growth in four areas: visitor behaviour; services, facilities and infrastructure; control; and, planning and development. The paper concludes by describing recommendations in the areas of research needs, regulation, and strategic development.</t>
  </si>
  <si>
    <t>[Johnston, Margaret; De Souza, Elsa] Lakehead Univ, Sch Outdoor Recreat Pk &amp; Tourism, 955 Oliver Rd, Thunder Bay, ON P7B 5E1, Canada; [Dawson, Jackie] Univ Ottawa, Canada Res Chair Environm Soc &amp; Policy, Dept Geog, 1125 Colonel By Dr, Ottawa, ON K1S 5B6, Canada; [Dawson, Jackie] Univ Ottawa, Inst Sci Soc &amp; Policy, 1125 Colonel By Dr, Ottawa, ON K1S 5B6, Canada; [Stewart, Emma J.] Lincoln Univ, Dept Tourism Sport &amp; Soc, POB 85084, Canterbury 7647, New Zealand</t>
  </si>
  <si>
    <t>Lakehead University; University of Ottawa; University of Ottawa; Lincoln University - New Zealand</t>
  </si>
  <si>
    <t>Johnston, M (corresponding author), Lakehead Univ, Sch Outdoor Recreat Pk &amp; Tourism, 955 Oliver Rd, Thunder Bay, ON P7B 5E1, Canada.</t>
  </si>
  <si>
    <t>mejohnst@lakeheadu.ca</t>
  </si>
  <si>
    <t>Transport Canada</t>
  </si>
  <si>
    <t>The authors wish to thank those who participated in this study as interviewees. Appreciation is also extended to Transport Canada for funding, and to the Department of Fisheries and Oceans, Canada and Canadian Coast Guard for the provision of data and information. We particularly thank Larissa Pizzolato for her assistance with data preparation. The authors assert that all procedures contributing to this work comply with the ethical standards of the Tri-Council Granting Agencies of Canada and the ethical standards of our respective institutions.</t>
  </si>
  <si>
    <t>10.1017/S0032247416000565</t>
  </si>
  <si>
    <t>WOS:000394588900006</t>
  </si>
  <si>
    <t>Forsberg, R; Sorensen, L; Simonsen, S</t>
  </si>
  <si>
    <t>Forsberg, Rene; Sorensen, Louise; Simonsen, Sebastian</t>
  </si>
  <si>
    <t>Greenland and Antarctica Ice Sheet Mass Changes and Effects on Global Sea Level</t>
  </si>
  <si>
    <t>SURVEYS IN GEOPHYSICS</t>
  </si>
  <si>
    <t>Greenland ice sheet; Antarctica mass loss; GRACE; Envisat; CryoSat</t>
  </si>
  <si>
    <t>ELEVATION; SATELLITE; BALANCE; VOLUME; MODEL; LAND</t>
  </si>
  <si>
    <t>Thirteen years of GRACE data provide an excellent picture of the current mass changes of Greenland and Antarctica, with mass loss in the GRACE period 2002-2015 amounting to 265 +/- 25 GT/year for Greenland (including peripheral ice caps), and 95 +/- 50 GT/year for Antarctica, corresponding to 0.72 and 0.26 mm/year average global sea level change. A significant acceleration in mass loss rate is found, especially for Antarctica, while Greenland mass loss, after a corresponding acceleration period, and a record mass loss in the summer of 2012, has seen a slight decrease in short-term mass loss trend. The yearly mass balance estimates, based on point mass inversion methods, have relatively large errors, both due to uncertainties in the glacial isostatic adjustment processes, especially for Antarctica, leakage from unmodelled ocean mass changes, and (for Greenland) difficulties in separating mass signals from the Greenland ice sheet and the adjacent Canadian ice caps. The limited resolution of GRACE affects the uncertainty of total mass loss to a smaller degree; we illustrate the real sources of mass changes by including satellite altimetry elevation change results in a joint inversion with GRACE, showing that mass change occurs primarily associated with major outlet glaciers, as well as a narrow coastal band. For Antarctica, the primary changes are associated with the major outlet glaciers in West Antarctica (Pine Island and Thwaites Glacier systems), as well as on the Antarctic Peninsula, where major glacier accelerations have been observed after the 2002 collapse of the Larsen B Ice Shelf.</t>
  </si>
  <si>
    <t>[Forsberg, Rene; Sorensen, Louise; Simonsen, Sebastian] Tech Univ Denmark DTU Space, Natl Space Inst, Elektrovej 328, DK-2800 Lyngby, Denmark</t>
  </si>
  <si>
    <t>Technical University of Denmark</t>
  </si>
  <si>
    <t>Forsberg, R (corresponding author), Tech Univ Denmark DTU Space, Natl Space Inst, Elektrovej 328, DK-2800 Lyngby, Denmark.</t>
  </si>
  <si>
    <t>rf@space.dtu.dk</t>
  </si>
  <si>
    <t>Simonsen, Sebastian Bjerregaard/F-4791-2013; Sorensen, Louise Sandberg/E-5282-2014</t>
  </si>
  <si>
    <t>Simonsen, Sebastian Bjerregaard/0000-0001-9569-1294; Forsberg, Rene/0000-0002-7288-9545; Sorensen, Louise Sandberg/0000-0002-3771-4061; Nilsson, Johan/0000-0002-1496-122X</t>
  </si>
  <si>
    <t>0169-3298</t>
  </si>
  <si>
    <t>1573-0956</t>
  </si>
  <si>
    <t>SURV GEOPHYS</t>
  </si>
  <si>
    <t>Surv. Geophys.</t>
  </si>
  <si>
    <t>10.1007/s10712-016-9398-7</t>
  </si>
  <si>
    <t>EM1JE</t>
  </si>
  <si>
    <t>WOS:000395073100005</t>
  </si>
  <si>
    <t>Slangen, ABA; Adloff, F; Jevrejeva, S; Leclercq, PW; Marzeion, B; Wada, Y; Winkelmann, R</t>
  </si>
  <si>
    <t>Slangen, A. B. A.; Adloff, F.; Jevrejeva, S.; Leclercq, P. W.; Marzeion, B.; Wada, Y.; Winkelmann, R.</t>
  </si>
  <si>
    <t>A Review of Recent Updates of Sea-Level Projections at Global and Regional Scales</t>
  </si>
  <si>
    <t>Sea-level change; Regional sea-level change; Sea-level projections; Ice sheets; Glaciers; Terrestrial water storage; Mediterranean</t>
  </si>
  <si>
    <t>SURFACE MASS-BALANCE; ANTARCTIC ICE-SHEET; GROUNDWATER DEPLETION; GLACIER CONTRIBUTIONS; RECONCILED ESTIMATE; CLIMATE SCENARIO; PINE ISLAND; RISE; MODEL; WATER</t>
  </si>
  <si>
    <t>Sea-level change (SLC) is a much-studied topic in the area of climate research, integrating a range of climate science disciplines, and is expected to impact coastal communities around the world. As a result, this field is rapidly moving, and the knowledge and understanding of processes contributing to SLC is increasing. Here, we discuss noteworthy recent developments in the projection of SLC contributions and in the global mean and regional sea-level projections. For the Greenland Ice Sheet contribution to SLC, earlier estimates have been confirmed in recent research, but part of the source of this contribution has shifted from dynamics to surface melting. New insights into dynamic discharge processes and the onset of marine ice sheet instability increase the projected range for the Antarctic contribution by the end of the century. The contribution from both ice sheets is projected to increase further in the coming centuries to millennia. Recent updates of the global glacier outline database and new global glacier models have led to slightly lower projections for the glacier contribution to SLC (7-17 cm by 2100), but still project the glaciers to be an important contribution. For global mean sea-level projections, the focus has shifted to better estimating the uncertainty distributions of the projection time series, which may not necessarily follow a normal distribution. Instead, recent studies use skewed distributions with longer tails to higher uncertainties. Regional projections have been used to study regional uncertainty distributions, and regional projections are increasingly being applied to specific regions, countries, and coastal areas.</t>
  </si>
  <si>
    <t>[Slangen, A. B. A.] Univ Utrecht, Inst Marine &amp; Atmospher Res Utrecht IMAU, Utrecht, Netherlands; [Slangen, A. B. A.] CSIRO, CSIRO Oceans &amp; Atmosphere, Hobart, Tas, Australia; [Adloff, F.] Meteo France, CNRS, GAME, CNRM, Toulouse, France; [Jevrejeva, S.] Natl Oceanog Ctr, Liverpool, Merseyside, England; [Leclercq, P. W.] Univ Oslo, Dept Geosci, Oslo, Norway; [Marzeion, B.] Univ Bremen, Inst Geog, Bremen, Germany; [Wada, Y.] Columbia Univ, NASA, Goddard Inst Space Studies, New York, NY USA; [Wada, Y.] Columbia Univ, Ctr Climate Syst Res, New York, NY USA; [Wada, Y.] Univ Utrecht, Dept Phys Geog, Utrecht, Netherlands; [Wada, Y.] Int Inst Appl Syst Anal, Laxenburg, Austria; [Winkelmann, R.] Univ Potsdam, Potsdam Inst Climate Impact Res, Potsdam, Germany</t>
  </si>
  <si>
    <t>Utrecht University; Commonwealth Scientific &amp; Industrial Research Organisation (CSIRO); Centre National de la Recherche Scientifique (CNRS); Meteo France; NERC National Oceanography Centre; University of Oslo; University of Bremen; Columbia University; National Aeronautics &amp; Space Administration (NASA); NASA Goddard Space Flight Center; Goddard Institute for Space Studies; Columbia University; Utrecht University; International Institute for Applied Systems Analysis (IIASA); University of Potsdam; Potsdam Institut fur Klimafolgenforschung</t>
  </si>
  <si>
    <t>Slangen, ABA (corresponding author), Univ Utrecht, Inst Marine &amp; Atmospher Res Utrecht IMAU, Utrecht, Netherlands.;Slangen, ABA (corresponding author), CSIRO, CSIRO Oceans &amp; Atmosphere, Hobart, Tas, Australia.</t>
  </si>
  <si>
    <t>aimee.slangen@gmail.com</t>
  </si>
  <si>
    <t>Wada, Yoshihide/F-3595-2012; Marzeion, Ben/G-6514-2013; Slangen, Aimee/H-5839-2015</t>
  </si>
  <si>
    <t>Wada, Yoshihide/0000-0003-4770-2539; Marzeion, Ben/0000-0002-6185-3539; Winkelmann, Ricarda/0000-0003-1248-3217; Slangen, Aimee/0000-0001-6268-6683; Adloff, Fanny/0000-0003-1519-754X</t>
  </si>
  <si>
    <t>CSIRO Australia Office of the Chief Executive Fellowship; NWO-Netherlands Polar Programme; European Research Council under the European Union [320816]; Japan Society for the Promotion of Science (JSPS) [JSPS-2014-878]; AXA postdoctoral fellowship; Natural Environment Research Council [noc010012] Funding Source: researchfish</t>
  </si>
  <si>
    <t>CSIRO Australia Office of the Chief Executive Fellowship; NWO-Netherlands Polar Programme; European Research Council under the European Union(European Research Council (ERC)); Japan Society for the Promotion of Science (JSPS)(Ministry of Education, Culture, Sports, Science and Technology, Japan (MEXT)Japan Society for the Promotion of Science); AXA postdoctoral fellowship(AXA Research Fund); Natural Environment Research Council(UK Research &amp; Innovation (UKRI)Natural Environment Research Council (NERC))</t>
  </si>
  <si>
    <t>This paper is a result of the ISSI Workshop on Integrative Study of Sea Level, held in Bern, Switzerland, 2-6 February 2015. A.S. was supported by a CSIRO Australia Office of the Chief Executive Fellowship and the NWO-Netherlands Polar Programme. P.L. was funded by the European Research Council under the European Union's Seventh Framework Programme (FP/2007-2013)/ERC Grant Agreement No. 320816. Y.W. was supported by a Japan Society for the Promotion of Science (JSPS) Overseas Research Fellowship (Grant No. JSPS-2014-878). F.A. was supported by an AXA postdoctoral fellowship.</t>
  </si>
  <si>
    <t>10.1007/s10712-016-9374-2</t>
  </si>
  <si>
    <t>WOS:000395073100017</t>
  </si>
  <si>
    <t>Allen, KJ; Nichols, SC; Evans, R; Allie, S; Carson, G; Ling, F; Cook, ER; Lee, G; Baker, PJ</t>
  </si>
  <si>
    <t>Allen, K. J.; Nichols, S. C.; Evans, R.; Allie, S.; Carson, G.; Ling, F.; Cook, E. R.; Lee, G.; Baker, P. J.</t>
  </si>
  <si>
    <t>A 277 year cool season dam inflow reconstruction for Tasmania, southeastern Australia</t>
  </si>
  <si>
    <t>WATER RESOURCES RESEARCH</t>
  </si>
  <si>
    <t>inflow; tree-rings; Australia; Tasmania; winter; latewood cell wall thickness</t>
  </si>
  <si>
    <t>RING-BASED RECONSTRUCTION; SOUTHERN ANNULAR MODE; EASTERN AUSTRALIA; STREAMFLOW RECONSTRUCTIONS; RAINFALL RECONSTRUCTION; WESTERN-AUSTRALIA; CLIMATE-CHANGE; TIME-SERIES; TREE-RINGS; EL-NINO</t>
  </si>
  <si>
    <t>Seasonal variability is a significant source of uncertainty in projected changes to precipitation across southeastern Australia (SEA). While existing instrumental records provide seasonal data for recent decades, most proxy records (e.g., tree rings, corals, speleothems) offer only annual reconstructions of hydroclimate. We present the first cool-season (July-August) reconstruction of dam inflow (Lake Burbury) for western Tasmania in SEA based on tree-ring width (Athrotaxis selaginoides) and mean latewood cell wall thickness (Phyllocladus aspleniifolius) chronologies. The reconstruction, produced using principal component regression, verifies back to 1731 and is moderately skillful, explaining around 23% of the variance. According to the reconstruction, relatively low inflow periods occurred around 1860, the early 1900s and 1970, while relatively high inflows occurred in the 1770s and 1810s. Highest reconstructed inflows occurred in 1816, and lowest in 1909. Comparison with available documentary and instrumental records indicates that the reconstruction better captures high rather than low flow events. There is virtually no correlation between our reconstruction and another for December-January inflow for the same catchment, a result consistent with the relationship between seasonal instrumental data. This suggests that conditions in one season have not generally reflected conditions in the other season over the instrumental record, or for the past 277 years. This illustrates the value of obtaining reconstructions of regional hydroclimatic variability for multiple individual seasons in regions where dry and wet seasons are not strongly defined. The results also indicate that the hydroclimate of the southeastern Australian region cannot be adequately represented by a single regional reconstruction.</t>
  </si>
  <si>
    <t>[Allen, K. J.; Nichols, S. C.; Evans, R.; Baker, P. J.] Univ Melbourne, Sch Ecosyst &amp; Forest Sci, Richmond, Vic, Australia; [Evans, R.] Silviscan Pty Ltd, Doncaster East, Vic, Australia; [Allie, S.; Carson, G.] Hydro Tasmania, Hobart, Tas, Australia; [Ling, F.] Hydro Tasmania, Entura Consulting, Cambridge, Australia; [Cook, E. R.] Lamont Doherty Earth Observ, Palisades, NY USA; [Lee, G.] Univ Tasmania, Antarctic Climate &amp; Ecosyst Cooperat Res Ctr, Hobart, Tas, Australia</t>
  </si>
  <si>
    <t>University of Melbourne; Columbia University; University of Tasmania; Antarctic Climate &amp; Ecosystems Cooperative Research Centre (ACE CRC)</t>
  </si>
  <si>
    <t>Allen, KJ (corresponding author), Univ Melbourne, Sch Ecosyst &amp; Forest Sci, Richmond, Vic, Australia.</t>
  </si>
  <si>
    <t>Kathryn.Allen@unimelb.edu.au</t>
  </si>
  <si>
    <t>Allen, Kathryn/AAH-8535-2019</t>
  </si>
  <si>
    <t>Allen, Kathryn/0000-0002-8403-4552; Baker, Patrick/0000-0002-6560-7124; Cook, Edward/0000-0001-7478-4176; Allie, Stuart/0000-0002-7111-6911; Carson, Gregory/0000-0002-7817-150X</t>
  </si>
  <si>
    <t>Australian Research Council - Hydro Tasmania [LP12020811]; Australian Research Council [FT120100751]</t>
  </si>
  <si>
    <t>Australian Research Council - Hydro Tasmania(Australian Research Council); Australian Research Council(Australian Research Council)</t>
  </si>
  <si>
    <t>Dam inflow data for this study are available from Hydro Tasmania and the inflow reconstruction can be obtained from the corresponding author. Tree-ring data used in this reconstruction are archived at the International Tree Ring Data Bank (ITRDB: www.ncdc.noaa.gov). We thank Amy Hessl, Holly Faulstich, Rohan Simkin, and Jason Rijnbeek for assistance in the field. Mark Willis, Hydro Tasmania, provided descriptive data about the catchments used in this study. Ailie Gallant kindly provided the Murray River reconstruction and Wasyl Drosdowsky and Stuart Larsen provided their respective indices of the STRI. We also thank James Risbey for comments on the spatial correlation patterns, and three anonymous reviewers for their thoughtful comments and suggestions that have substantially helped to improve this paper. Samples for this study were obtained under permits issued by Forestry Tasmania and Parks and Wildlife Tasmania. Bill Cohen from Hydro Tasmania provided the catchment map and Michelle Ho and Tom Fairman also assisted with the maps. K.A. and S.N. were supported by an Australian Research Council Linkage Project (LP12020811) cofunded by Hydro Tasmania. P.J.B. was supported by Australian Research Council Future Fellowship FT120100751. This paper is also Lamont-Doherty Earth Observatory contribution 8080.</t>
  </si>
  <si>
    <t>0043-1397</t>
  </si>
  <si>
    <t>1944-7973</t>
  </si>
  <si>
    <t>WATER RESOUR RES</t>
  </si>
  <si>
    <t>Water Resour. Res.</t>
  </si>
  <si>
    <t>10.1002/2016WR018906</t>
  </si>
  <si>
    <t>Environmental Sciences; Limnology; Water Resources</t>
  </si>
  <si>
    <t>Environmental Sciences &amp; Ecology; Marine &amp; Freshwater Biology; Water Resources</t>
  </si>
  <si>
    <t>EL9AJ</t>
  </si>
  <si>
    <t>Bronze, Green Published, Green Accepted</t>
  </si>
  <si>
    <t>WOS:000394911200024</t>
  </si>
  <si>
    <t>Hinke, JT; Trivelpiece, SG; Trivelpiece, WZ</t>
  </si>
  <si>
    <t>Hinke, Jefferson T.; Trivelpiece, Susan G.; Trivelpiece, Wayne Z.</t>
  </si>
  <si>
    <t>Variable vital rates and the risk of population declines in Adelie penguins from the Antarctic Peninsula region</t>
  </si>
  <si>
    <t>ECOSPHERE</t>
  </si>
  <si>
    <t>climate change; Commission for Conservation of Antarctic Living Marine Resources; demography; long-term monitoring; penguin; pygoscelis; South Shetland Islands</t>
  </si>
  <si>
    <t>SEA-ICE EXTENT; CLIMATE-CHANGE; DEMOGRAPHIC-MODELS; PYGOSCELIS-ADELIAE; MARK-RECAPTURE; SOUTH SHETLAND; KRILL FISHERY; RESPONSES; SURVIVAL; DYNAMICS</t>
  </si>
  <si>
    <t>Predicting population responses in changing environments is an important task for ecologists. In polar regions, climate warming, loss of sea ice, and more frequent anomalous events suggest that further reductions in ice-dependent animal populations are likely. We assess the risk of near-term (30-year) depletion of an Adelie penguin (Pygoscelis adeliae) population with a stochastic matrix model parameterized with 30 yr (1982-2011) of data from the Copacabana colony on King George Island, Antarctica. The model was fitted to nest census data by estimating correction factors for survival rates estimated from a multi-state mark-recapture model. We modeled future survival and fecundity scenarios during the projection period (2012-2041) based on a two-state Markov chain that randomly assigned survival rates and reproductive success from their respective historical distributions to represent good and poor years. Monte Carlo simulation was used to estimate population trajectories across a range of progressively worse survival conditions. The results suggest that, given historical distributions of survival and reproductive success, a limited scope for recovery of the population is present, commensurate with recent stabilization in population size at the study site. However, our projections mainly suggest that the Adelie penguin population will decline if the frequency of years with poor survival remains at, or increases above, its 30-year mean. The risk of local depletion within 30 yr, defined according to International Union for Conservation of Nature categories for endangered and critically endangered species, was 33% for &gt; 90% declines, but near 100% for 50% declines given status-quo conditions. As survival conditions worsen, the risk of substantive depletions rose rapidly. Given expectations of further environmental and ecosystem changes in the northern Antarctic Peninsula region, continued declines in Adelie penguin population size at the northern extent of their range should be expected.</t>
  </si>
  <si>
    <t>[Hinke, Jefferson T.; Trivelpiece, Susan G.; Trivelpiece, Wayne Z.] Natl Marine Fisheries Serv, Antarctic Ecosyst Res Div, Southwest Fisheries Sci Ctr, NOAA, La Jolla, CA 92037 USA</t>
  </si>
  <si>
    <t>Hinke, JT (corresponding author), Natl Marine Fisheries Serv, Antarctic Ecosyst Res Div, Southwest Fisheries Sci Ctr, NOAA, La Jolla, CA 92037 USA.</t>
  </si>
  <si>
    <t>, Jefferson/AAG-1702-2021</t>
  </si>
  <si>
    <t>, Jefferson/0000-0002-3600-1414</t>
  </si>
  <si>
    <t>Antarctic Ecosystem Research Division at the Southwest Fisheries Science Center; National Oceanic and Atmospheric Administration; National Science Foundation; Lenfest Oceans Program at the Pew Charitable Trusts</t>
  </si>
  <si>
    <t>Antarctic Ecosystem Research Division at the Southwest Fisheries Science Center; National Oceanic and Atmospheric Administration(National Oceanic Atmospheric Admin (NOAA) - USA); National Science Foundation(National Science Foundation (NSF)); Lenfest Oceans Program at the Pew Charitable Trusts</t>
  </si>
  <si>
    <t>Many thanks to the numerous field biologists whose commitment to long-term studies in the Antarctic made this study possible. The Antarctic Ecosystem Research Division at the Southwest Fisheries Science Center, National Oceanic and Atmospheric Administration, and the National Science Foundation provided logistical and financial support to WZT and SGT for long-term data collection efforts. Additional support from the Lenfest Oceans Program at the Pew Charitable Trusts generously supported JTH during early development of this project. JTH conceived and conducted the analyses and wrote the paper. SGT and WZT designed and implemented the long-term study. JTH, SGT, and WZT collected data and contributed to revisions.</t>
  </si>
  <si>
    <t>2150-8925</t>
  </si>
  <si>
    <t>Ecosphere</t>
  </si>
  <si>
    <t>e01666</t>
  </si>
  <si>
    <t>10.1002/ecs2.1666</t>
  </si>
  <si>
    <t>EO2KV</t>
  </si>
  <si>
    <t>WOS:000396526300030</t>
  </si>
  <si>
    <t>Stewart, EJ; Liggett, D; Dawson, J</t>
  </si>
  <si>
    <t>Stewart, Emma J.; Liggett, Daniela; Dawson, Jackie</t>
  </si>
  <si>
    <t>The evolution of polar tourism scholarship: research themes, networks and agendas</t>
  </si>
  <si>
    <t>POLAR GEOGRAPHY</t>
  </si>
  <si>
    <t>Polar tourism; scholarship; collaboration; social network analysis; Arctic; Antarctic</t>
  </si>
  <si>
    <t>CRUISE TOURISM; CLIMATE-CHANGE; SEA-ICE; PLACE ATTACHMENT; NATIONAL-PARK; RESPONSES; BEAR; RESIDENTS; CHURCHILL; REPRESENTATION</t>
  </si>
  <si>
    <t>The growth in polar travel has been matched in recent decades by an intensification of scholarly activity related to many aspects of polar tourism. This paper systematically reviews 262 journal articles published on polar tourism (1980-2016) and identifies key research phases and themes. The development of the polar tourism scholarly network is documented through a social network analysis (SNA) and reveals a highly fragmented scholarly community with the exception of a dense principal core group of researchers. A research agenda outlining future research themes and priorities is proposed. The paper indicates that polar tourism research has now emerged from its infancy and now is more likely to be underpinned by empirical, multi-disciplinary and theoretically situated research than in the past.</t>
  </si>
  <si>
    <t>[Stewart, Emma J.] Lincoln Univ, Dept Tourism Sport &amp; Soc, Canterbury, New Zealand; [Liggett, Daniela] Univ Canterbury, Gateway Antarctica, Christchurch, New Zealand; [Dawson, Jackie] Univ Ottawa, Dept Geog Environm &amp; Geomat, Ottawa, ON, Canada</t>
  </si>
  <si>
    <t>Lincoln University - New Zealand; University of Canterbury; University of Ottawa</t>
  </si>
  <si>
    <t>Stewart, EJ (corresponding author), Lincoln Univ, Dept Tourism Sport &amp; Soc, Canterbury, New Zealand.</t>
  </si>
  <si>
    <t>emma.stewart@lincoln.ac.nz</t>
  </si>
  <si>
    <t>; Stewart, Emma/P-7189-2018</t>
  </si>
  <si>
    <t>Liggett, Daniela/0000-0003-4184-5205; Stewart, Emma/0000-0002-1573-9444</t>
  </si>
  <si>
    <t>Environment, Society and Policy Group (ESPG), Department of Geography, Environment and Geomatics at the University of Ottawa, Canada</t>
  </si>
  <si>
    <t>This work was supported by the Environment, Society and Policy Group (ESPG), Department of Geography, Environment and Geomatics at the University of Ottawa, Canada.</t>
  </si>
  <si>
    <t>1088-937X</t>
  </si>
  <si>
    <t>1939-0513</t>
  </si>
  <si>
    <t>POLAR GEOGR</t>
  </si>
  <si>
    <t>Polar Geogr.</t>
  </si>
  <si>
    <t>10.1080/1088937X.2016.1274789</t>
  </si>
  <si>
    <t>EO4WX</t>
  </si>
  <si>
    <t>WOS:000396696100004</t>
  </si>
  <si>
    <t>Lamarche, C; Santoro, M; Bontemps, S; d'Andrimont, R; Radoux, J; Giustarini, L; Brockmann, C; Wevers, J; Defourny, P; Arino, O</t>
  </si>
  <si>
    <t>Lamarche, Celine; Santoro, Maurizio; Bontemps, Sophie; d'Andrimont, Raphael; Radoux, Julien; Giustarini, Laura; Brockmann, Carsten; Wevers, Jan; Defourny, Pierre; Arino, Olivier</t>
  </si>
  <si>
    <t>Compilation and Validation of SAR and Optical Data Products for a Complete and Global Map of Inland/Ocean Water Tailored to the Climate Modeling Community</t>
  </si>
  <si>
    <t>REMOTE SENSING</t>
  </si>
  <si>
    <t>water; global; complete; compilation; accuracy; validation; stratified random sampling; marginal class; Climate Change Initiative; climate modeling community</t>
  </si>
  <si>
    <t>SURFACE-WATER; ACCURACY; LAKES; SENTINEL-1; CONVECTION; INVENTORY; SECURITY; ERROR; AREA</t>
  </si>
  <si>
    <t>Accurate maps of surface water extent are of paramount importance for water management, satellite data processing and climate modeling. Several maps of water bodies based on remote sensing data have been released during the last decade. Nonetheless, none has a truly (90 degrees N/90 degrees S) global coverage while being thoroughly validated. This paper describes a global, spatially-complete (void-free) and accurate mask of inland/ocean water for the 2000-2012 period, built in the framework of the European Space Agency (ESA) Climate Change Initiative (CCI). This map results from the synergistic combination of multiple individual SAR and optical water body and auxiliary datasets. A key aspect of this work is the original and rigorous stratified random sampling designed for the quality assessment of binary classifications where one class is marginally distributed. Input and consolidated products were assessed qualitatively and quantitatively against a reference validation database of 2110 samples spread throughout the globe. Using all samples, overall accuracy was always very high among all products, between 98% and 100 %. The CCI global map of open water bodies provided the best water class representation (F-score of 89%) compared to its constitutive inputs. When focusing on the challenging areas for water bodies' mapping, such as shorelines, lakes and river banks, all products yielded substantially lower accuracy figures with overall accuracies ranging between 74% and 89%. The inland water area of the CCI global map of open water bodies was estimated to be 3.17 million km(2) +/- 0.24 million km(2). The dataset is freely available through the ESA CCI Land Cover viewer.</t>
  </si>
  <si>
    <t>[Lamarche, Celine; Bontemps, Sophie; d'Andrimont, Raphael; Radoux, Julien; Defourny, Pierre] Catholic Univ Louvain, Earth &amp; Life Inst, Croix Sud 2, B-1348 Louvain La Neuve, Belgium; [Santoro, Maurizio] GAMMA Remote Sensing AG, CH-3073 Gumlingen, Switzerland; [Giustarini, Laura] Luxembourg Inst Sci &amp; Technol, L-4362 Esch Sur Alzette, Luxembourg; [Brockmann, Carsten; Wevers, Jan] Brockmann Consult GmbH, Max Planck Str 2, D-21502 Geesthacht, Germany; [Arino, Olivier] European Space Agcy, I-00044 Frascati, Italy</t>
  </si>
  <si>
    <t>Universite Catholique Louvain; GAMMA Remote Sensing AG; Luxembourg Institute of Science &amp; Technology; Max Planck Society; European Space Agency</t>
  </si>
  <si>
    <t>Lamarche, C (corresponding author), Catholic Univ Louvain, Earth &amp; Life Inst, Croix Sud 2, B-1348 Louvain La Neuve, Belgium.</t>
  </si>
  <si>
    <t>celine.lamarche@uclouvain.be; santoro@gamma-rs.ch; sophie.bontemps@uclouvain.be; raphael.dandrimont@uclouvain.be; julien.radoux@uclouvain.be; giustarini@list.lu; carsten.brockmann@brockmann-consult.de; jan.wevers@brockmann-consult.de; pierre.defourny@uclouvain.be; olivier.arino@esa.int</t>
  </si>
  <si>
    <t>d'Andrimont, Raphaël/AAD-5314-2019</t>
  </si>
  <si>
    <t>d'Andrimont, Raphaël/0000-0002-7326-7684; Wevers, Jan/0000-0001-7445-5233</t>
  </si>
  <si>
    <t>European Space Agency</t>
  </si>
  <si>
    <t>European Space Agency(European Space Agency)</t>
  </si>
  <si>
    <t>This work was undertaken within the Climate Change Initiative Land Cover project sponsored by the European Space Agency. The authors would like to acknowledge the free water bodies and auxiliary datasets used in the production of the CCI global map of open water bodies: Shuttle Radar Topography Mission Water Bodies Dataset (SWBD) (https://lta.cr.usgs.gov/srtm_water_body_dataset), Global Inland Water (GIW) v1.0 (http://www.landcover.org/data/watercover/), Global Forest Change (GFC)-datamask (http://earthenginepartners.appspot.com/science-2013-global-forest/download_v1.1.html), Antarctic Research Antarctic Digital Database (SCAR ADD) (http://www.add.scar.org/home/add6), Randolph Glacier Inventory (RGI) (http://www.glims.org/RGI/).</t>
  </si>
  <si>
    <t>MDPI</t>
  </si>
  <si>
    <t>BASEL</t>
  </si>
  <si>
    <t>ST ALBAN-ANLAGE 66, CH-4052 BASEL, SWITZERLAND</t>
  </si>
  <si>
    <t>2072-4292</t>
  </si>
  <si>
    <t>REMOTE SENS-BASEL</t>
  </si>
  <si>
    <t>Remote Sens.</t>
  </si>
  <si>
    <t>10.3390/rs9010036</t>
  </si>
  <si>
    <t>Environmental Sciences; Geosciences, Multidisciplinary; Remote Sensing; Imaging Science &amp; Photographic Technology</t>
  </si>
  <si>
    <t>Environmental Sciences &amp; Ecology; Geology; Remote Sensing; Imaging Science &amp; Photographic Technology</t>
  </si>
  <si>
    <t>EM7LN</t>
  </si>
  <si>
    <t>gold, Green Submitted, Green Published</t>
  </si>
  <si>
    <t>WOS:000395492600036</t>
  </si>
  <si>
    <t>He, LY; Ke, CQ; Zhou, XB; Cui, YN; Shan, L</t>
  </si>
  <si>
    <t>He, Li-Yin; Ke, Chang-Qing; Zhou, Xiaobing; Cui, Ya-Nan; Shan, Liang</t>
  </si>
  <si>
    <t>Antarctic sea ice change based on a new sea ice dataset from 1992 to 2008</t>
  </si>
  <si>
    <t>CLIMATE RESEARCH</t>
  </si>
  <si>
    <t>SICCI algorithm; Sea ice extent; Sea ice area; Sea surface temperature; Antarctica</t>
  </si>
  <si>
    <t>TRENDS; VARIABILITY; SATELLITE; EXTENT; CIRCULATION; ALGORITHMS; ATMOSPHERE</t>
  </si>
  <si>
    <t>The sea ice concentration dataset (covering the period 1992-2008) used in this study is a new dataset based on the Sea Ice Climate Change Initiative (SICCI) algorithm. We investigate whether the SICCI dataset is on a par with other datasets for studying sea ice cover changes in the Southern Ocean. We then examine spatiotemporal variations in sea ice derived from the SICCI dataset over the Southern Ocean, and analyse relationships of sea ice with sea surface temperature (SST). The results indicate that there is no significant difference between the SICCI dataset and the NASA Team dataset, and therefore the former can also be used for studying sea ice changes. Both sea ice extent (SIE) and sea ice area (SIA) derived from the SICCI dataset over the Southern Ocean increased slightly from 1992 to 2008, at rates of (17.75 +/- 11.50) x 10(3) and (17.37 +/- 9.51) x 10(3) km(2) yr(-1), respectively. Antarctic sea ice has significant seasonal variations; all seasonally averaged SIE and SIA show an increase, with spring showing the largest positive changing rate. The Weddell Sea, Ross Sea, and Indian Ocean have positive yearly changing rates in SIE and SIA, while the Bellingshausen/Amundsen seas and western Pacific Ocean have negative yearly changing rates. However, overall sea ice over the Southern Ocean has a slight positive trend, which is the same as the sea ice change pattern derived from the NASA Team dataset. This indicates that the contributions to the change in sea ice over the whole Southern Ocean due to the Weddell Sea, Ross Sea, and Indian Ocean dominate over those by the Bellingshausen/Amundsen seas and western Pacific Ocean. Further analysis shows that both SIE and SIA are negatively correlated with SST in the Southern Ocean or each of the 5 longitudinal sectors, and sea ice is more sensitive to SST in spring and autumn.</t>
  </si>
  <si>
    <t>[He, Li-Yin; Cui, Ya-Nan; Shan, Liang] Nanjing Univ, Sch Geog &amp; Oceanog Sci, Nanjing 210023, Jiangsu, Peoples R China; [He, Li-Yin] CALTECH, Div Geol &amp; Planetary Sci, 1200 East Calif Blvd, Pasadena, CA 91125 USA; [He, Li-Yin; Ke, Chang-Qing] Nanjing Univ, Jiangsu Prov Key Lab Geog Informat Sci &amp; Technol, Nanjing 210023, Jiangsu, Peoples R China; [Ke, Chang-Qing] Nanjing Univ, Collaborat Innovat Ctr South China Sea Studies, Nanjing 210023, Jiangsu, Peoples R China; [Ke, Chang-Qing] Nanjing Univ, Collaborat Innovat Ctr Novel Software Technol &amp; I, Nanjing 210023, Jiangsu, Peoples R China; [Zhou, Xiaobing] Univ Montana, Montana Tech, Dept Geophys Engn, 1300 West Pk St, Butte, MT 59701 USA</t>
  </si>
  <si>
    <t>Nanjing University; California Institute of Technology; Nanjing University; Nanjing University; Nanjing University; University of Montana System; Montana Technological University; University of Montana</t>
  </si>
  <si>
    <t>Ke, CQ (corresponding author), Nanjing Univ, Jiangsu Prov Key Lab Geog Informat Sci &amp; Technol, Nanjing 210023, Jiangsu, Peoples R China.;Ke, CQ (corresponding author), Nanjing Univ, Collaborat Innovat Ctr South China Sea Studies, Nanjing 210023, Jiangsu, Peoples R China.;Ke, CQ (corresponding author), Nanjing Univ, Collaborat Innovat Ctr Novel Software Technol &amp; I, Nanjing 210023, Jiangsu, Peoples R China.</t>
  </si>
  <si>
    <t>Program for National Nature Science Foundation of China [41371391, J1210015]; National Key Research and Development Program [2016YFA0600102]; Program for Foreign Cooperation of Chinese Arctic and Antarctic Administration [IC201301]</t>
  </si>
  <si>
    <t>Program for National Nature Science Foundation of China(National Natural Science Foundation of China (NSFC)); National Key Research and Development Program; Program for Foreign Cooperation of Chinese Arctic and Antarctic Administration</t>
  </si>
  <si>
    <t>This work was financially supported by the Program for National Nature Science Foundation of China ( No. 41371391, No. J1210015), the National Key Research and Development Program (2016YFA0600102), and the Program for Foreign Cooperation of Chinese Arctic and Antarctic Administration (No. IC201301). The SICCI sea ice concentration products used in this study were downloaded from the website http://icdc.zmaw.de. We thank the 2 anonymous reviewers and the editor for valuable comments and suggestions that greatly improved the quality of this paper.</t>
  </si>
  <si>
    <t>0936-577X</t>
  </si>
  <si>
    <t>1616-1572</t>
  </si>
  <si>
    <t>CLIM RES</t>
  </si>
  <si>
    <t>Clim. Res.</t>
  </si>
  <si>
    <t>10.3354/cr01436</t>
  </si>
  <si>
    <t>EK8OE</t>
  </si>
  <si>
    <t>WOS:000394182500005</t>
  </si>
  <si>
    <t>Hubert, G</t>
  </si>
  <si>
    <t>Hubert, G.</t>
  </si>
  <si>
    <t>Ground Albedo Neutron Impacts to Seasonal Variations of Cosmic-Ray-Induced Neutron in Medium Geomagnetic Latitude and Antarctica: Impacts on Soft Error Rate</t>
  </si>
  <si>
    <t>IEEE TRANSACTIONS ON NUCLEAR SCIENCE</t>
  </si>
  <si>
    <t>53rd IEEE Nuclear and Space Radiation Effects Conference (NSREC)</t>
  </si>
  <si>
    <t>JUL 11-15, 2016</t>
  </si>
  <si>
    <t>Portland, OR</t>
  </si>
  <si>
    <t>Cosmic-ray induced neutrons; GEANT4; ground albedo neutron; high-altitude stations; seasonal variations</t>
  </si>
  <si>
    <t>INDUCED UPSETS; SEU; SIMULATIONS; STATIONS; SRAMS; BULK</t>
  </si>
  <si>
    <t>This paper investigates the impact of ground albedo neutrons in the terrestrial radiation field and their seasonal variations. A modeling methodology is proposed, it is based on ATMORAD (atmospheric shower modeling) and GEANT4 simulations taking into account the soil characteristics and hydrogen content. This method was validated thanks to neutron measurements performed in two high altitude stations located in medium geomagnetic latitude and Antarctica (Pic-du-Midi and Concordia, respectively). Thus, the chemical rock composition, the density, the water content and the snow pack impacts to neutron spectrum were investigated. Simulated and measured spectra were compared. Analyses show that variations are dominant in the thermal domain (i. e. En &lt; 0.5 eV) and lesser degree in epithermal and evaporation domains (i. e. 0.5 eV &lt; En &lt; 0.1 MeV and 0.1 MeV &lt; En &lt; 20 MeV, respectively). The last part investigates the impact induced by the evaporation neutron contribution to Single Event Rate (more impacted by the ground albedo neutron). Results show that evaporation neutrons contribution to the total SER should be assessed for high-sensitive technologies.</t>
  </si>
  <si>
    <t>[Hubert, G.] French Aerosp Lab ONERA, Toulouse, France</t>
  </si>
  <si>
    <t>National Office for Aerospace Studies &amp; Research (ONERA)</t>
  </si>
  <si>
    <t>Hubert, G (corresponding author), French Aerosp Lab ONERA, Toulouse, France.</t>
  </si>
  <si>
    <t>Guillaume.hubert@onera.fr</t>
  </si>
  <si>
    <t>hubert, guillaume/0000-0002-3537-9642</t>
  </si>
  <si>
    <t>IPEV (French Polar Institute, Institut Paul-Emile Victor) [112]</t>
  </si>
  <si>
    <t>IPEV (French Polar Institute, Institut Paul-Emile Victor)</t>
  </si>
  <si>
    <t>This work was supported by the IPEV (French Polar Institute, Institut Paul-Emile Victor) in the framework of the program no. 1112 (CHINSTRAP, Continuous High-altitude Investigation of Neutron Spectra for Terrestrial Radiation Antarctic Project).</t>
  </si>
  <si>
    <t>0018-9499</t>
  </si>
  <si>
    <t>1558-1578</t>
  </si>
  <si>
    <t>IEEE T NUCL SCI</t>
  </si>
  <si>
    <t>IEEE Trans. Nucl. Sci.</t>
  </si>
  <si>
    <t>10.1109/TNS.2016.2614540</t>
  </si>
  <si>
    <t>Engineering, Electrical &amp; Electronic; Nuclear Science &amp; Technology</t>
  </si>
  <si>
    <t>Engineering; Nuclear Science &amp; Technology</t>
  </si>
  <si>
    <t>EO0RB</t>
  </si>
  <si>
    <t>WOS:000396404500087</t>
  </si>
  <si>
    <t>Vankayala, SL; Kearns, FL; Baker, BJ; Larkin, JD; Woodcock, HL</t>
  </si>
  <si>
    <t>Vankayala, Sai Lakshmana; Kearns, Fiona L.; Baker, Bill J.; Larkin, Joseph D.; Woodcock, H. Lee</t>
  </si>
  <si>
    <t>Elucidating a chemical defense mechanism of Antarctic sponges: A computational study</t>
  </si>
  <si>
    <t>JOURNAL OF MOLECULAR GRAPHICS &amp; MODELLING</t>
  </si>
  <si>
    <t>P450 enzyme; Erebusinone; Xanthurenic acid; Homology modeling; Molecular dynamics simulations; Aromatic interactions</t>
  </si>
  <si>
    <t>AROMATIC-AROMATIC INTERACTIONS; CATION-PI INTERACTIONS; GENERAL FORCE-FIELD; PROTEIN-STRUCTURE; SIDE-CHAIN; CYTOCHROME-P450 3A4; ECDYSONE SYNTHESIS; ACCURATE DOCKING; BOMBYX-MORI; P450 ENZYME</t>
  </si>
  <si>
    <t>In 2000, a novel secondary metabolite (erebusinone, Ereb) was isolated from the Antarctic sea sponge, Isodictya erinacea. The bioactivity of Ereb was investigated, and it was found to inhibit molting when fed to the arthropod species Orchomene plebs. Xanthurenic acid (XA) is a known endogenous molt regulator present in arthropods. Experimental studies have confirmed that XA inhibits molting by binding to either (or both) of two P450 enzymes (CYP315a1 or CYP314a1) that are responsible for the final two hydroxylations in the production of the molt-inducing hormone, 20-hydroxyecdysone (20E). The lack of crystal structures and biochemical assays for CYP315a1 or CYP314a1, has prevented further experimental exploration of XA and Ereb's molt inhibition mechanisms. Herein, a wide array of computational techniques - homology modeling, molecular dynamics simulations, binding site bioinformatics, flexible receptor-flexible ligand docking, and molecular mechanics-generalized Born surface area calculations - have been employed to elucidate the structure-function relationships between the aforementioned P450s and the two described small molecule inhibitors (Ereb and XA). Results indicate that Ereb likely targets CYP315a1 by interacting with a network of aromatic residues in the binding site, while XA may inhibit both CYP315a1 and CYP314a1 because of its aromatic, as well as charged nature. (C) 2016 Published by Elsevier Inc.</t>
  </si>
  <si>
    <t>[Vankayala, Sai Lakshmana; Kearns, Fiona L.; Baker, Bill J.; Woodcock, H. Lee] Univ S Florida, Dept Chem, 4202 E Fowler Ave,CHE205, Tampa, FL 33620 USA; [Larkin, Joseph D.] Eckerd Coll, Dept Chem, 4200 54th Ave South, St Petersburg, FL 33711 USA</t>
  </si>
  <si>
    <t>Woodcock, HL (corresponding author), Univ S Florida, Dept Chem, 4202 E Fowler Ave,CHE205, Tampa, FL 33620 USA.</t>
  </si>
  <si>
    <t>hlw@usf.edu</t>
  </si>
  <si>
    <t>Baker, Bill/N-4312-2019; Woodcock, Henry/M-6255-2019</t>
  </si>
  <si>
    <t>Woodcock, Henry/0000-0003-3539-273X; Kearns, Fiona/0000-0002-5469-9035</t>
  </si>
  <si>
    <t>NIH [1K22HL088341-01A1, 5K22HL113045]; NSF [CHE-1156853, CHE-1531590, CHE-1464946]; University of South Florida (start-up); National Science Foundation (XSEDE grant) [ACI-1053575, MCB120133]; Direct For Mathematical &amp; Physical Scien; Division Of Chemistry [1464946, 1531590] Funding Source: National Science Foundation; Directorate For Geosciences; Office of Polar Programs (OPP) [1341339] Funding Source: National Science Foundation</t>
  </si>
  <si>
    <t>NIH(United States Department of Health &amp; Human ServicesNational Institutes of Health (NIH) - USA); NSF(National Science Foundation (NSF)); University of South Florida (start-up); National Science Foundation (XSEDE grant)(National Science Foundation (NSF)); Direct For Mathematical &amp; Physical Scien; Division Of Chemistry(National Science Foundation (NSF)NSF - Directorate for Mathematical &amp; Physical Sciences (MPS)); Directorate For Geosciences; Office of Polar Programs (OPP)(National Science Foundation (NSF)NSF - Directorate for Geosciences (GEO))</t>
  </si>
  <si>
    <t>The authors would like to acknowledge NIH (1K22HL088341-01A1), NIH (5K22HL113045), NSF (CHE-1156853, CHE-1531590, CHE-1464946), and the University of South Florida (start-up) for funding. Computations were performed on local USF computers at the USF Research Computing Center. Also, this work used the Extreme Science and Engineering Discovery Environment (XSEDE), which is supported by National Science Foundation grant number ACI-1053575 (XSEDE grant MCB120133).</t>
  </si>
  <si>
    <t>ELSEVIER SCIENCE INC</t>
  </si>
  <si>
    <t>STE 800, 230 PARK AVE, NEW YORK, NY 10169 USA</t>
  </si>
  <si>
    <t>1093-3263</t>
  </si>
  <si>
    <t>1873-4243</t>
  </si>
  <si>
    <t>J MOL GRAPH MODEL</t>
  </si>
  <si>
    <t>J. Mol. Graph.</t>
  </si>
  <si>
    <t>10.1016/j.jmgm.2016.11.004</t>
  </si>
  <si>
    <t>Biochemical Research Methods; Biochemistry &amp; Molecular Biology; Computer Science, Interdisciplinary Applications; Crystallography; Mathematical &amp; Computational Biology</t>
  </si>
  <si>
    <t>Biochemistry &amp; Molecular Biology; Computer Science; Crystallography; Mathematical &amp; Computational Biology</t>
  </si>
  <si>
    <t>EK6VA</t>
  </si>
  <si>
    <t>WOS:000394062800011</t>
  </si>
  <si>
    <t>Garbuz, DG; Evgen'ev, MB</t>
  </si>
  <si>
    <t>Garbuz, D. G.; Evgen'ev, M. B.</t>
  </si>
  <si>
    <t>The evolution of heat shock genes and expression patterns of heat shock proteins in the species from temperature contrasting habitats</t>
  </si>
  <si>
    <t>RUSSIAN JOURNAL OF GENETICS</t>
  </si>
  <si>
    <t>heat shock genes; heat shock proteins; evolution of multigene families; adaptation; thermotolerance</t>
  </si>
  <si>
    <t>FISH TREMATOMUS-BERNACCHII; CONTINUOUS UP-REGULATION; HSP70 MULTIGENE FAMILY; DROSOPHILA-MELANOGASTER; ANTARCTIC FISH; MOLECULAR CHAPERONES; LOCAL TRANSPOSITION; CONCERTED EVOLUTION; GENOMIC STRUCTURE; ALPHA-CRYSTALLIN</t>
  </si>
  <si>
    <t>Heat shock genes are the most evolutionarily ancient among the systems responsible for adaptation of organisms to a harsh environment. The encoded proteins (heat shock proteins, Hsps) represent the most important factors of adaptation to adverse environmental conditions. They serve as molecular chaperones, providing protein folding and preventing aggregation of damaged cellular proteins. Structural analysis of the heat shock genes in individuals from both phylogenetically close and very distant taxa made it possible to reveal the basic trends of the heat shock gene organization in the context of adaptation to extreme conditions. Using different model objects and nonmodel species from natural populations, it was demonstrated that modulation of the Hsps expression during adaptation to different environmental conditions could be achieved by changing the number and structural organization of heat shock genes in the genome, as well as the structure of their promoters. It was demonstrated that thermotolerant species were usually characterized by elevated levels of Hsps under normal temperature or by the increase in the synthesis of these proteins in response to heat shock. Analysis of the heat shock genes in phylogenetically distant organisms is of great interest because, on one hand, it contributes to the understanding of the molecular mechanisms of evolution of adaptogenes and, on the other hand, sheds the light on the role of different Hsps families in the development of thermotolerance and the resistance to other stress factors.</t>
  </si>
  <si>
    <t>[Garbuz, D. G.; Evgen'ev, M. B.] Russian Acad Sci, Engelhardt Inst Mol Biol, Moscow 119991, Russia</t>
  </si>
  <si>
    <t>Russian Academy of Sciences; Engelhardt Institute of Molecular Biology, RAS</t>
  </si>
  <si>
    <t>Garbuz, DG (corresponding author), Russian Acad Sci, Engelhardt Inst Mol Biol, Moscow 119991, Russia.</t>
  </si>
  <si>
    <t>dgarbuz@yandex.ru</t>
  </si>
  <si>
    <t>Garbuz, David/Q-7522-2016</t>
  </si>
  <si>
    <t>Ministry of Education and Science of the Russian Federation [14.Z50.31.0014]</t>
  </si>
  <si>
    <t>This study was supported by a grant of the Ministry of Education and Science of the Russian Federation (grant no. 14.Z50.31.0014).</t>
  </si>
  <si>
    <t>1022-7954</t>
  </si>
  <si>
    <t>1608-3369</t>
  </si>
  <si>
    <t>RUSS J GENET+</t>
  </si>
  <si>
    <t>Russ. J. Genet.</t>
  </si>
  <si>
    <t>10.1134/S1022795417010069</t>
  </si>
  <si>
    <t>EK8FQ</t>
  </si>
  <si>
    <t>WOS:000394159700003</t>
  </si>
  <si>
    <t>Pérez, LF; Maldonado, A; Hernández-Molina, FJ; Lodolo, E; Bohoyo, F; Galindo-Zaldívar, J</t>
  </si>
  <si>
    <t>Perez, Lara F.; Maldonado, Andres; Hernandez-Molina, Francisco Javier; Lodolo, Emanuele; Bohoyo, Fernando; Galindo-Zaldivar, Jesus</t>
  </si>
  <si>
    <t>Tectonic and oceanographic control of sedimentary patterns in a small oceanic basin: Dove Basin (Scotia Sea, Antarctica)</t>
  </si>
  <si>
    <t>BASIN RESEARCH</t>
  </si>
  <si>
    <t>DEEP-WATER CIRCULATION; DRAKE PASSAGE; PLATE BOUNDARY; SOUTHERN-OCEAN; ICE-SHEET; BOTTOM WATER; EVOLUTION; RIDGE; ARC; MIOCENE</t>
  </si>
  <si>
    <t>Dove Basin, a small oceanic domain located within the southern Scotia Sea, evidences a complex tectonic evolution linked to the development of the Scotia Arc. The basin also straddles the junction between the main Southern Ocean water masses: the Antarctic Circumpolar Current (ACC), the Southeast Pacific Deep Water (SPDW) and the Weddell Sea Deep Water (WSDW). Analysis of multichannel seismic reflection profiles, together with swath bathymetry data, reveals the main structure and sediment distribution of the basin, allowing a reconstruction of the tectonostratigraphic evolution of the basin and assessment of the main bottom water flows that influenced its depositional development. Sediment dispersed in the basin was largely influenced by gravity-driven transport from adjacent continental margins, later modified by deep bottom currents. Sediments derived from melting icebergs and extensive ice sheets also contributed to a fraction of the basin deposits. We identify four stages in the basin evolution which - based on regional age assumptions - took place during the early Miocene, middle Miocene, late Miocene-early Pliocene and late Pliocene-Quaternary. The onsets of the ACC flow in Dove Basin during the early Miocene, the WSDW flow during the middle Miocene, and the SPDW during the late Miocene were influenced by tectonic events that facilitated the opening of new oceanic gateways in the region. The analysis of Dove Basin reveals that tectonics is a primary factor influencing its sedimentary stacking patterns, the structural development of new oceanic gateways permitting the inception of deep-water flows that have since controlled the sedimentary processes.</t>
  </si>
  <si>
    <t>[Perez, Lara F.] Geol Survey Denmark &amp; Greenland GEUS, Dept Geophys, Copenhagen, Denmark; [Maldonado, Andres; Galindo-Zaldivar, Jesus] Inst Andaluz Ciencias Tierra CSIC UGR, Granada, Spain; [Hernandez-Molina, Francisco Javier] Royal Holloway Univ London, Dept Earth Sci, Egham, Surrey, Uruguay; [Lodolo, Emanuele] Ist Nazl Oceanog &amp; Geofis Sperimentale OGS, Appl Geophys, Trieste, Italy; [Bohoyo, Fernando] IGME, Madrid, Spain; [Galindo-Zaldivar, Jesus] Univ Granada, Dept Geodinam, Granada, Spain</t>
  </si>
  <si>
    <t>Geological Survey Of Denmark &amp; Greenland; Consejo Superior de Investigaciones Cientificas (CSIC); CSIC - Instituto Andaluz de Ciencias de la Tierra (IACT); University of Granada; Istituto Nazionale di Oceanografia e di Geofisica Sperimentale; University of Granada</t>
  </si>
  <si>
    <t>Pérez, LF (corresponding author), Geol Survey Denmark &amp; Greenland, Dept Geophys, Oester Voldgade 10, DK-1350 Copenhagen, Denmark.</t>
  </si>
  <si>
    <t>lfp@geus.dk</t>
  </si>
  <si>
    <t>Bohoyo, Fernando/AAZ-5990-2021; Galindo-Zaldivar, Jesus/K-3640-2012; Bohoyo, Fernando/C-1062-2011; Pérez, Lara F./H-3572-2015</t>
  </si>
  <si>
    <t>Bohoyo, Fernando/0000-0002-1044-8816; Galindo-Zaldivar, Jesus/0000-0002-3493-2637; Bohoyo, Fernando/0000-0002-1044-8816; Pérez, Lara F./0000-0002-6229-4564; LODOLO, Emanuele/0000-0002-4706-2095</t>
  </si>
  <si>
    <t>CSIC; PNRA (Programma Nazionale di Ricerche in Antartide) project - Italian Ministry of Education, University and Research; COMPASS consortium; [CTM2011-30241-C01/02ANT]; [CTM2011-13970-E]; [CTM2012-39599-C03]; [IGCP-619]</t>
  </si>
  <si>
    <t>CSIC; PNRA (Programma Nazionale di Ricerche in Antartide) project - Italian Ministry of Education, University and Research; COMPASS consortium; ; ; ;</t>
  </si>
  <si>
    <t>This study was funded through projects CTM2011-30241-C01/02ANT, special action CTM2011-13970-E, and is related to projects CTM2012-39599-C03 and IGCP-619. The corresponding author acknowledges a JAE-Predoctoral fellowship from CSIC as well as a PNRA (Programma Nazionale di Ricerche in Antartide) project funded by the Italian Ministry of Education, University and Research. This latter funding supported the corresponding author's short-term stay at OGS (Italy) in 2013. This study was also partially supported by the COMPASS consortium and performed in collaboration with the Continental Margins Research Group (CMRG) at Royal Holloway University of London (UK). Seismic interpretation was performed using the Kingdom Suite TM software package. We thank the Antarctic Seismic Data Library System for access to some of the data interpreted in this study. Finally, we acknowledge the work done by Prof. Christopher Jackson as editor of Basin Research, and the two anonymous reviewers who evaluated the original manuscript and greatly contributed to its final improvement.</t>
  </si>
  <si>
    <t>0950-091X</t>
  </si>
  <si>
    <t>1365-2117</t>
  </si>
  <si>
    <t>BASIN RES</t>
  </si>
  <si>
    <t>Basin Res.</t>
  </si>
  <si>
    <t>S1</t>
  </si>
  <si>
    <t>10.1111/bre.12148</t>
  </si>
  <si>
    <t>EK0JK</t>
  </si>
  <si>
    <t>WOS:000393612500013</t>
  </si>
  <si>
    <t>Nedbalová, L; Mihál, M; Kvíderová, J; Procházková, L; Rezanka, T; Elster, J</t>
  </si>
  <si>
    <t>Nedbalova, Linda; Mihal, Martin; Kviderova, Jana; Prochazkova, Lenka; Rezanka, Tomas; Elster, Josef</t>
  </si>
  <si>
    <t>Identity, ecology and ecophysiology of planktic green algae dominating in ice-covered lakes on James Ross Island (northeastern Antarctic Peninsula)</t>
  </si>
  <si>
    <t>EXTREMOPHILES</t>
  </si>
  <si>
    <t>11th International Congress on Extremophiles</t>
  </si>
  <si>
    <t>SEP 12-16, 2016</t>
  </si>
  <si>
    <t>Kyoto, JAPAN</t>
  </si>
  <si>
    <t>Monoraphidium; Ice-covered lakes; Antarctica; Phylogeny; Ecology; Temperature; Light; Fatty acids</t>
  </si>
  <si>
    <t>POLYUNSATURATED FATTY-ACIDS; CHLAMYDOMONAS-RAUDENSIS; PHYLOGENETIC POSITION; SECONDARY STRUCTURE; CHLOROPHYTA; GROWTH; ITS2; PHOTOSYNTHESIS; SELENASTRACEAE; CYANOBACTERIA</t>
  </si>
  <si>
    <t>The aim of this study was to assess the phylogenetic relationships, ecology and ecophysiological characteristics of the dominant planktic algae in ice-covered lakes on James Ross Island (northeastern Antarctic Peninsula). Phylogenetic analyses of 18S rDNA together with analysis of ITS2 rDNA secondary structure and cell morphology revealed that the two strains belong to one species of the genus Monoraphidium (Chlorophyta, Sphaeropleales, Selenastraceae) that should be described as new in future. Immotile green algae are thus apparently capable to become the dominant primary producer in the extreme environment of Antarctic lakes with extensive ice-cover. The strains grew in a wide temperature range, but the growth was inhibited at temperatures above 20 A degrees C, indicating their adaptation to low temperature. Preferences for low irradiances reflected the light conditions in their original habitat. Together with relatively high growth rates (0.4-0.5 day(-1)) and unprecedently high content of polyunsaturated fatty acids (PUFA, more than 70% of total fatty acids), it makes these isolates interesting candidates for biotechnological applications.</t>
  </si>
  <si>
    <t>[Nedbalova, Linda; Mihal, Martin; Prochazkova, Lenka] Charles Univ Prague, Dept Ecol, Fac Sci, Vinicna 7, Prague 12844, Czech Republic; [Nedbalova, Linda; Kviderova, Jana; Elster, Josef] CAS, Inst Bot, Ctr Phycol, Dukelska 135, Trebon 37982, Czech Republic; [Kviderova, Jana; Elster, Josef] Univ South Bohemia, Fac Sci, Ctr Polar Ecol, Branisovska 1760, Ceske Budejovice 37005, Czech Republic; [Rezanka, Tomas] CAS, Inst Microbiol, Videnska 1083, Prague 14220, Czech Republic</t>
  </si>
  <si>
    <t>Charles University Prague; Czech Academy of Sciences; Institute of Botany of the Czech Academy of Sciences; University of South Bohemia Ceske Budejovice; Czech Academy of Sciences; Institute of Microbiology of the Czech Academy of Sciences</t>
  </si>
  <si>
    <t>Nedbalová, L (corresponding author), Charles Univ Prague, Dept Ecol, Fac Sci, Vinicna 7, Prague 12844, Czech Republic.;Nedbalová, L (corresponding author), CAS, Inst Bot, Ctr Phycol, Dukelska 135, Trebon 37982, Czech Republic.</t>
  </si>
  <si>
    <t>lindane@natur.cuni.cz</t>
  </si>
  <si>
    <t>Nedbalová, Linda/AFF-8321-2022; Kviderova, Jana/B-1295-2009; Rezanka, Tomas/A-8399-2008; Elster, Josef/B-1031-2008; Nedbalová, Linda/AAF-1001-2022; Procházková, Lenka/M-3377-2017</t>
  </si>
  <si>
    <t>Nedbalová, Linda/0000-0003-1800-714X; Nedbalová, Linda/0000-0003-1800-714X; Procházková, Lenka/0000-0003-3995-6483; Kviderova, Jana/0000-0002-5700-477X; Elster, Josef/0000-0002-4535-5636</t>
  </si>
  <si>
    <t>CzechPolar project by Ministry of Education Youth and Sports of the Czech Republic [LM2010009]; CzechPolar2 project by Ministry of Education Youth and Sports of the Czech Republic [LM2015078]; Czech Science Foundation (GACR) [P503 14-00227S]; Institutional Internal Project [RVO67985939]</t>
  </si>
  <si>
    <t>CzechPolar project by Ministry of Education Youth and Sports of the Czech Republic; CzechPolar2 project by Ministry of Education Youth and Sports of the Czech Republic; Czech Science Foundation (GACR)(Grant Agency of the Czech Republic); Institutional Internal Project</t>
  </si>
  <si>
    <t>The research was supported by the CzechPolar project LM2010009 and CzechPolar2 project LM2015078 supported by Ministry of Education Youth and Sports of the Czech Republic, Czech Science Foundation (GACR) project P503 14-00227S and by the Institutional Internal Project RVO67985939. We are indebted particularly to the staff and scientific infrastructure of the J. G. Mendel Czech Antarctic Station.</t>
  </si>
  <si>
    <t>CHIYODA FIRST BLDG EAST, 3-8-1 NISHI-KANDA, CHIYODA-KU, TOKYO, 101-0065, JAPAN</t>
  </si>
  <si>
    <t>1431-0651</t>
  </si>
  <si>
    <t>1433-4909</t>
  </si>
  <si>
    <t>Extremophiles</t>
  </si>
  <si>
    <t>10.1007/s00792-016-0894-y</t>
  </si>
  <si>
    <t>Biochemistry &amp; Molecular Biology; Microbiology</t>
  </si>
  <si>
    <t>EK0VJ</t>
  </si>
  <si>
    <t>WOS:000393644900017</t>
  </si>
  <si>
    <t>Zilberman, NV; Roemmich, DH; Gille, ST</t>
  </si>
  <si>
    <t>Zilberman, N. V.; Roemmich, D. H.; Gille, S. T.</t>
  </si>
  <si>
    <t>The East Pacific Rise current: Topographic enhancement of the interior flow in the South Pacific Ocean</t>
  </si>
  <si>
    <t>Meridional circulation; ocean interior; Sverdrup balance; Argo data; topographic steering; East Pacific Rise</t>
  </si>
  <si>
    <t>SVERDRUP BALANCE; CIRCULATION; INTERMEDIATE; VARIABILITY; VELOCITIES; BUDGET</t>
  </si>
  <si>
    <t>Observations of absolute velocity based on Argo float profiles and trajectories in the ocean interior show evidence for an equatorward current, the East Pacific Rise current, between 42 degrees S and 30 degrees S, along the western flank of the East Pacific Rise. The East Pacific Rise current carries predominantly intermediate water masses, including Subantarctic Mode Water and Antarctic Intermediate Water, and deeper waters, from the southern edge of the subtropical gyre toward the Equator. The 2004 to 2014 mean East Pacific Rise current transport extrapolated through the 0-2600m depth range is 8.11.6 sverdrup (Sv) (1 Sv=10(6)m(3)s(-1)), consistent with a wind-driven interior transport influenced by the East Pacific Rise topography. While deep ocean mixing and geothermal heating can both create pressure gradients that support geostrophic flows in the deep ocean, this study indicates that about half of the East Pacific Rise current transport is associated with topographic steering of the deep flow over the East Pacific Rise.</t>
  </si>
  <si>
    <t>[Zilberman, N. V.; Roemmich, D. H.; Gille, S. T.] Univ Calif San Diego, Scripps Inst Oceanog, La Jolla, CA 92093 USA</t>
  </si>
  <si>
    <t>University of California System; University of California San Diego; Scripps Institution of Oceanography</t>
  </si>
  <si>
    <t>Zilberman, NV (corresponding author), Univ Calif San Diego, Scripps Inst Oceanog, La Jolla, CA 92093 USA.</t>
  </si>
  <si>
    <t>nzilberman@ucsd.edu</t>
  </si>
  <si>
    <t>Gille, Sarah T./B-3171-2012</t>
  </si>
  <si>
    <t>Gille, Sarah/0000-0001-9144-4368; Zilberman, Nathalie/0000-0002-5855-1994</t>
  </si>
  <si>
    <t>U.S. Argo through NOAA [NA10OAR4310139]; NASA [NNX13AE82G]; NASA [474141, NNX13AE82G] Funding Source: Federal RePORTER</t>
  </si>
  <si>
    <t>U.S. Argo through NOAA; NASA(National Aeronautics &amp; Space Administration (NASA)); NASA(National Aeronautics &amp; Space Administration (NASA))</t>
  </si>
  <si>
    <t>The Argo data used here (http://dx.doi.org/10.12770/7693bfc1-a695-484d-a55c-7453d54719ec) were collected and made freely available by the International Argo Program and by the national programs that contribute to it. The authors thank John Gilson, Megan Scanderbeg, and Lisa Lehmann for valuable suggestions. This work was supported by U.S. Argo through NOAA grant NA10OAR4310139 (SIO CIMEC Argo) and NASA grant NNX13AE82G.</t>
  </si>
  <si>
    <t>10.1002/2016GL069039</t>
  </si>
  <si>
    <t>EK5GM</t>
  </si>
  <si>
    <t>WOS:000393954900033</t>
  </si>
  <si>
    <t>Carvalho, F; Kohut, J; Oliver, MJ; Schofield, O</t>
  </si>
  <si>
    <t>Carvalho, Filipa; Kohut, Josh; Oliver, Matthew J.; Schofield, Oscar</t>
  </si>
  <si>
    <t>Defining the ecologically relevant mixed-layer depth for Antarctica's coastal seas</t>
  </si>
  <si>
    <t>mixed-layer depth; phytoplankton; Antarctica; gliders</t>
  </si>
  <si>
    <t>SOUTHERN-OCEAN; PHYTOPLANKTON COMMUNITY; CONTINENTAL-SHELF; ROSS SEA; PENINSULA; WEST; DYNAMICS; GLIDERS; LIGHT</t>
  </si>
  <si>
    <t>Mixed-layer depth (MLD) has been widely linked to phytoplankton dynamics in Antarctica's coastal regions; however, inconsistent definitions have made intercomparisons among region-specific studies difficult. Using a data set with over 20,000 water column profiles corresponding to 32 Slocum glider deployments in three coastal Antarctic regions (Ross Sea, Amundsen Sea, and West Antarctic Peninsula), we evaluated the relationship between MLD and phytoplankton vertical distribution. Comparisons of these MLD estimates to an applied definition of phytoplankton bloom depth, as defined by the deepest inflection point in the chlorophyll profile, show that the maximum of buoyancy frequency is a good proxy for an ecologically relevant MLD. A quality index is used to filter profiles where MLD is not determined. Despite the different regional physical settings, we found that the MLD definition based on the maximum of buoyancy frequency best describes the depth to which phytoplankton can be mixed in Antarctica's coastal seas.</t>
  </si>
  <si>
    <t>[Carvalho, Filipa; Kohut, Josh; Schofield, Oscar] Rutgers State Univ, Dept Marine &amp; Coastal Sci, New Brunswick, NJ 08901 USA; [Oliver, Matthew J.] Univ Delaware, Coll Earth Ocean &amp; Environm, Lewes, DE 19958 USA</t>
  </si>
  <si>
    <t>Rutgers University System; Rutgers University New Brunswick; University of Delaware</t>
  </si>
  <si>
    <t>Carvalho, F (corresponding author), Rutgers State Univ, Dept Marine &amp; Coastal Sci, New Brunswick, NJ 08901 USA.</t>
  </si>
  <si>
    <t>filipa@marine.rutgers.edu</t>
  </si>
  <si>
    <t>Carvalho, Filipa/B-7223-2017; Schofield, Oscar/H-4169-2018</t>
  </si>
  <si>
    <t>Carvalho, Filipa/0000-0002-8355-4329; Schofield, Oscar/0000-0003-2359-4131</t>
  </si>
  <si>
    <t>National Science Foundation [ANT-0823101, ANT-1327248, ANT-1326541, ANT-0839039, ANT-0838995]; Korean Polar Research Institute [PP1502]; Fundacao para a Ciencia e Tecnologia [DFRH - SFRH/BD/72705/2010]; Directorate For Geosciences; Office of Polar Programs (OPP) [1326541, 1331681] Funding Source: National Science Foundation</t>
  </si>
  <si>
    <t>National Science Foundation(National Science Foundation (NSF)); Korean Polar Research Institute; Fundacao para a Ciencia e Tecnologia(Fundacao para a Ciencia e a Tecnologia (FCT)); Directorate For Geosciences; Office of Polar Programs (OPP)(National Science Foundation (NSF)NSF - Directorate for Geosciences (GEO))</t>
  </si>
  <si>
    <t>We thank the crews of R/V Nathaniel B. Palmer, ARSV Laurence M. Gould, R/V Araon, Palmer Station support staff, and the Rutgers glider team for facilitating our long-term data collection efforts. We also wish to thank five anonymous reviewers for their suggestions regarding the analysis in this paper. The research was supported by the National Science Foundation grants ANT-0823101 (Palmer-LTER), ANT-1327248, and ANT-1326541 (CONVERGE), ANT-0839039 (SEAFAReRS), ANT-0838995 (ASPIRE), and the Korean Polar Research Institute grant PP1502 (KOPRI). Filipa Carvalho was funded by a Portuguese doctoral fellowship from Fundacao para a Ciencia e Tecnologia (DFRH - SFRH/BD/72705/2010). Glider data can be accessed at ERDDAP server at http://erddap.marine.rutgers.edu/erddap/info/.</t>
  </si>
  <si>
    <t>10.1002/2016GL071205</t>
  </si>
  <si>
    <t>WOS:000393954900040</t>
  </si>
  <si>
    <t>Muryshev, KE; Eliseev, AV; Mokhov, II; Timazhev, AV</t>
  </si>
  <si>
    <t>Muryshev, Kirill E.; Eliseev, Alexey V.; Mokhov, Igor I.; Timazhev, Alexandr V.</t>
  </si>
  <si>
    <t>Lead-lag relationships between global mean temperature and the atmospheric CO2 content in dependence of the type and time scale of the forcing</t>
  </si>
  <si>
    <t>GLOBAL AND PLANETARY CHANGE</t>
  </si>
  <si>
    <t>Climate change origins; Climate-carbon cycle interactions; Mutual lags; IAP RAS CM</t>
  </si>
  <si>
    <t>CARBON-CYCLE FEEDBACK; EARTH SYSTEM MODELS; INTERMEDIATE COMPLEXITY; GREENHOUSE-GAS; CLIMATE-CHANGE; ANTARCTIC TEMPERATURE; ANTHROPOGENIC FACTORS; SOUTHERN-OCEAN; PHASE RELATION; PART II</t>
  </si>
  <si>
    <t>By employing an Earth system model of intermediate complexity (EMIC) developed at the A.M. Obukhov Institute of Atmospheric Physics, Russian Academy of Sciences (IAP RAS CM), mutual lags between global mean surface air temperature, T and the atmospheric CO2 content, q, in dependence of the type and time scale of the external forcing are explored. In the simulation, which follows the protocol of the Coupled Models Intercomparison Project, phase 5, T leads q for volcanically-induced climate variations. In contrast, T lags behind q for changes caused by anthropogenic CO2 emissions into the atmosphere. In additional idealized numerical experiments, driven by periodic external emissions of carbon dioxide into the atmosphere, T always lags behind q as expected. In contrast, if the model is driven by the periodic non-greenhouse radiative forcing, T leads q for the external forcing time scale &lt;= 4 x10(2) yr, while q leads Tat longer scales. The latter is an example that lagged correlations do not necessarily represent causal relationships in a system. This apparently counter-intuitive result, however, is a direct consequence of i) temperature sensitivity of the soil carbon stock (which decreases if climate is warmed and increases if climate is cooled), ii) conservation of total mass of carbon in the system in the absence of external carbon emissions, iii) increased importance of the oceanic branch of the carbon cycle at longer time scales. The results obtained with an EMIC are further interpreted with a conceptual Earth system model consisting of an energy balance climate model and a globally averaged carbon cycle model. The obtained results have implications to the empirical studies attempting to understand the origins of the contemporary climate change by applying lead lag relationships to empirical data. (C) 2016 Elsevier B.V. All rights reserved.</t>
  </si>
  <si>
    <t>[Muryshev, Kirill E.; Eliseev, Alexey V.; Mokhov, Igor I.; Timazhev, Alexandr V.] RAS, AM Obukhov Inst Atmospher Phys, Moscow, Russia; [Muryshev, Kirill E.; Eliseev, Alexey V.; Timazhev, Alexandr V.] Russian Acad Sci, Inst Appl Phys, Nizhnii Novgorod, Russia; [Eliseev, Alexey V.] Kazan Fed Univ, Kazan, Russia; [Mokhov, Igor I.] Moscow MV Lomonosov State Univ, Moscow, Russia</t>
  </si>
  <si>
    <t>Russian Academy of Sciences; Obukhov Institute of Atmospheric Physics of Russian Academy of Sciences; Russian Academy of Sciences; Institute of Applied Physics of the Russian Academy of Sciences; Kazan Federal University; Lomonosov Moscow State University</t>
  </si>
  <si>
    <t>Eliseev, AV (corresponding author), Russian Acad Sci, AM Obukhov Inst Atmospher Phys, 3 Pyzhevsky, Moscow 119017, Russia.</t>
  </si>
  <si>
    <t>kmuryshev@mail.ru; eliseev@ifaran.ru; mokhov@ifaran.ru</t>
  </si>
  <si>
    <t>Мурышев, Кирилл/Q-9549-2017; Timazhev, Alexander/AAV-1456-2021; Mokhov, Igor/U-9564-2019; Eliseev, Alexey/L-8707-2013</t>
  </si>
  <si>
    <t>Timazhev, Alexander/0000-0001-7524-9124; Eliseev, Alexey/0000-0001-7288-7649</t>
  </si>
  <si>
    <t>Government of the Russian Federation [14.Z50.31.0033]; Programs of the Russian Academy of Sciences [0150-2015-0036]; Russian Foundation for Basic Research [14-05-00639]; Institute of Applied Physics RAS</t>
  </si>
  <si>
    <t>Government of the Russian Federation; Programs of the Russian Academy of Sciences(Russian Academy of Sciences); Russian Foundation for Basic Research(Russian Foundation for Basic Research (RFBR)Spanish Government); Institute of Applied Physics RAS</t>
  </si>
  <si>
    <t>This work was supported by the Government of the Russian Federation (agreement no. 14.Z50.31.0033 with the Institute of Applied Physics RAS), by the Programs of the Russian Academy of Sciences, (project 0150-2015-0036) and by the Russian Foundation for Basic Research (grant 14-05-00639).</t>
  </si>
  <si>
    <t>0921-8181</t>
  </si>
  <si>
    <t>1872-6364</t>
  </si>
  <si>
    <t>GLOBAL PLANET CHANGE</t>
  </si>
  <si>
    <t>Glob. Planet. Change</t>
  </si>
  <si>
    <t>10.1016/j.gloplacha.2016.11.005</t>
  </si>
  <si>
    <t>EJ9EA</t>
  </si>
  <si>
    <t>WOS:000393528200004</t>
  </si>
  <si>
    <t>Schwarzhans, W; Mörs, T; Engelbrecht, A; Reguero, M; Kriwet, J</t>
  </si>
  <si>
    <t>Schwarzhans, Werner; Mors, Thomas; Engelbrecht, Andrea; Reguero, Marcelo; Kriwet, Jurgen</t>
  </si>
  <si>
    <t>Before the freeze: otoliths from the Eocene of Seymour Island, Antarctica, reveal dominance of gadiform fishes (Teleostei)</t>
  </si>
  <si>
    <t>temperate climate; Macruronus; Macrouridae; Gadiformes; Antarctica; Eocene</t>
  </si>
  <si>
    <t>LA-MESETA FORMATION; CIRCUMPOLAR CURRENT; PENINSULA; PERCIFORMES; EVOLUTION; PALEOGENE; TERTIARY; BASINS; RECORD; SKULL</t>
  </si>
  <si>
    <t>The first record of fossil teleostean otoliths from Antarctica is reported. The fossils were obtained from late Early Eocene shell beds of the La Meseta Formation, Seymour Island that represent the last temperate marine climate phase in Antarctica prior to the onset of cooling and subsequent glaciation during the late Eocene. A total of 17 otolith-based teleost taxa are recognized, with 10 being identifiable to species level containing nine new species and one new genus: Argentina antarctica sp. nov., Diaphus? marambionis sp. nov., Macruronus eastmani sp. nov., Coelorinchus balushkini sp. nov., Coelorinchus nordenskjoeldi sp. nov., Palimphemus seymourensis sp. nov., Hoplobrotula? antipoda sp. nov., Notoberyx cionei gen. et sp. nov. and Cepola anderssoni sp. nov. Macruronus eastmani sp. nov. is also known from the late Eocene of Southern Australia, and Tripterophycis immutatus Schwarzhans, widespread in the southern oceans during the Eocene, has been recorded from New Zealand, southern Australia, and now Antarctica. The otolith assemblage shows a typical composition of temperate fishes dominated by gadiforms, very similar at genus and family levels to associations known from middle Eocene strata of New Zealand and the late Eocene of southern Australia, but also to the temperate Northern Hemisphere associations from the Paleocene of Denmark. The Seymour Island fauna bridges a gap in the record of global temperate marine teleost faunas during the early Eocene climate maximum. The dominant gadiforms are interpreted as the main temperate faunal component, as in the Paleocene of Denmark. Here they are represented by the families Moridae, Merlucciidae (Macruroninae), Macrouridae and Gadidae. Nowadays Gadidae are a chiefly Northern Hemisphere temperate family. Moridae, Macruroninae and Macrouridae live today on the lower shelf to deep-water or mesopelagically with Macruroninae being restricted to the Southern Ocean. The extant endemic Antarctic gadiform family Muraenolepididae is missing, as are the dominant modern Antarctic fishes of the perciform suborder Notothenioidei. Recently, there has been much debate on isolated jaw bones of teleost fishes found in the La Meseta Formation and whether they would represent gadiforms (Merlucciidae in this case) or some early, primitive notothenioid. Otoliths are known to often complement rather than duplicate skeletal finds. With this in mind, we conclude that our otolith data support the presence of gadiforms in the early Eocene of Antarctica while it does not rule out the presence of notothenioids at the same time.http://zoobank.org/urn:lsid:zoobank.org:pub:A30E5364-0003-4467-B902-43A41AD456CC</t>
  </si>
  <si>
    <t>[Schwarzhans, Werner] Ahrensburger Weg 103, D-22359 Hamburg, Germany; [Schwarzhans, Werner] Nat Hist Museum Denmark, Zool Museum, Univ Pk 15, DK-2100 Copenhagen, Denmark; [Mors, Thomas] Swedish Museum Nat Hist, Dept Palaeobiol, POB 5007, SE-10405 Stockholm, Sweden; [Engelbrecht, Andrea; Kriwet, Jurgen] Univ Vienna, Dept Palaeontol, Althanstr 14, A-1090 Vienna, Austria; [Reguero, Marcelo] Museo La Plata, Div Paleontol Vertebrados, Paseo Bosque S-N,B1900FWA, La Plata, Buenos Aires, Argentina</t>
  </si>
  <si>
    <t>Swedish Museum of Natural History; University of Vienna; National University of La Plata; Museo La Plata</t>
  </si>
  <si>
    <t>Schwarzhans, W (corresponding author), Ahrensburger Weg 103, D-22359 Hamburg, Germany.;Schwarzhans, W (corresponding author), Nat Hist Museum Denmark, Zool Museum, Univ Pk 15, DK-2100 Copenhagen, Denmark.</t>
  </si>
  <si>
    <t>wwschwarz@aol.com</t>
  </si>
  <si>
    <t>Engelbrecht, Andrea/0000-0002-4430-452X; Kriwet, Jurgen/0000-0002-6439-8455</t>
  </si>
  <si>
    <t>Swedish Research Council [VR] [2009-4447]; Austrian Science Fund [FWF grant] [P26465]; Argentine Research Council [CONICET] [PIP 0462]; Argentine National Agency for Promotion of Science and Technology [ANPCyT] [PICTO-2010-0093]; Austrian Science Fund (FWF) [P 26465] Funding Source: researchfish; Austrian Science Fund (FWF) [P26465] Funding Source: Austrian Science Fund (FWF)</t>
  </si>
  <si>
    <t>Swedish Research Council [VR](Swedish Research Council); Austrian Science Fund [FWF grant](Austrian Science Fund (FWF)); Argentine Research Council [CONICET](Consejo Nacional de Investigaciones Cientificas y Tecnicas (CONICET)); Argentine National Agency for Promotion of Science and Technology [ANPCyT]; Austrian Science Fund (FWF)(Austrian Science Fund (FWF)); Austrian Science Fund (FWF)(Austrian Science Fund (FWF))</t>
  </si>
  <si>
    <t>We are indebted to the Argentine Antarctic Institute (IAA-DNA), the Argentine Air Force and the Swedish Polar Research Secretariat (SPFS) which provided logistical support for fieldwork on Seymour Island to TM and MR. We thank Martin de los Reyes (Museo de La Plata) for screening and picking, Steve McLoughlin (Swedish Museum of Natural History) for the preparation of Figure 1, and Timothy Topper (Swedish Museum of Natural History) for correcting the English language. We thank Federico Degrange (Centro de Investigaciones en Ciencias de la Tierra (CICTERRA)) and Jonas Hagstrom (Swedish Museum of Natural History) for providing photographs depicted in Figure 2. We acknowledge funding support by the Swedish Research Council [VR grant 2009-4447 to TM], the Austrian Science Fund [FWF grant P26465 to JK and AE], the Argentine Research Council [CONICET grant PIP 0462 to MR] and the Argentine National Agency for Promotion of Science and Technology [ANPCyT grant PICTO-2010-0093 to MR].</t>
  </si>
  <si>
    <t>10.1080/14772019.2016.1151958</t>
  </si>
  <si>
    <t>EK2VI</t>
  </si>
  <si>
    <t>WOS:000393784400003</t>
  </si>
  <si>
    <t>Sato, K; Kohma, M; Tsutsumi, M; Sato, T</t>
  </si>
  <si>
    <t>Sato, Kaoru; Kohma, Masashi; Tsutsumi, Masaki; Sato, Toru</t>
  </si>
  <si>
    <t>Frequency spectra and vertical profiles of wind fluctuations in the summer Antarctic mesosphere revealed by MST radar observations</t>
  </si>
  <si>
    <t>INERTIA-GRAVITY WAVES; GENERAL-CIRCULATION MODEL; MIDDLE ATMOSPHERE; MU RADAR; ECHOES PMSE; SPONTANEOUS RADIATION; SYOWA STATION; 2-DAY WAVE; MESOPAUSE; DISTURBANCES</t>
  </si>
  <si>
    <t>Continuous observations of polar mesosphere summer echoes at heights from 81-93 km were performed using the first Mesosphere-Stratosphere-Troposphere/Incoherent Scatter radar in the Antarctic over the three summer periods of 2013/2014, 2014/2015, and 2015/2016. Power spectra of horizontal and vertical wind fluctuations, and momentum flux spectra in a wide-frequency range from (8 min)(-1) to (20 days) (-1) were first estimated for the Antarctic summer mesosphere. The horizontal (vertical) wind power spectra obey a power law with an exponent of approximately -2 (-1) at frequencies higher than the inertial frequency of (13h)(-1) and have isolated peaks at about 1 day and a half day. In addition, an isolated peak of a quasi-2 day period is observed in the horizontal wind spectra but is absent from the vertical wind spectra, which is consistent with the characteristics of a normal-mode Rossby-gravity wave. Zonal (meridional) momentum flux spectra are mainly positive (negative), and large fluxes are observed in a relatively low-frequency range from (1 day)(-1) to (1h)(-1). A case study was performed to investigate vertical profiles of momentum fluxes associated with gravity waves and time mean winds on and around 3 January 2015 when a minor stratospheric warming occurred in the Northern Hemisphere. A significant momentum flux convergence corresponding to an eastward acceleration of similar to 200ms(-1)d(-1) was observed before the warming and became stronger after the warming when mean zonal wind weakened. The strong wave forcing roughly accorded with the Coriolis force of mean meridional winds.</t>
  </si>
  <si>
    <t>[Sato, Kaoru; Kohma, Masashi] Univ Tokyo, Dept Earth &amp; Planetary Sci, Tokyo, Japan; [Tsutsumi, Masaki] Natl Inst Polar Res, Tachikawa, Tokyo, Japan; [Tsutsumi, Masaki] Grad Univ Adv Studies SOKENDAI, Tachikawa, Tokyo, Japan; [Sato, Toru] Kyoto Univ, Dept Commun &amp; Comp Engn, Kyoto, Japan</t>
  </si>
  <si>
    <t>University of Tokyo; Research Organization of Information &amp; Systems (ROIS); National Institute of Polar Research (NIPR) - Japan; Graduate University for Advanced Studies - Japan; Kyoto University</t>
  </si>
  <si>
    <t>Sato, K (corresponding author), Univ Tokyo, Dept Earth &amp; Planetary Sci, Tokyo, Japan.</t>
  </si>
  <si>
    <t>kaoru@eps.s.u-tokyo.ac.jp</t>
  </si>
  <si>
    <t>Sato, Toru/F-3818-2012; Kohma, Masashi/C-8055-2015; Sato, Kaoru/E-1693-2012</t>
  </si>
  <si>
    <t>Kohma, Masashi/0000-0001-9875-3032; Sato, Kaoru/0000-0002-6225-6066</t>
  </si>
  <si>
    <t>JSPS KAKENHI [25247075, 16K17801]; CREST, JST; Grants-in-Aid for Scientific Research [16K13888, 16K17801, 25247075] Funding Source: KAKEN</t>
  </si>
  <si>
    <t>JSPS KAKENHI(Ministry of Education, Culture, Sports, Science and Technology, Japan (MEXT)Japan Society for the Promotion of ScienceGrants-in-Aid for Scientific Research (KAKENHI)); CREST, JST(Japan Science &amp; Technology Agency (JST)Core Research for Evolutional Science and Technology (CREST)); Grants-in-Aid for Scientific Research(Ministry of Education, Culture, Sports, Science and Technology, Japan (MEXT)Japan Society for the Promotion of ScienceGrants-in-Aid for Scientific Research (KAKENHI))</t>
  </si>
  <si>
    <t>The authors thank the PANSY project members, Koji Nishimura, Yoshihiro Tomikawa, Taishi Hashimoto, and Takuji Nakamura. Thanks also to Erich Becker and two anonymous reviewers for their constructive comments. Figure 3 was drawn by Ryosuke Yasui using Aura MLS data. This work was supported by JSPS KAKENHI grants 25247075 and 16K17801 and by CREST, JST. PANSY is a multi-institutional project with a core of the University of Tokyo and National Institute of Polar Research, and the PANSY radar was operated by the Japanese Antarctic Research Expedition. The PANSY radar observation data are available at the project website, http://pansy.eps.s.u-tokyo.ac.jp.</t>
  </si>
  <si>
    <t>10.1002/2016JD025834</t>
  </si>
  <si>
    <t>EK4DR</t>
  </si>
  <si>
    <t>WOS:000393877800001</t>
  </si>
  <si>
    <t>Tracey, KL; Donohue, KA; Watts, DR</t>
  </si>
  <si>
    <t>Tracey, Karen L.; Donohue, Kathleen A.; Watts, D. Randolph</t>
  </si>
  <si>
    <t>Bottom Temperatures in Drake Passage</t>
  </si>
  <si>
    <t>JOURNAL OF PHYSICAL OCEANOGRAPHY</t>
  </si>
  <si>
    <t>ANTARCTIC CIRCUMPOLAR CURRENT; SHORT-TERM VARIATIONS; KUROSHIO EXTENSION; TIME-SERIES; DEEP WATERS; TRANSPORT; CURRENTS; VARIABILITY; CIRCULATION; ISLAND</t>
  </si>
  <si>
    <t>Long time series of bottom temperatures in the Southern Ocean are rare. The cDrake array with over 40 current- and pressure-recording inverted echo sounders, moored across Drake Passage to monitor the Antarctic Circumpolar Current (ACC) variability and transport, measured temperature at 1 and 50 m above the seafloor at depths &gt;= 3500 m and at the southern continental margin. The 4-yr dataset provided an opportunity to examine the temporal and spatial scales of bottom temperature variability. High variability was observed; ranges were 0.5 degrees-0.9 degrees C in the northern passage and 0.3 degrees-0.6 degrees C in the southern passage. Standard deviations in the two regions were 0.1 degrees-0.15 degrees C and &lt;0.05 degrees C, respectively. Meandering of the ACC with its deep-reaching thermocline accounted for up to 50% of the observed bottom temperature variance. Northern passage temperatures, spaced less than 40 km apart, were correlated with each other, while those in the southern portion, separated by 60-70 km, were not. A gap in the West Scotia Ridge provided a deep passageway for cold water to reach the northern passage from the southern basin; an extreme event during February 2008 brought bottom waters with in situ temperatures below 0.38 degrees C as far north as 57 degrees S. Strong vertical temperature gradients between 1 and 50 m above the bottom occurred intermittently due to intrusions associated with deep eddy circulations arising beneath the meandering jet and to flow over steep topography, permitting the generation of internal waves. High variability in temperature on interannual time scales requires record lengths of 13-17 yr to estimate long-term trends reliably.</t>
  </si>
  <si>
    <t>[Tracey, Karen L.; Donohue, Kathleen A.; Watts, D. Randolph] Univ Rhode Isl, Grad Sch Oceanog, Narragansett, RI 02882 USA</t>
  </si>
  <si>
    <t>University of Rhode Island</t>
  </si>
  <si>
    <t>Tracey, KL (corresponding author), Univ Rhode Isl, Grad Sch Oceanog, Narragansett, RI 02882 USA.</t>
  </si>
  <si>
    <t>krltracey@uri.edu</t>
  </si>
  <si>
    <t>Donohue, Kathleen/0000-0001-7693-3868</t>
  </si>
  <si>
    <t>National Science Foundation Office of Polar Programs [ANT-0635437, ANT-1141802]; Office of Polar Programs (OPP); Directorate For Geosciences [1141922, 1141802]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</si>
  <si>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</si>
  <si>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We are grateful to Erran Sousa, Gerard Chaplin, and Dan Holloway at URI who carefully developed and prepared the CPIES. They were aided by C. Cipolla and G. Savoy at the URI Equipment Development Laboratory. We thank the captains and crew of the RV/IB Nathaniel B. Palmer and the staff of Raytheon Polar Services for their support during the cruises. Yvonne Firing wrote the objective mapping codes used for cDrake. The National Science Foundation Office of Polar Programs supported this work under Grants ANT-0635437 and ANT-1141802.</t>
  </si>
  <si>
    <t>0022-3670</t>
  </si>
  <si>
    <t>1520-0485</t>
  </si>
  <si>
    <t>J PHYS OCEANOGR</t>
  </si>
  <si>
    <t>J. Phys. Oceanogr.</t>
  </si>
  <si>
    <t>10.1175/JPO-D-16-0124.1</t>
  </si>
  <si>
    <t>EJ6AM</t>
  </si>
  <si>
    <t>WOS:000393300700007</t>
  </si>
  <si>
    <t>Hogg, AM; Spence, P; Saenko, OA; Downes, SM</t>
  </si>
  <si>
    <t>Hogg, Andrew McC; Spence, Paul; Saenko, Oleg A.; Downes, Stephanie M.</t>
  </si>
  <si>
    <t>The Energetics of Southern Ocean Upwelling</t>
  </si>
  <si>
    <t>AVAILABLE POTENTIAL-ENERGY; MERIDIONAL OVERTURNING CIRCULATION; EQUATION-OF-STATE; CLIMATE-CHANGE; BOUSSINESQ FLUID; MESOSCALE EDDIES; CMIP5 MODELS; DENSITY; SENSITIVITY; SIMULATION</t>
  </si>
  <si>
    <t>The ocean's meridional overturning circulation is closed by the upwelling of dense, carbon-rich waters to the surface of the Southern Ocean. It has been proposed that upwelling in this region is driven by strong westerly winds, implying that the intensification of Southern Ocean winds in recent decades may have enhanced the rate of upwelling, potentially affecting the global overturning circulation. However, there is no consensus on the sensitivity of upwelling to winds or on the nature of the connection between Southern Ocean processes and the global overturning circulation. In this study, the sensitivity of the overturning circulation to changes in Southern Ocean westerly wind stress is investigated using an eddy-permitting ocean-sea ice model. In addition to a suite of standard circulation metrics, an energy analysis is used to aid dynamical interpretation of the model response. Increased Southern Ocean wind stress enhances the upper cell of the overturning circulation through creation of available potential energy in the Southern Hemisphere, associated with stronger upwelling of deep water. Poleward shifts in the Southern Ocean westerlies lead to a complicated transient response, with the formation of bottom water induced by increased polynya activity in the Weddell Sea and a weakening of the upper overturning cell in the Northern Hemisphere. The energetic consequences of the upper overturning cell response indicate an interhemispheric connection to the input of available potential energy in the Northern Hemisphere.</t>
  </si>
  <si>
    <t>[Hogg, Andrew McC] Australian Natl Univ, Res Sch Earth Sci, Canberra, ACT, Australia; [Hogg, Andrew McC] Australian Natl Univ, ARC Ctr Excellence Climate Syst Sci, Canberra, ACT, Australia; [Spence, Paul] Univ New South Wales, Climate Change Res Ctr, Sydney, NSW, Australia; [Spence, Paul] Univ New South Wales, ARC Ctr Excellence Climate Syst Sci, Sydney, NSW, Australia; [Saenko, Oleg A.] Canadian Ctr Climate Modelling &amp; Anal, Victoria, BC, Canada; [Downes, Stephanie M.] Univ Tasmania, Antarct Climate &amp; Ecosyst Cooperat Res Ctr, Hobart, Tas, Australia</t>
  </si>
  <si>
    <t>Australian National University; Australian National University; ARC Centre of Excellence for Climate System Science; University of New South Wales Sydney; ARC Centre of Excellence for Climate System Science; University of New South Wales Sydney; Environment &amp; Climate Change Canada; Canadian Centre for Climate Modelling &amp; Analysis (CCCma); University of Tasmania</t>
  </si>
  <si>
    <t>Hogg, AM (corresponding author), Australian Natl Univ, Res Sch Earth Sci, Canberra, ACT, Australia.;Hogg, AM (corresponding author), Australian Natl Univ, ARC Ctr Excellence Climate Syst Sci, Canberra, ACT, Australia.</t>
  </si>
  <si>
    <t>andy.hogg@anu.edu.au</t>
  </si>
  <si>
    <t>Downes, Stephanie/A-1424-2012; Hogg, Andy/AAZ-8733-2021; Spence, Paul/IZE-7366-2023; Hogg, Andy McC./A-7553-2011</t>
  </si>
  <si>
    <t>Hogg, Andy/0000-0001-5898-7635; Spence, Paul/0000-0001-5156-2204; Hogg, Andy McC./0000-0001-5898-7635</t>
  </si>
  <si>
    <t>Australian Commonwealth Government; Australian Research Council Future Fellowship [FT120100842]; Australian Research Council DECRA Fellowship [DE150100223]; Australian Government's Business Cooperative Research Centres Programme through the Antarctic Climate and Ecosystems Cooperative Research Centre (ACE CRC)</t>
  </si>
  <si>
    <t>Australian Commonwealth Government(Australian Government); Australian Research Council Future Fellowship(Australian Research Council); Australian Research Council DECRA Fellowship(Australian Research Council); Australian Government's Business Cooperative Research Centres Programme through the Antarctic Climate and Ecosystems Cooperative Research Centre (ACE CRC)(Australian GovernmentDepartment of Industry, Innovation and ScienceCooperative Research Centres (CRC) Programme)</t>
  </si>
  <si>
    <t>Our thanks to Jan Zika, who suggested the hemispheric decomposition of the depth-density streamfunction used in Figs. 11 and 12, and to Neil Swart, who commented on the first draft of the paper. This research was undertaken on the NCI National Facility in Canberra, Australia, which is supported by the Australian Commonwealth Government. AMH was supported by an Australian Research Council Future Fellowship FT120100842 and PS was supported by an Australian Research Council DECRA Fellowship DE150100223. SMD was supported by the Australian Government's Business Cooperative Research Centres Programme through the Antarctic Climate and Ecosystems Cooperative Research Centre (ACE CRC).</t>
  </si>
  <si>
    <t>10.1175/JPO-D-16-0176.1</t>
  </si>
  <si>
    <t>WOS:000393300700009</t>
  </si>
  <si>
    <t>Barkan, R; Winters, KB; McWilliams, JC</t>
  </si>
  <si>
    <t>Barkan, Roy; Winters, Kraig B.; McWilliams, James C.</t>
  </si>
  <si>
    <t>Stimulated Imbalance and the Enhancement of Eddy Kinetic Energy Dissipation by Internal Waves</t>
  </si>
  <si>
    <t>ANTARCTIC CIRCUMPOLAR CURRENT; OCEAN INERTIAL MOTIONS; GEOSTROPHIC FLOW; WIND; BALANCE; MODEL; INSTABILITY; GENERATION; ENERGETICS; MESOSCALE</t>
  </si>
  <si>
    <t>The effects of internal waves (IWs), externally forced by high-frequency wind, on energy pathways are studied in submesoscale-resolving numerical simulations of an idealized wind-driven channel flow. Two processes are examined: the direct extraction of mesoscale energy by externally forced IWs followed by an IW forward energy cascade to dissipation and stimulated imbalance, a mechanism through which externally forced IWs trigger a forward mesoscale to submesoscale energy cascade to dissipation. This study finds that the frequency and wavenumber spectral slopes are shallower in solutions with high-frequency forcing compared to solutions without and that the volume-averaged interior kinetic energy dissipation rate increases tenfold. The ratio between the enhanced dissipation rate and the added high-frequency wind work is 1.3, demonstrating the significance of the IW-mediated forward cascades. Temporal-scale analysis of energy exchanges among low-(mesoscale), intermediate-(submesoscale), and high-frequency (IW) bands shows a corresponding increase in kinetic energy E-k and available potential energy APE transfers from mesoscales to submesoscales (stimulated imbalance) and mesoscales to IWs (direct extraction). Two direct extraction routes are identified: a mesoscale to IW Ek transfer and a mesoscale to IW APE transfer followed by an IW APE to IW Ek conversion. Spatial-scale analysis of eddy-IW interaction in solutions with high-frequency forcing shows an equivalent increase in forward Ek and APE transfers inside both anticyclones and cyclones.</t>
  </si>
  <si>
    <t>[Barkan, Roy; McWilliams, James C.] Univ Calif Los Angeles, Dept Atmospher &amp; Ocean Sci, Los Angeles, CA 90095 USA; [Winters, Kraig B.] Univ Calif San Diego, Scripps Inst Oceanog, La Jolla, CA 92093 USA</t>
  </si>
  <si>
    <t>University of California System; University of California Los Angeles; University of California System; University of California San Diego; Scripps Institution of Oceanography</t>
  </si>
  <si>
    <t>Barkan, R (corresponding author), Univ Calif Los Angeles, Dept Atmospher &amp; Ocean Sci, Los Angeles, CA 90095 USA.</t>
  </si>
  <si>
    <t>rbarkan@atmos.ucla.edu</t>
  </si>
  <si>
    <t>Barkan, Roy/GZK-9665-2022</t>
  </si>
  <si>
    <t>National Science Foundation [OCE-1061027, ONR N00014141062]; [TG-OCE120004]; [TG-OCE150010]</t>
  </si>
  <si>
    <t>National Science Foundation(National Science Foundation (NSF)); ;</t>
  </si>
  <si>
    <t>This work was supported by the National Science Foundation (OCE-1061027 and ONR N00014141062). XSEDE computing resources at the National Institute of Computational Sciences, University of Tennessee, were made available under Grants TG-OCE120004 and TG-OCE150010. We thank the editor and two anonymous reviewers for helpful suggestions to improve the presentation and interpretation of our results.</t>
  </si>
  <si>
    <t>10.1175/JPO-D-16-0117.1</t>
  </si>
  <si>
    <t>WOS:000393300700011</t>
  </si>
  <si>
    <t>Gross, J; Treiman, AH; Harlow, GE</t>
  </si>
  <si>
    <t>Gross, Juliane; Treiman, Allan H.; Harlow, George E.</t>
  </si>
  <si>
    <t>Reported sulfate mineral in lunar meteorite PCA 02007 is impact glass</t>
  </si>
  <si>
    <t>METEORITICS &amp; PLANETARY SCIENCE</t>
  </si>
  <si>
    <t>CRUST</t>
  </si>
  <si>
    <t>A grain of light-blue sulfate material was reported in the lunar highlands regolith meteorite PCA 02007 (Satterwhite and Righter 2013). Allocated grains of that material are, in fact, aluminosilicate glass with a chemical composition like that of the bulk meteorite and other lunar highlands regoliths. The calcium sulfate detected in PCA 02007 was likely a surface coating, and reasonably of Antarctic (not lunar) origin.</t>
  </si>
  <si>
    <t>[Gross, Juliane] Rutgers State Univ, Dept Earth &amp; Planetary Sci, 610 Taylor Rd, Piscataway, NJ 08854 USA; [Gross, Juliane; Treiman, Allan H.] Lunar &amp; Planetary Inst, 3600 Bay Area Blvd, Houston, TX 77058 USA; [Gross, Juliane; Harlow, George E.] Amer Museum Nat Hist, Dept Earth &amp; Planetary Sci, Cent Pk West &amp; 79th St, New York, NY 10024 USA</t>
  </si>
  <si>
    <t>Rutgers University System; Rutgers University New Brunswick; American Museum of Natural History (AMNH)</t>
  </si>
  <si>
    <t>Gross, J (corresponding author), Rutgers State Univ, Dept Earth &amp; Planetary Sci, 610 Taylor Rd, Piscataway, NJ 08854 USA.;Gross, J (corresponding author), Lunar &amp; Planetary Inst, 3600 Bay Area Blvd, Houston, TX 77058 USA.;Gross, J (corresponding author), Amer Museum Nat Hist, Dept Earth &amp; Planetary Sci, Cent Pk West &amp; 79th St, New York, NY 10024 USA.</t>
  </si>
  <si>
    <t>jgross@eps.rutgers.edu</t>
  </si>
  <si>
    <t>NSF; NASA [NNX15AU25G, NNX12AH64G]; NASA [19746, NNX12AH64G] Funding Source: Federal RePORTER</t>
  </si>
  <si>
    <t>NSF(National Science Foundation (NSF)); NASA(National Aeronautics &amp; Space Administration (NASA)); NASA(National Aeronautics &amp; Space Administration (NASA))</t>
  </si>
  <si>
    <t>We are grateful to the Antarctic Meteorite curator at Johnson Space Center and the Meteorite Working Group for making the sample available to us. The Antarctic Search for Meteorites (ANSMET) program, which has been funded by NSF and NASA, recovers U.S. Antarctic meteorite samples. Those meteorites recovered by ANSMET are characterized and curated by the Department of Mineral Sciences at the Smithsonian Institution (Washington, D.C.) and the Astromaterials Curation Office at the NASA Johnson Space Center. We thank Dr. Kevin Righter and Dr. Paul Carpenter for helpful reviews and comments on this manuscript, as well as the editor Dr. Randy Korotev for handling the manuscript. This work was supported by a NASA grant to J. Gross (NNX15AU25G), and a NASA grant to A. Treiman (NNX12AH64G). The authors have no competing interests. LPI Contribution #1968.</t>
  </si>
  <si>
    <t>WILEY-BLACKWELL</t>
  </si>
  <si>
    <t>1086-9379</t>
  </si>
  <si>
    <t>1945-5100</t>
  </si>
  <si>
    <t>METEORIT PLANET SCI</t>
  </si>
  <si>
    <t>Meteorit. Planet. Sci.</t>
  </si>
  <si>
    <t>10.1111/maps.12741</t>
  </si>
  <si>
    <t>EK1KB</t>
  </si>
  <si>
    <t>WOS:000393683100011</t>
  </si>
  <si>
    <t>Mitchell, PJ; Monk, J; Laurenson, L</t>
  </si>
  <si>
    <t>Mitchell, Peter J.; Monk, Jacquomo; Laurenson, Laurie</t>
  </si>
  <si>
    <t>Sensitivity of fine-scale species distribution models to locational uncertainty in occurrence data across multiple sample sizes</t>
  </si>
  <si>
    <t>METHODS IN ECOLOGY AND EVOLUTION</t>
  </si>
  <si>
    <t>georeferencing error; habitat suitability; model performance; occurrence data accuracy; spatial error</t>
  </si>
  <si>
    <t>GEOREFERENCING LOCALITY DESCRIPTIONS; RESOURCE SELECTION FUNCTIONS; SPATIAL AUTOCORRELATION; PERFORMANCE; ERRORS; PREDICTION; ACCURACY</t>
  </si>
  <si>
    <t>To generate realistic predictions, species distribution models require the accurate coregistration of occurrence data with environmental variables. There is a common assumption that species occurrence data are accurately georeferenced; however, this is often not the case. This study investigates whether locational uncertainty and sample size affect the performance and interpretation of fine-scale species distribution models. This study evaluated the effects of locational uncertainty across multiple sample sizes by subsampling and spatially degrading occurrence data. Distribution models were constructed for kelp (Ecklonia radiata), across a large study site (680km(2)) off the coast of southeastern Australia. Generalized additive models were used to predict distributions based on fine-resolution (25m cell size) seafloor variables, generated from multibeam echosounder data sets, and occurrence data from underwater towed video. The effects of different levels of locational uncertainty in combination with sample size were evaluated by comparing model performance and predicted distributions. While locational uncertainty was observed to influence some measures of model performance, in general this was small and varied based on the accuracy metric used. However, simulated locational uncertainty caused changes in variable importance and predicted distributions at fine scales, potentially influencing model interpretation. This was most evident with small sample sizes. Results suggested that seemingly high-performing, fine-scale models can be generated from data containing locational uncertainty, although interpreting their predictions can be misleading if the predictions are interpreted at scales similar to the spatial errors. This study demonstrated the need to consider predictions across geographic space rather than performance alone. The findings are important for conservation managers as they highlight the inherent variation in predictions between equally performing distribution models, and the subsequent restrictions on ecological interpretations.</t>
  </si>
  <si>
    <t>[Mitchell, Peter J.; Monk, Jacquomo; Laurenson, Laurie] Deakin Univ, Sch Life &amp; Environm Sci, Ctr Integrat Ecol, POB 423, Warrnambool, Vic 3280, Australia; [Mitchell, Peter J.] Ctr Environm Fisheries &amp; Aquaculture Sci, Pakefield Rd, Lowestoft NR33 0HT, Suffolk, England; [Monk, Jacquomo] Univ Tasmania, Inst Marine &amp; Antarctic Studies, Private Bag 49, Hobart, Tas 7001, Australia</t>
  </si>
  <si>
    <t>Deakin University; Centre for Environment Fisheries &amp; Aquaculture Science; University of Tasmania</t>
  </si>
  <si>
    <t>Mitchell, PJ (corresponding author), Deakin Univ, Sch Life &amp; Environm Sci, Ctr Integrat Ecol, POB 423, Warrnambool, Vic 3280, Australia.;Mitchell, PJ (corresponding author), Ctr Environm Fisheries &amp; Aquaculture Sci, Pakefield Rd, Lowestoft NR33 0HT, Suffolk, England.</t>
  </si>
  <si>
    <t>peter.mitchell@cefas.co.uk</t>
  </si>
  <si>
    <t>Monk, Jacquomo/0000-0002-1874-0619; Mitchell, Peter/0000-0002-4286-2288</t>
  </si>
  <si>
    <t>Marine Biodiversity Hub - Australian Government's National Environmental Science Program (NESP)</t>
  </si>
  <si>
    <t>The authors would like to thank Deakin University, the Coastal CRC, Parks Victoria, Fugro and DSE for access to the towed video and MBES data sets that were collected as part of the Victorian Marine Habitat Mapping Project. Thanks to Steffan Howe from Parks Victoria for providing the data used in this study. Thanks to the crews aboard Courageous II and Bluefin for the assistance in the collection of the towed video and MBES data sets. Analyses were undertaken at Deakin University, Warrnambool, Victoria, GIS Laboratory facility. J.M. was supported by the Marine Biodiversity Hub through funding from the Australian Government's National Environmental Science Program (NESP), administered by the Department of the Environment. NESP Marine Biodiversity Hub partners include the Institute for Marine and Antarctic Studies, University of Tasmania; CSIRO, Geoscience Australia, Australian Institute of Marine Science, Museum Victoria, Charles Darwin University and the University of Western Australia.</t>
  </si>
  <si>
    <t>2041-210X</t>
  </si>
  <si>
    <t>2041-2096</t>
  </si>
  <si>
    <t>METHODS ECOL EVOL</t>
  </si>
  <si>
    <t>Methods Ecol. Evol.</t>
  </si>
  <si>
    <t>10.1111/2041-210X.12645</t>
  </si>
  <si>
    <t>EJ6CE</t>
  </si>
  <si>
    <t>WOS:000393305300002</t>
  </si>
  <si>
    <t>Edwards, AM; Robinson, JPW; Plank, MJ; Baum, JK; Blanchard, JL</t>
  </si>
  <si>
    <t>Edwards, Andrew M.; Robinson, James P. W.; Plank, Michael J.; Baum, Julia K.; Blanchard, Julia L.</t>
  </si>
  <si>
    <t>Testing and recommending methods for fitting size spectra to data</t>
  </si>
  <si>
    <t>abundance size spectrum; biomass size spectrum; bounded power-law distribution; ecosystem approach to fisheries; ecosystem indicators; individual size distribution; truncated Pareto distribution</t>
  </si>
  <si>
    <t>POWER-LAW DISTRIBUTIONS; FLIGHT SEARCH PATTERNS; BODY-SIZE; FISH COMMUNITY; ABUNDANCE; INDICATORS; DIVERSITY; POPULATION; ECOSYSTEMS; FISHERIES</t>
  </si>
  <si>
    <t>The size spectrum of an ecological community characterizes how a property, such as abundance or biomass, varies with body size. Size spectra are often used as ecosystem indicators of marine systems. They have been fitted to data from various sources, including groundfish trawl surveys, visual surveys of fish in kelp forests and coral reefs, sediment samples of benthic invertebrates and satellite remote sensing of chlorophyll. Over the past decades, several methods have been used to fit size spectra to data. We document eight such methods, demonstrating their commonalities and differences. Seven methods use linear regression (of which six require binning of data), while the eighth uses maximum likelihood estimation. We test the accuracy of the methods on simulated data. We demonstrate that estimated size-spectrum slopes are not always comparable between the seven regression-based methods because such methods are not estimating the same parameter. We find that four of the eight tested methods can sometimes give reasonably accurate estimates of the exponent of the individual size distribution (which is related to the slope of the size spectrum). However, sensitivity analyses find that maximum likelihood estimation is the only method that is consistently accurate, and the only one that yields reliable confidence intervals for the exponent. We therefore recommend the use of maximum likelihood estimation when fitting size spectra. To facilitate this, we provide documented R code for fitting and plotting results. This should provide consistency in future studies and improve the quality of any resulting advice to ecosystem managers. In particular, the calculation of reliable confidence intervals will allow proper consideration of uncertainty when making management decisions.</t>
  </si>
  <si>
    <t>[Edwards, Andrew M.] Fisheries &amp; Oceans Canada, Pacific Biol Stn, 3190 Hammond Bay Rd, Nanaimo, BC V9T 6N7, Canada; [Edwards, Andrew M.; Robinson, James P. W.; Baum, Julia K.] Univ Victoria, Dept Biol, POB 1700 STN CSC, Victoria, BC V8W 2Y2, Canada; [Plank, Michael J.] Univ Canterbury, Sch Math &amp; Stat, Christchurch 8140, New Zealand; [Plank, Michael J.] Univ Auckland, Te Punaha Matatini, Auckland 1011, New Zealand; [Blanchard, Julia L.] Univ Tasmania, Inst Marine &amp; Antarctic Studies, Private Bag 129, Hobart, Tas 7001, Australia</t>
  </si>
  <si>
    <t>Fisheries &amp; Oceans Canada; University of Victoria; University of Canterbury; University of Auckland; University of Tasmania</t>
  </si>
  <si>
    <t>Edwards, AM (corresponding author), Fisheries &amp; Oceans Canada, Pacific Biol Stn, 3190 Hammond Bay Rd, Nanaimo, BC V9T 6N7, Canada.;Edwards, AM (corresponding author), Univ Victoria, Dept Biol, POB 1700 STN CSC, Victoria, BC V8W 2Y2, Canada.</t>
  </si>
  <si>
    <t>andrew.edwards.dfo@gmail.com</t>
  </si>
  <si>
    <t>Blanchard, Julia L/E-4919-2010; Baum, Julia K/A-4693-2008; Plank, Michael J/H-8030-2019</t>
  </si>
  <si>
    <t>Plank, Michael J/0000-0002-7539-3465; Robinson, James/0000-0002-7614-1112; Baum, Julia/0000-0002-9827-1612; Blanchard, Julia/0000-0003-0532-4824</t>
  </si>
  <si>
    <t>Natural Sciences and Engineering Research Council of Canada; UK's Natural Environment Research Council; Department for Environment, Food and Rural Affairs [NE/L003279/1]</t>
  </si>
  <si>
    <t>Natural Sciences and Engineering Research Council of Canada(Natural Sciences and Engineering Research Council of Canada (NSERC)CGIAR); UK's Natural Environment Research Council(UK Research &amp; Innovation (UKRI)Natural Environment Research Council (NERC)); Department for Environment, Food and Rural Affairs(Department for Environment, Food &amp; Rural Affairs (DEFRA))</t>
  </si>
  <si>
    <t>For useful discussions, we thank Finlay Scott, Jennifer Boldt, Carrie Holt, Jean-Baptiste Lecomte, Brooke Davis and Rowan Haigh. We thank three anonymous reviewers for their insightful comments that have improved this work. This project arose from a sabbatical visit by M.J.P. to A.M.E.; JR and JKB acknowledge support from the Natural Sciences and Engineering Research Council of Canada, and J.L.B. was supported by the UK's Natural Environment Research Council and Department for Environment, Food and Rural Affairs (grant number NE/L003279/1, Marine Ecosystems Research Programme).</t>
  </si>
  <si>
    <t>10.1111/2041-210X.12641</t>
  </si>
  <si>
    <t>hybrid, Green Published, Green Accepted</t>
  </si>
  <si>
    <t>WOS:000393305300007</t>
  </si>
  <si>
    <t>Brasier, MJ; Wiklund, H; Neal, L; Jeffreys, R; Linse, K; Ruhl, H; Glover, AG</t>
  </si>
  <si>
    <t>Brasier, Madeleine J.; Wiklund, Helena; Neal, Lenka; Jeffreys, Rachel; Linse, Katrin; Ruhl, Henry; Glover, Adrian G.</t>
  </si>
  <si>
    <t>DNA barcoding uncovers cryptic diversity in 50% of deep-sea Antarctic polychaetes (3, 160432, 2016)</t>
  </si>
  <si>
    <t>10.1098/rsos.160937</t>
  </si>
  <si>
    <t>WOS:000393395100049</t>
  </si>
  <si>
    <t>Seger, A; Park, TG; Hallegraeff, G</t>
  </si>
  <si>
    <t>Seger, Andreas; Park, Tae-Gyu; Hallegraeff, Gustaaf</t>
  </si>
  <si>
    <t>Assessment of the efficacy of clay flocculation in Korean fish farm waters: Cochlodinium cell removal and mitigation of ichthyotoxicity</t>
  </si>
  <si>
    <t>Cochlodinium; Clay; Ichthyotoxin; Adsorption; Flocculation; ROS</t>
  </si>
  <si>
    <t>PRYMNESIUM-PARVUM HAPTOPHYCEAE; HARMFUL ALGAL BLOOMS; RED-TIDE; POLYKRIKOIDES BLOOMS; PARTICLE-SIZE; SUPEROXIDE; ADSORPTION; SEAWATER; CULTURE; SURFACE</t>
  </si>
  <si>
    <t>The ichthyotoxic dinoflagellate Cochlodinium polykrikoides poses a significant threat to the Korean finfish aquaculture industry, thus calling for effective mitigation strategies. We here report for the first time on investigations to assess the efficacy of routine application of clay to a naturally occurring Cochlodinium polykrikoides bloom off Namhae Island in South Korea during August-September 2015. Applications of conventional Korean loess reduced Cochlodinium cell concentrations from a maximum of 4600 mL(-1) to levels considered safe for aquaculture operations (&lt;1000 cells mL(-1)). However, at the same time, two clay application episodes increased ichthyotoxicity in water samples (measured by the gill cell line RTgill-W1 assay) by up to 32% compared to non-treated areas. Simulated laboratory culture experiments identified clay mediated Cochlodinium cell lysis as the probable cause. Lysed cells maintained cytotoxicity for up to 48 h (gill cell viability reduced to 39 7% after 2.5 h exposure), but application of a finely-milled Korean loess completely eliminated ichthyotoxicity. Our results suggest that the fish-killing mechanism of Cochlodinium is comprised of both a stable (up to 48 h) and a transient fraction (decay within minutes). The latter indicates potential involvement of reactive oxygen species (ROS). We offer recommendations to fine-tune existing clay application regimes in Korean waters by focusing not on Cochlodinium cell removal, but on the adsorptive properties of clays to eliminate ichthyotoxicity. (C) 2016 Elsevier B.V. All rights reserved.</t>
  </si>
  <si>
    <t>[Seger, Andreas; Hallegraeff, Gustaaf] Univ Tasmania, Inst Marine &amp; Antarctic Studies, 20 Castray Esplanade, Hobart, Tas 7001, Australia; [Park, Tae-Gyu] NIFS, Southeast Sea Fisheries Res Inst, Tongyeong 650943, South Korea</t>
  </si>
  <si>
    <t>University of Tasmania; National Institute of Fisheries Science</t>
  </si>
  <si>
    <t>Seger, A (corresponding author), Univ Tasmania, Inst Marine &amp; Antarctic Studies, 20 Castray Esplanade, Hobart, Tas 7001, Australia.</t>
  </si>
  <si>
    <t>andreas.seger@utas.edu.au</t>
  </si>
  <si>
    <t>Seger, Andreas/AAH-4093-2019; Hallegraeff, Gustaaf/C-8351-2013</t>
  </si>
  <si>
    <t>Seger, Andreas/0000-0001-7018-0455; Hallegraeff, Gustaaf/0000-0001-8464-7343</t>
  </si>
  <si>
    <t>Australian Research Council [DP130102859]; National Institute of Fisheries Science [R2016046]; Australia-Korea Foundation [AKF00644]; Australian Postgraduate Award</t>
  </si>
  <si>
    <t>Australian Research Council(Australian Research Council); National Institute of Fisheries Science; Australia-Korea Foundation; Australian Postgraduate Award(Australian Government)</t>
  </si>
  <si>
    <t>The authors acknowledge the support and hospitality by Dr. Kyoung Mi Won, Dr. Yun Kyung Shin, Dr. Jin Joo Kim, Dr. Won Jin Kim from the Southeast Sea Fisheries Research Institute, National Institute of Fisheries Science (NIFS), Tongyeong, Korea. Further thanks are due to Promega Korea and Dr. Ju Won Kim (NIFS) for providing access to their plate reader. We also thank Dr. Seok Hyun Youn (NIFS) for providing the Korean loess samples employed in this work. This work was funded by the Australian Research Council (Grant DP130102859 to GMH), National Institute of Fisheries Science (Grant R2016046) and Australia-Korea Foundation (Grant AKF00644 to AS). Andreas Seger was supported by an Australian Postgraduate Award.[CG]</t>
  </si>
  <si>
    <t>10.1016/j.hal.2016.11.014</t>
  </si>
  <si>
    <t>WOS:000392890000005</t>
  </si>
  <si>
    <t>Dorantes-Aranda, JJ; Campbell, K; Bradbury, A; Elliott, CT; Harwood, DT; Murray, SA; Ugalde, SC; Wilson, K; Burgoyne, M; Hallegraeff, GM</t>
  </si>
  <si>
    <t>Dorantes-Aranda, Juan Jose; Campbell, Katrina; Bradbury, Andrew; Elliott, Christopher T.; Harwood, D. Tim; Murray, Shauna A.; Ugalde, Sarah C.; Wilson, Katrina; Burgoyne, Megan; Hallegraeff, Gustaaf M.</t>
  </si>
  <si>
    <t>Comparative performance of four immunological test kits for the detection of Paralytic Shellfish Toxins in Tasmanian shellfish</t>
  </si>
  <si>
    <t>TOXICON</t>
  </si>
  <si>
    <t>Paralytic Shellfish Toxins; Alexandrium tamarense; Immunological test kits; Gonyautoxin 1&amp;4</t>
  </si>
  <si>
    <t>LIQUID-CHROMATOGRAPHY; POISONING TOXINS; FLUORESCENCE DETECTION; OXIDATION; PSTS</t>
  </si>
  <si>
    <t>Blooms of the toxic dinoflagellate Alexandrium tamarense (Group 1) seriously impacted the Tasmanian shellfish industry during 2012 and 2015, necessitating product recalls and intensive paralytic shellfish toxin (PST) product testing. The performance of four commercial PST test kits, Abraxis (TM), Europroxima (TM), Scotia (TM) and Neogen (TM), was compared with the official AOAC LC-FLD method for contaminated mussels and oysters. Abraxis and Europroxima kits underestimated PST in 35-100% of samples when using standard protocols but quantification improved when concentrated extracts were further diluted (underestimation &lt;= 18%). The Scotia kit (cut off 0.2-0.7 mg STX-diHCI eq/kg) delivered 0% false negatives, but 27% false positives. Neogen produced 5% false negatives and 13% false positives when the cut off was altered to 0.5-0.6 mg STX-diHCl eq/kg, the introduction of a conversion step eliminated false negatives. Based on their sensitivity, ease of use and performance, the Neogen kit proved the most suitable kit for use with Tasmanian mussels and oysters. Once formally validated for regulatory purposes, the Neogen kit could provide shellfish growers with a rapid tool for harvesting decisions at the farm gate. Effective rapid screening preventing compliant samples undergoing testing using the more expensive and time consuming LC-FLD method will result in significant savings in analytical costs. (C) 2016 Elsevier Ltd. All rights reserved.</t>
  </si>
  <si>
    <t>[Dorantes-Aranda, Juan Jose; Ugalde, Sarah C.; Hallegraeff, Gustaaf M.] Univ Tasmania, Inst Marine &amp; Antarctic Studies, Private Bag 129, Hobart, Tas 7001, Australia; [Campbell, Katrina; Elliott, Christopher T.] Queens Univ Belfast, Sch Biol Sci, Inst Global Food Secur, David Keir Bldg,Stranmillis Rd, Belfast BT9 5AG, Antrim, North Ireland; [Bradbury, Andrew] Adv Analyt Australia Pty Ltd, 11 Julius Ave, N Ryde, NSW 2113, Australia; [Harwood, D. Tim] Cawthron Inst, 98 Halifax St, Nelson 7010, New Zealand; [Murray, Shauna A.] Univ Technol Sydney, Plant Funct Biol &amp; Climate Change Cluster, Mosman, NSW, Australia; [Murray, Shauna A.] Sydney Inst Marine Sci, Mosman, NSW, Australia; [Wilson, Katrina; Burgoyne, Megan] Dept Primary Ind Pk Water &amp; Environm, Biosecur Tasmania, Tasmanian Shellfish Qual Assurance Program, 13 St Johns Ave, New Town, Tas 7008, Australia</t>
  </si>
  <si>
    <t>University of Tasmania; Queens University Belfast; Cawthron Institute; University of Technology Sydney; Sydney Institute of Marine Science</t>
  </si>
  <si>
    <t>Dorantes-Aranda, JJ (corresponding author), Univ Tasmania, Inst Marine &amp; Antarctic Studies, Private Bag 129, Hobart, Tas 7001, Australia.</t>
  </si>
  <si>
    <t>Juan.DorantesAranda@utas.edu.au</t>
  </si>
  <si>
    <t>Dorantes-Aranda, Juan Jose/J-7737-2014; Harwood, Tim/H-3636-2012; Campbell, Katrina/AAY-8103-2020; Hallegraeff, Gustaaf/C-8351-2013; Murray, Shauna A/K-5781-2015</t>
  </si>
  <si>
    <t>Campbell, Katrina/0000-0002-5994-2524; Hallegraeff, Gustaaf/0000-0001-8464-7343; Murray, Shauna A/0000-0001-7096-1307; Dorantes-Aranda, Juan J./0000-0003-1513-6501</t>
  </si>
  <si>
    <t>Australian Government through Fisheries Research &amp; Development Corporation project [2014/032]</t>
  </si>
  <si>
    <t>Australian Government through Fisheries Research &amp; Development Corporation project(Fisheries R&amp;D Corp)</t>
  </si>
  <si>
    <t>This research was funded by the Australian Government through Fisheries Research &amp; Development Corporation project 2014/032 (CI G Hallegraeff). All companies were given the opportunity to comment on the manuscript. The authors acknowledge Abraxis, Europroxima and Scotia Rapid Testing for providing constructive comments on the present work.</t>
  </si>
  <si>
    <t>0041-0101</t>
  </si>
  <si>
    <t>Toxicon</t>
  </si>
  <si>
    <t>10.1016/j.toxicon.2016.11.262</t>
  </si>
  <si>
    <t>Pharmacology &amp; Pharmacy; Toxicology</t>
  </si>
  <si>
    <t>EJ0JY</t>
  </si>
  <si>
    <t>WOS:000392895800016</t>
  </si>
  <si>
    <t>Johnson, GJ; Buckworth, RC; Lee, H; Morgan, JAT; Ovenden, JR; McMahon, CR</t>
  </si>
  <si>
    <t>Johnson, G. J.; Buckworth, R. C.; Lee, H.; Morgan, J. A. T.; Ovenden, J. R.; McMahon, C. R.</t>
  </si>
  <si>
    <t>A novel field method to distinguish between cryptic carcharhinid sharks, Australian blacktip shark Carcharhinus tilstoni and common blacktip shark C-limbatus, despite the presence of hybrids</t>
  </si>
  <si>
    <t>JOURNAL OF FISH BIOLOGY</t>
  </si>
  <si>
    <t>machine learning; Offshore Net and Line Fishery; shark identification</t>
  </si>
  <si>
    <t>SPECIES IDENTIFICATION; POPULATIONS; MANAGEMENT; SORRAH</t>
  </si>
  <si>
    <t>Multivariate and machine-learning methods were used to develop field identification techniques for two species of cryptic blacktip shark. From 112 specimens, precaudal vertebrae (PCV) counts and molecular analysis identified 95 Australian blacktip sharks Carcharhinus tilstoni and 17 common blacktip sharks Carcharhinus limbatus. Molecular analysis also revealed 27 of the 112 were C. tilstonixC. limbatus hybrids, of which 23 had C. tilstoniPCV counts and four had C. limbatusPCV counts. In the absence of further information about hybrid phenotypes, hybrids were assigned as either C. limbatus or C. tilstoni based on PCV counts. Discriminant analysis achieved 80% successful identification, but machine-learning models were better, achieving 100% successful identification, using six key measurements (fork length, caudal-fin peduncle height, interdorsal space, second dorsal-fin height, pelvic-fin length and pelvic-fin midpoint to first dorsal-fin insertion). Furthermore, pelvic-fin markings could be used for identification: C. limbatus has a distinct black mark &gt;3% of the total pelvic-fin area, while C. tilstoni has markings with diffuse edges, or has smaller or no markings. Machine learning and pelvic-fin marking identification methods were field tested achieving 87 and 90% successful identification, respectively. With further refinement, the techniques developed here will form an important part of a multi-faceted approach to identification of C. tilstoni and C. limbatus and have a clear management and conservation application to these commercially important sharks. The methods developed here are broadly applicable and can be used to resolve species identities in many fisheries where cryptic species exist.</t>
  </si>
  <si>
    <t>[Johnson, G. J.; Lee, H.] Dept Primary Ind &amp; Fisheries, Aquat Resource Res Unit, GPO Box 3000, Darwin, NT 0801, Australia; [Buckworth, R. C.] CSIRO Oceans &amp; Atmosphere Flagship, PMB 44 Winnellie, Darwin, NT 0822, Australia; [Morgan, J. A. T.] Univ Queensland, Ctr Anim Sci, Queensland Alliance Agr &amp; Food Innovat, POB 6097, St Lucia, Qld 4072, Australia; [Ovenden, J. R.] Univ Queensland, Sch Biomed Sci, Mol Fisheries Lab, St Lucia, Qld 4072, Australia; [McMahon, C. R.] Sydney Inst Marine Sci, 19 Chowder Bay Rd, Mosman, NSW 2088, Australia; [McMahon, C. R.] Univ Tasmania, Inst Marine &amp; Antarctic Studies, Hobart, Tas 2001, Australia</t>
  </si>
  <si>
    <t>Commonwealth Scientific &amp; Industrial Research Organisation (CSIRO); University of Queensland; University of Queensland; Sydney Institute of Marine Science; University of Tasmania</t>
  </si>
  <si>
    <t>Johnson, GJ (corresponding author), Dept Primary Ind &amp; Fisheries, Aquat Resource Res Unit, GPO Box 3000, Darwin, NT 0801, Australia.</t>
  </si>
  <si>
    <t>grant.johnson@nt.gov.au</t>
  </si>
  <si>
    <t>Buckworth, Rik C/B-1436-2013; Morgan, Jess/E-7188-2012; Ovenden, Jennifer/A-3717-2010; McMahon, Clive R/D-5713-2013</t>
  </si>
  <si>
    <t>Morgan, Jess/0000-0002-3590-4806; Ovenden, Jennifer/0000-0001-7538-1504; McMahon, Clive R/0000-0001-5241-8917; Buckworth, Rik/0000-0003-3422-7847</t>
  </si>
  <si>
    <t>Northern Territory Department of Primary Industry and Fisheries; Commonwealth Scientific and Industrial Research Organisation (CSIRO); Charles Darwin University</t>
  </si>
  <si>
    <t>Northern Territory Department of Primary Industry and Fisheries; Commonwealth Scientific and Industrial Research Organisation (CSIRO)(Commonwealth Scientific &amp; Industrial Research Organisation (CSIRO)); Charles Darwin University</t>
  </si>
  <si>
    <t>Thanks extend to the Northern Territory Department of Primary Industry and Fisheries, Commonwealth Scientific and Industrial Research Organisation (CSIRO) and Charles Darwin University for the financial and logistical support provided to this study. The support of members of the Northern Territory Offshore Net and Line Fishery, in particular B. Spinella, N. Spinella, C. Bailey, R. Lowden, B. Lamont, V. Lamont, H. Poutu and S. Sampson are gratefully acknowledged. P. Kyne (Charles Darwin University), and J. Pogonoski and N. Ellis (CSIRO) are thanked for their review of this study and constructive feedback. Thanks are also extended to our many scientific colleagues for the discussions and exchange of ideas which have greatly enhanced this work.</t>
  </si>
  <si>
    <t>0022-1112</t>
  </si>
  <si>
    <t>1095-8649</t>
  </si>
  <si>
    <t>J FISH BIOL</t>
  </si>
  <si>
    <t>J. Fish Biol.</t>
  </si>
  <si>
    <t>10.1111/jfb.13102</t>
  </si>
  <si>
    <t>EI3XY</t>
  </si>
  <si>
    <t>WOS:000392427500002</t>
  </si>
  <si>
    <t>Comin, AN; Acevedo, OC</t>
  </si>
  <si>
    <t>Comin, Alcimoni Nelci; Acevedo, Otavio Costa</t>
  </si>
  <si>
    <t>Numerical Simulation of Sea Breeze Convergence over Antarctic Peninsula</t>
  </si>
  <si>
    <t>HEMISPHERE ANNULAR MODE; SUMMER TEMPERATURES; EAST ANTARCTICA; LAND; FLOW; PRECIPITATION; CLIMATOLOGY; SPAIN; ZONES; WINDS</t>
  </si>
  <si>
    <t>The convergence zone induced by sea breeze systems over Antarctic Peninsula is analyzed for the summer season of 2013-2015. 59 days, selected by satellite images for the absence of major synoptic forcing, are simulated using the WRF model. Sea breeze convergence has been detected in 21 of these days, mostly during evening hours and under large-scale winds. Breeze events are associated with a cold anomaly at the peninsula with respect to the climatology. This condition favors the onset of the necessary horizontal thermal gradients to trigger the breeze circulation. At the same time, no anomaly of the average pressure at sea level is found, indicating that events are favored when the average synoptic flow is present. Case studies indicate that the convergence location over the peninsula is controlled by the synoptic wind. An average convergence over the peninsula happens from 14: 00 to 22: 30 UTC, with a maximum at 18: 00 UTC. There is a strong potential temperature gradient between the surface of the peninsula and the sea, with the sea breeze circulation system extending up to 1.2 km or higher. The sensible heat flux reaches 80W/m(2) at the top of mountains and 10W/m(2) near the coast.</t>
  </si>
  <si>
    <t>[Comin, Alcimoni Nelci; Acevedo, Otavio Costa] Univ Fed Santa Maria, Dept Phys, Santa Maria, RS, Brazil</t>
  </si>
  <si>
    <t>Universidade Federal de Santa Maria (UFSM)</t>
  </si>
  <si>
    <t>Comin, AN; Acevedo, OC (corresponding author), Univ Fed Santa Maria, Dept Phys, Santa Maria, RS, Brazil.</t>
  </si>
  <si>
    <t>alcimoni.comin@gmail.com; otavio@ufsm.br</t>
  </si>
  <si>
    <t>Comin, Alcimoni/GNP-2609-2022; Acevedo, Otavio/D-7623-2013</t>
  </si>
  <si>
    <t>Comin, Alcimoni/0000-0002-8566-3254; Acevedo, Otavio/0000-0003-2606-4726</t>
  </si>
  <si>
    <t>Brazilian National Council for Scientific and Technological Development (CNPq); INCT Criosfera [CNPq-704222/2009]</t>
  </si>
  <si>
    <t>Brazilian National Council for Scientific and Technological Development (CNPq)(Conselho Nacional de Desenvolvimento Cientifico e Tecnologico (CNPQ)); INCT Criosfera</t>
  </si>
  <si>
    <t>The authors thank the Brazilian National Council for Scientific and Technological Development (CNPq) and the INCT Criosfera (CNPq-704222/2009) for financial support of this work.</t>
  </si>
  <si>
    <t>10.1155/2017/7686540</t>
  </si>
  <si>
    <t>EI6AK</t>
  </si>
  <si>
    <t>WOS:000392577200001</t>
  </si>
  <si>
    <t>Heerah, K; Hindell, M; Andrew-Goff, V; Field, I; McMahon, CR; Charrassin, JB</t>
  </si>
  <si>
    <t>Heerah, Karine; Hindell, Mark; Andrew-Goff, Virginia; Field, Iain; McMahon, Clive R.; Charrassin, Jean-Benoit</t>
  </si>
  <si>
    <t>Contrasting behavior between two populations of an ice-obligate predator in East Antarctica</t>
  </si>
  <si>
    <t>ECOLOGY AND EVOLUTION</t>
  </si>
  <si>
    <t>capital breeder; first-passage time; habitat use; movement patterns; pinnipeds; polar regions; winter</t>
  </si>
  <si>
    <t>FEMALE WEDDELL SEALS; FORAGING BEHAVIOR; LEPTONYCHOTES-WEDDELLII; 3-DIMENSIONAL MOVEMENTS; DIVING BEHAVIOR; MARGUERITE BAY; HABITAT USE; ROSS SEA; WINTER; TELEMETRY</t>
  </si>
  <si>
    <t>The Austral autumn-winter is a critical period for capital breeders such as Weddell seals that must optimize resource acquisition and storage to provision breeding in the subsequent spring. However, how Weddell seals find food in the winter months remains poorly documented. We equipped adult Weddell seals after their annual molt with satellite-relayed data loggers at two sites in East Antarctica: Dumont D'Urville (n = 12, DDU) and Davis (n = 20). We used binomial generalized mixed-effect models to investigate Weddell seals' behavioral response (i.e., hunting vs. transit) to physical aspects of their environment (e.g., ice concentration). Weddell seal foraging was concentrated to within 5 km of a breathing hole, and they appear to move between holes as local food is depleted. There were regional differences in behavior so that seals at Davis traveled greater distances (three times more) and spent less time in hunting mode (half the time) than seals at DDU. Despite these differences, hunting dives at both locations were pelagic, concentrated in areas of high ice concentration, and over areas of complex bathymetry. There was also a seasonal change in diving behavior from transiting early in the season to more hunting during winter. Our observations suggest that Weddell seal foraging behavior is plastic and that they respond behaviorally to changes in their environment to maximize food acquisition and storage. Such plasticity is a hallmark of animals that live in very dynamic environments such as the high Antarctic where resources are unpredictable.</t>
  </si>
  <si>
    <t>[Heerah, Karine; Charrassin, Jean-Benoit] UPMC Univ Paris 06, Sorbonne Univ, LOCEAN Lab, CNRS,IRD,MNHN, Paris, France; [Heerah, Karine; Hindell, Mark; Andrew-Goff, Virginia] Univ Tasmania, Inst Marine &amp; Antarctic Studies, Hobart, Tas, Australia; [Hindell, Mark] Univ Tasmania, Antarctic Climate &amp; Ecosyst Cooperat Res Ctr, Hobart, Tas, Australia; [Field, Iain] Macquarie Univ, Dept Biol Sci, Sydney, NSW, Australia; [McMahon, Clive R.] Sydney Inst Marine Sci, Sydney, NSW, Australia</t>
  </si>
  <si>
    <t>Sorbonne Universite; Centre National de la Recherche Scientifique (CNRS); Institut de Recherche pour le Developpement (IRD); Museum National d'Histoire Naturelle (MNHN); University of Tasmania; Antarctic Climate &amp; Ecosystems Cooperative Research Centre (ACE CRC); University of Tasmania; Macquarie University; Sydney Institute of Marine Science</t>
  </si>
  <si>
    <t>Heerah, K (corresponding author), UPMC Univ Paris 06, Sorbonne Univ, LOCEAN Lab, CNRS,IRD,MNHN, Paris, France.</t>
  </si>
  <si>
    <t>karine.heerah@hotmail.fr</t>
  </si>
  <si>
    <t>Field, Iain C/D-3934-2009; Hindell, Mark A/K-1131-2013; McMahon, Clive R/D-5713-2013; Heerah, karine/F-5368-2013</t>
  </si>
  <si>
    <t>McMahon, Clive R/0000-0001-5241-8917; Hindell, Mark/0000-0002-7823-7185; Andrews-Goff, Virginia/0000-0002-4609-7317</t>
  </si>
  <si>
    <t>Australian Antarctic Science [2794]; Centre National d'Etudes Spatiales (TOSCA-CNES); Australian Animal Tracking and Monitoring System (AATAMS)</t>
  </si>
  <si>
    <t>Australian Antarctic Science; Centre National d'Etudes Spatiales (TOSCA-CNES); Australian Animal Tracking and Monitoring System (AATAMS)</t>
  </si>
  <si>
    <t>Australian Antarctic Science, Grant/Award Number: 2794; Centre National d'Etudes Spatiales (TOSCA-CNES); Australian Animal Tracking and Monitoring System (AATAMS).</t>
  </si>
  <si>
    <t>2045-7758</t>
  </si>
  <si>
    <t>ECOL EVOL</t>
  </si>
  <si>
    <t>Ecol. Evol.</t>
  </si>
  <si>
    <t>10.1002/ece3.2652</t>
  </si>
  <si>
    <t>Ecology; Evolutionary Biology</t>
  </si>
  <si>
    <t>Environmental Sciences &amp; Ecology; Evolutionary Biology</t>
  </si>
  <si>
    <t>EH9EU</t>
  </si>
  <si>
    <t>WOS:000392075300014</t>
  </si>
  <si>
    <t>Lee, WY; Kim, HC; Han, YD; Hyun, CU; Park, S; Jung, JW; Kim, JH</t>
  </si>
  <si>
    <t>Lee, Won Young; Kim, Hyun-Cheol; Han, Yeong-Deok; Hyun, Chang-Uk; Park, Seongseop; Jung, Jin-Woo; Kim, Jeong-Hoon</t>
  </si>
  <si>
    <t>Breeding records of kelp gulls in areas newly exposed by glacier retreat on King George Island, Antarctica</t>
  </si>
  <si>
    <t>JOURNAL OF ETHOLOGY</t>
  </si>
  <si>
    <t>Antarctic Peninsula; Climate warming; Climate change; Nesting site; Breeding habitat</t>
  </si>
  <si>
    <t>LARUS-DOMINICANUS; SOUTH SHETLAND; PENINSULA; SELECTION</t>
  </si>
  <si>
    <t>In recent decades, the glaciers on the Antarctic Peninsula have been rapidly retreating. Using satellite images taken during the austral summer from 1989 to 2016, we estimated the glacier pattern on King George Island in the Antarctic Peninsula, Antarctica, and found that glacier boundaries have gradually retreated. We have recorded the kelp gull nest sites in this glacier-retreat region during four breeding seasons (from 2012-2013 to 2015-2016). Satellite images and newly established kelp gull nests suggest that glacier retreat could lead to an enlarged breeding habitat for kelp gulls.</t>
  </si>
  <si>
    <t>[Lee, Won Young; Han, Yeong-Deok; Park, Seongseop; Jung, Jin-Woo; Kim, Jeong-Hoon] Korea Polar Res Inst, Div Polar Life Sci, Inchon 21990, South Korea; [Kim, Hyun-Cheol; Hyun, Chang-Uk] Korea Polar Res Inst, Div Polar Ocean Environm, Inchon 21990, South Korea; [Han, Yeong-Deok] Inha Univ, Dept Biol Sci, Coll Nat Sci, Inchon 22212, South Korea; [Park, Seongseop] Incheon Natl Univ, Div Life Sci, Inchon 22012, South Korea</t>
  </si>
  <si>
    <t>Korea Polar Research Institute (KOPRI); Korea Polar Research Institute (KOPRI); Inha University; Incheon National University</t>
  </si>
  <si>
    <t>Kim, JH (corresponding author), Korea Polar Res Inst, Div Polar Life Sci, Inchon 21990, South Korea.</t>
  </si>
  <si>
    <t>jhkim94@kopri.re.kr</t>
  </si>
  <si>
    <t>Han, Yeong-Deok/GWR-0467-2022; Kim, Hyun-Cheol/AAP-1250-2020</t>
  </si>
  <si>
    <t>Kim, Hyun-Cheol/0000-0002-6831-9291</t>
  </si>
  <si>
    <t>Long-Term Ecological Researches on King George Island to Predict Ecosystem Responses to Climate Change - Korea Polar Research Institute [PE14020]; Satellite Remote Sensing on the West Antarctic Ocean Research - Korea Polar Research Institute [PE14040]; Basic Science Research Program through the National Research Foundation of Korea; Ministry of Education, Science and Technology [NRF-2014 R1A6A3A01008495]</t>
  </si>
  <si>
    <t>Long-Term Ecological Researches on King George Island to Predict Ecosystem Responses to Climate Change - Korea Polar Research Institute; Satellite Remote Sensing on the West Antarctic Ocean Research - Korea Polar Research Institute; Basic Science Research Program through the National Research Foundation of Korea(National Research Foundation of Korea); Ministry of Education, Science and Technology(Ministry of Education, Science &amp; Technology (MEST), Republic of Korea)</t>
  </si>
  <si>
    <t>This research was supported by the Long-Term Ecological Researches on King George Island to Predict Ecosystem Responses to Climate Change (PE14020) and Satellite Remote Sensing on the West Antarctic Ocean Research (PE14040) funded by the Korea Polar Research Institute. This work was partly supported by the Basic Science Research Program through the National Research Foundation of Korea, funded by the Ministry of Education, Science and Technology (NRF-2014 R1A6A3A01008495).</t>
  </si>
  <si>
    <t>0289-0771</t>
  </si>
  <si>
    <t>1439-5444</t>
  </si>
  <si>
    <t>J ETHOL</t>
  </si>
  <si>
    <t>J. Ethol.</t>
  </si>
  <si>
    <t>10.1007/s10164-016-0500-x</t>
  </si>
  <si>
    <t>Behavioral Sciences; Zoology</t>
  </si>
  <si>
    <t>EH8OK</t>
  </si>
  <si>
    <t>WOS:000392031600015</t>
  </si>
  <si>
    <t>Garcia, RR; Smith, AK; Kinnison, DE; de la Cámara, A; Murphy, DJ</t>
  </si>
  <si>
    <t>Garcia, Rolando R.; Smith, Anne K.; Kinnison, Douglas E.; de la Camara, Alvaro; Murphy, Damian J.</t>
  </si>
  <si>
    <t>Modification of the Gravity Wave Parameterization in the Whole Atmosphere Community Climate Model: Motivation and Results</t>
  </si>
  <si>
    <t>JOURNAL OF THE ATMOSPHERIC SCIENCES</t>
  </si>
  <si>
    <t>GENERAL-CIRCULATION MODEL; BREWER-DOBSON CIRCULATION; LOWER STRATOSPHERE; DOWNWARD CONTROL; MOMENTUM FLUXES; DRAG; INTERMITTENCY; COMPENSATION; THERMOSPHERE; MESOSPHERE</t>
  </si>
  <si>
    <t>The current standard version of the Whole Atmosphere Community Climate Model (WACCM) simulates Southern Hemisphere winter and spring temperatures that are too cold compared with observations. This cold-pole bias leads to unrealistically low ozone column amounts in Antarctic spring. Here, the cold-pole problem is addressed by introducing additional mechanical forcing of the circulation via parameterized gravity waves. Insofar as observational guidance is ambiguous regarding the gravity waves that might be important in the Southern Hemisphere stratosphere, the impact of increasing the forcing by orographic gravity waves was investigated. This reduces the strength of the Antarctic polar vortex in WACCM, bringing it into closer agreement with observations, and accelerates the Brewer-Dobson circulation in the polar stratosphere, which warms the polar cap and improves substantially the simulation of Antarctic temperature. These improvements are achieved without degrading the performance of the model in the Northern Hemisphere stratosphere or in the mesosphere and lower thermosphere of either hemisphere. It is shown, finally, that other approaches that enhance gravity wave forcing can also reduce the cold-pole bias such that careful examination of observational evidence and model performance will be required to establish which gravity wave sources are dominant in the real atmosphere. This is especially important because a downward control analysis of these results suggests that the improvement of the cold-pole bias itself is not very sensitive to the details of how gravity wave drag is altered.</t>
  </si>
  <si>
    <t>[Garcia, Rolando R.; Smith, Anne K.; Kinnison, Douglas E.; de la Camara, Alvaro] Natl Ctr Atmospher Res, POB 3000, Boulder, CO 80307 USA; [Murphy, Damian J.] Australian Antarctic Div, Hobart, Tas, Australia</t>
  </si>
  <si>
    <t>National Center Atmospheric Research (NCAR) - USA; Australian Antarctic Division</t>
  </si>
  <si>
    <t>Garcia, RR (corresponding author), Natl Ctr Atmospher Res, POB 3000, Boulder, CO 80307 USA.</t>
  </si>
  <si>
    <t>rgarcia@ucar.edu</t>
  </si>
  <si>
    <t>Garcia-Herrera, Ricardo/ABE-4731-2020; de la Camara, Alvaro/P-7062-2016</t>
  </si>
  <si>
    <t>de la Camara, Alvaro/0000-0002-8831-4789; Murphy, Damian/0000-0003-1738-5560; Smith, Anne/0000-0003-2384-5033</t>
  </si>
  <si>
    <t>NASA [X09AJ83G]; NSF; Office of Science of the U.S. Department of Energy</t>
  </si>
  <si>
    <t>NASA(National Aeronautics &amp; Space Administration (NASA)); NSF(National Science Foundation (NSF)); Office of Science of the U.S. Department of Energy(United States Department of Energy (DOE))</t>
  </si>
  <si>
    <t>We thank Drs. J. Richter and J.-F. Lamarque for their comments on the original version of this study. We also thank Drs. Ed Gerber and Peter Haynes and an anonymous reviewer for their reviews, which have resulted in a much improved paper, and Dr. Jonathan Shanklin, of the British Antarctic Survey, for making available the Halley total column ozone data. R. Garcia was supported in part by NASA Grant X09AJ83G. WACCM is a component of the Community Earth System Model (CESM), which is supported by the NSF and the Office of Science of the U.S. Department of Energy. Computing resources were provided by NCAR's Climate Simulation Laboratory, sponsored by the NSF and other agencies. This research was enabled by the computational and storage resources of NCAR's Computational and Information Systems Laboratory (CISL).</t>
  </si>
  <si>
    <t>0022-4928</t>
  </si>
  <si>
    <t>1520-0469</t>
  </si>
  <si>
    <t>J ATMOS SCI</t>
  </si>
  <si>
    <t>J. Atmos. Sci.</t>
  </si>
  <si>
    <t>10.1175/JAS-D-16-0104.1</t>
  </si>
  <si>
    <t>EI3VD</t>
  </si>
  <si>
    <t>WOS:000392419300016</t>
  </si>
  <si>
    <t>Leal, PP; Hurd, CL; Fernández, PA; Roleda, MY</t>
  </si>
  <si>
    <t>Leal, Pablo P.; Hurd, Catriona L.; Fernandez, Pamela A.; Roleda, Michael Y.</t>
  </si>
  <si>
    <t>Meiospore development of the kelps Macrocystis pyrifera and Undaria pinnatifida under ocean acidification and ocean warming: independent effects are more important than their interaction</t>
  </si>
  <si>
    <t>SEA-SURFACE TEMPERATURE; GIANT-KELP; CLIMATE-CHANGE; ALGAL PHOTOSYNTHESIS; POPULATION BIOLOGY; BROWN SEAWEEDS; NEUTRAL LIPIDS; ECKLONIA-CAVA; INCREASED CO2; ELEVATED CO2</t>
  </si>
  <si>
    <t>Anthropogenic atmospheric emissions of CO2 are responsible for simultaneous ocean warming (OW) and ocean acidification (OA). These global events can have important impacts on marine fleshy macroalgae and coastal ecosystems. To understand the effects of OW and OA on the early life history stages of native (Macrocystis pyrifera) and invasive (Undaria pinnatifida) macroalgae, a multi-factorial experiment was performed to determine the independent and interactive effects of the drivers and the corresponding species-specific responses. Meiospores of M. pyrifera and U. pinnatifida were separately exposed to a 4 x 2 factorial design of seawater pH (pH(T) 7.20, extreme OA predicted for 2300; pH(T) 7.65, OA predicted for 2100; pHT 8.03, ambient pH; and pH(T) 8.40, pre-industrial pH) and temperature (12 degrees C, seasonal average temperature; and 16 degrees C, OW predicted for 2100). Over 15 days, different physiological parameters (i.e. meiospore germination, germling growth rate, gametophyte development and sex ratio) were measured. Reduced seawater pH and elevated temperature had independent and significant effects on developmental processes (germling growth rate, and male and female gametophyte sizes were independently greater under OA and OW conditions), but the interaction of the abiotic factors had no effect on any stage of meiospore development of either species. Despite some small differences between species (e.g. sex ratio), results of this experiment suggest that microscopic stages of the native M. pyrifera and the invasive U. pinnatifida will respond similarly to OA and OW.</t>
  </si>
  <si>
    <t>[Leal, Pablo P.; Hurd, Catriona L.; Fernandez, Pamela A.; Roleda, Michael Y.] Univ Otago, Dept Bot, 479 Great King St, Dunedin 9016, New Zealand; [Leal, Pablo P.; Hurd, Catriona L.; Fernandez, Pamela A.] Univ Tasmania, Inst Marine &amp; Antarctic Studies, 20 Castray Esplanade, Hobart, Tas 7004, Australia; [Roleda, Michael Y.] Norwegian Inst Bioecon Res, Kudalsveien 6, N-8049 Bodo, Norway</t>
  </si>
  <si>
    <t>University of Otago; University of Tasmania; Norwegian Institute of Bioeconomy Research</t>
  </si>
  <si>
    <t>Leal, PP (corresponding author), Univ Otago, Dept Bot, 479 Great King St, Dunedin 9016, New Zealand.;Leal, PP (corresponding author), Univ Tasmania, Inst Marine &amp; Antarctic Studies, 20 Castray Esplanade, Hobart, Tas 7004, Australia.</t>
  </si>
  <si>
    <t>pablo.lealsandoval@utas.edu.au</t>
  </si>
  <si>
    <t>Roleda, Michael Y./H-9645-2019; Leal, Pablo P./N-3927-2019; Fernandez, Pamela Andrea/K-2021-2014; Fernandez, Pamela/AAX-1676-2021; Hurd, Catriona/J-2411-2013</t>
  </si>
  <si>
    <t>Roleda, Michael Y./0000-0003-0568-9081; Leal, Pablo P./0000-0002-7616-1850; Fernandez, Pamela Andrea/0000-0003-3122-0084; Fernandez, Pamela/0000-0003-3122-0084; Hurd, Catriona/0000-0001-9965-4917</t>
  </si>
  <si>
    <t>BECAS CHILE-CONICYT programme; Royal Society of New Zealand [UOO0914]</t>
  </si>
  <si>
    <t>BECAS CHILE-CONICYT programme; Royal Society of New Zealand(Royal Society of New Zealand)</t>
  </si>
  <si>
    <t>This study was funded by BECAS CHILE-CONICYT programme and the Royal Society of New Zealand (Mardsen Grant UOO0914).</t>
  </si>
  <si>
    <t>10.1007/s00227-016-3039-z</t>
  </si>
  <si>
    <t>WOS:000392332900007</t>
  </si>
  <si>
    <t>Tang, JY</t>
  </si>
  <si>
    <t>Tang, Jianye</t>
  </si>
  <si>
    <t>China's engagement in the establishment of marine protected areas in the Southern Ocean: From reactive to active</t>
  </si>
  <si>
    <t>MARINE POLICY</t>
  </si>
  <si>
    <t>China; The Southern Ocean; MPAs; The CCAMLR; The Ross Sea; The East Antarctic</t>
  </si>
  <si>
    <t>CONSERVATION; SYSTEM; CCAMLR</t>
  </si>
  <si>
    <t>The stalemate since 2012 over the establishment of marine protected areas (MPAs) in the Southern Ocean has been a source of debate within and outside the Commission for Conservation of Antarctic Marine Living Resources (CCAMLR). In 2015, China's support for the proposal for the establishment of a Ross Sea MPA was commended as a major step forward. As the newest Member of the CCAMLR, China refrained itself from commenting specifically on the issue of MPAs in the previous years, and had not articulated clearly its basic position until 2014. In light of its basic position and practices, China may become more active, maintain its basic position and take a case-by-case approach in relation to other MPA proposals. Moreover, bilateral interaction is helpful in finding practical solutions.</t>
  </si>
  <si>
    <t>[Tang, Jianye] Shanghai Jiao Tong Univ, KoGuan Law Sch, Shanghai, Peoples R China; [Tang, Jianye] Shanghai Ocean Univ, Natl Engn Res Ctr Ocean Fisheries, Shanghai, Peoples R China</t>
  </si>
  <si>
    <t>Shanghai Jiao Tong University; National Engineering Research Center for Oceanic Fisheries; Shanghai Ocean University</t>
  </si>
  <si>
    <t>Tang, JY (corresponding author), Shanghai Jiao Tong Univ, KoGuan Law Sch, Shanghai, Peoples R China.;Tang, JY (corresponding author), Shanghai Ocean Univ, Natl Engn Res Ctr Ocean Fisheries, Shanghai, Peoples R China.</t>
  </si>
  <si>
    <t>jytang@shou.edu.cn</t>
  </si>
  <si>
    <t>National Social Science Foundation [15BGJ059]; China Arctic and Antarctic Office</t>
  </si>
  <si>
    <t>National Social Science Foundation; China Arctic and Antarctic Office</t>
  </si>
  <si>
    <t>The author is grateful for comments on earlier drafts received by Dr. Keith Reid, Dr. Nengye Liu, Professor Wensheng Qu, Mr. Lei Yang, Ms. Huihui Shen, anonymous reviewers and the editor. The author also wishes to acknowledge the funding supports from National Social Science Foundation (15BGJ059) and the China Arctic and Antarctic Office. The viewpoints expressed herein are those of the author, not necessarily construed as others'.</t>
  </si>
  <si>
    <t>0308-597X</t>
  </si>
  <si>
    <t>1872-9460</t>
  </si>
  <si>
    <t>MAR POLICY</t>
  </si>
  <si>
    <t>Mar. Pol.</t>
  </si>
  <si>
    <t>10.1016/j.marpol.2016.10.010</t>
  </si>
  <si>
    <t>Environmental Studies; International Relations</t>
  </si>
  <si>
    <t>Environmental Sciences &amp; Ecology; International Relations</t>
  </si>
  <si>
    <t>EH6SP</t>
  </si>
  <si>
    <t>WOS:000391904500009</t>
  </si>
  <si>
    <t>Paxton, H; Wiklund, H; Alexander, F; Taboada, S</t>
  </si>
  <si>
    <t>Paxton, Hannelore; Wiklund, Helena; Alexander, Frances; Taboada, Sergi</t>
  </si>
  <si>
    <t>Is the Antarctic Ophryotrocha orensanzi (Annelida: Dorvilleidae) a circumpolar non-specialized opportunist?</t>
  </si>
  <si>
    <t>SYSTEMATICS AND BIODIVERSITY</t>
  </si>
  <si>
    <t>Antarctica; Casey station; Deception Island; haplotype network; K-type maxillae; morphology; nuchal papilla; polychaete</t>
  </si>
  <si>
    <t>POLYCHAETA</t>
  </si>
  <si>
    <t>The dorvilleid polychaete Ophryotrocha orensanzi is reported from the vicinity of Casey station, East Antarctica, an astounding range extension from its previous records in the South Shetland Islands to the opposite side of the Antarctic continent, suggesting that it is a circumpolar species. Genetic studies confirmed the conspecificity and the inferred haplotype network suggests that the two populations studied are genetically connected. Morphological studies of the newly collected material revealed that the jaw apparatus consists of the P- and K-type, in accordance with other members of the lobifera' clade. We are reporting a previously undocumented button-like structure that we are referring to as nuchal papilla' for its association with the nuchal region, and present an emended diagnosis for the species. The Casey station population was collected in a clean, unpolluted intertidal environment associated with stones and seaweeds. We are challenging the generally held opinion that Ophryotrocha species are specialists of organically enriched substrates, suggesting that, at least for the particulars of O. orensanzi, they might also be unspecialized opportunists, able to exist in the most pristine environments and having the ability to rapidly increase their population sizes under favourable conditions.</t>
  </si>
  <si>
    <t>[Paxton, Hannelore] Macquarie Univ, Dept Biol Sci, Sydney, NSW 2109, Australia; [Paxton, Hannelore] Australian Museum Res Inst, 1 William St, Sydney, NSW 2010, Australia; [Wiklund, Helena; Taboada, Sergi] Nat Hist Museum, Dept Life Sci, Cromwell Rd, London SW7 5BD, England; [Alexander, Frances] Southern Cross Univ, Marine Ecol Res Ctr, Lismore, NSW 2480, Australia; [Alexander, Frances] Australian Antarctic Div, Kingston, Tas 7050, Australia; [Taboada, Sergi] Univ Barcelona, Fac Biol, Dept Biol Anim, Avda Diagonal 643, E-08028 Barcelona, Spain</t>
  </si>
  <si>
    <t>Macquarie University; Australian Museum; Natural History Museum London; Southern Cross University; Australian Antarctic Division; University of Barcelona</t>
  </si>
  <si>
    <t>Paxton, H (corresponding author), Macquarie Univ, Dept Biol Sci, Sydney, NSW 2109, Australia.;Paxton, H (corresponding author), Australian Museum Res Inst, 1 William St, Sydney, NSW 2010, Australia.</t>
  </si>
  <si>
    <t>hannelore.paxton@mq.edu.au</t>
  </si>
  <si>
    <t>Taboada, Sergi/AAB-9390-2021</t>
  </si>
  <si>
    <t>Taboada, Sergi/0000-0003-1669-1152; Wiklund, Helena/0000-0002-8252-3504</t>
  </si>
  <si>
    <t>Spanish Government, under the research project ACTIQUIM-II [CTM2010-17415/ANT]; Natural History Museum [SDF14032]; Australian Government through Australian Antarctic Science Grants [AAS 4142, AAS 4100]</t>
  </si>
  <si>
    <t>Spanish Government, under the research project ACTIQUIM-II; Natural History Museum; Australian Government through Australian Antarctic Science Grants(Australian Government)</t>
  </si>
  <si>
    <t>This research was funded by the Spanish Government, under the research project ACTIQUIM-II (CTM2010-17415/ANT) and by Natural History Museum internal funding to A. Riesgo (SDF14032). Collections from Casey station were supported by the Australian Government through Australian Antarctic Science Grants awarded to P. Harrison (AAS 4142) and to C. K. King (AAS 4100).</t>
  </si>
  <si>
    <t>1477-2000</t>
  </si>
  <si>
    <t>1478-0933</t>
  </si>
  <si>
    <t>SYST BIODIVERS</t>
  </si>
  <si>
    <t>Syst. Biodivers.</t>
  </si>
  <si>
    <t>10.1080/14772000.2016.1218371</t>
  </si>
  <si>
    <t>Biodiversity Conservation; Biology</t>
  </si>
  <si>
    <t>Biodiversity &amp; Conservation; Life Sciences &amp; Biomedicine - Other Topics</t>
  </si>
  <si>
    <t>EI4BD</t>
  </si>
  <si>
    <t>WOS:000392436900002</t>
  </si>
  <si>
    <t>Li, LY; Ke, CQ; Xie, HJ; Lei, RB; Tao, AQ</t>
  </si>
  <si>
    <t>Li Lanyu; Ke Changqing; Xie Hongjie; Lei Ruibo; Tao Anqi</t>
  </si>
  <si>
    <t>Aerial observations of sea ice and melt ponds near the North Pole during CHINARE2010</t>
  </si>
  <si>
    <t>ACTA OCEANOLOGICA SINICA</t>
  </si>
  <si>
    <t>sea ice; melt pond; albedo; concentration; aerial observation; North Pole</t>
  </si>
  <si>
    <t>OCEAN; ALBEDO; VARIABILITY; TRENDS; IMPACT; COVER</t>
  </si>
  <si>
    <t>An aerial photography has been used to provide validation data on sea ice near the North Pole where most polar orbiting satellites cannot cover. This kind of data can also be used as a supplement for missing data and for reducing the uncertainty of data interpolation. The aerial photos are analyzed near the North Pole collected during the Chinese national arctic research expedition in the summer of 2010 (CHINARE2010). The result shows that the average fraction of open water increases from the ice camp at approximately 87 degrees N to the North Pole, resulting in the decrease in the sea ice. The average sea ice concentration is only 62.0% for the two flights (16 and 19 August 2010). The average albedo (0.42) estimated from the area ratios among snow-covered ice, melt pond and water is slightly lower than the 0.49 of HOTRAX 2005. The data on 19 August 2010 shows that the albedo decreases from the ice camp at approximately 87 degrees N to the North Pole, primarily due to the decrease in the fraction of snow-covered ice and the increase in fractions of melt-pond and open-water. The ice concentration from the aerial photos and AMSR-E (The Advanced Microwave Scanning Radiometer-Earth Observing System) images at 87.0 degrees-87.5 degrees N exhibits similar spatial patterns, although the AMSR-E. concentration is approximately 18.0% (on average) higher than aerial photos. This can be attributed to the 6.25 km resolution of AMSR-E, which cannot separate melt ponds/submerged ice from ice and cannot detect the small leads between floes. Thus, the aerial photos would play an important role in providing high-resolution independent estimates of the ice concentration and the fraction of melt pond cover to validate and/or supplement space-borne remote sensing products near the North Pole.</t>
  </si>
  <si>
    <t>[Li Lanyu; Ke Changqing; Tao Anqi] Nanjing Univ, Jiangsu Prov Key Lab Geog Informat Sci &amp; Technol, Nanjing 210023, Jiangsu, Peoples R China; [Xie Hongjie] Univ Texas San Antonio, Dept Geol Sci, San Antonio, TX 78249 USA; [Lei Ruibo] State Ocean Adm, Polar Res Inst China, Shanghai 200136, Peoples R China</t>
  </si>
  <si>
    <t>Nanjing University; University of Texas System; University of Texas at San Antonio (UTSA); Polar Research Institute of China</t>
  </si>
  <si>
    <t>Ke, CQ (corresponding author), Nanjing Univ, Jiangsu Prov Key Lab Geog Informat Sci &amp; Technol, Nanjing 210023, Jiangsu, Peoples R China.</t>
  </si>
  <si>
    <t>Xie, Hongjie/B-5845-2009; li, lanyu/GSN-6045-2022</t>
  </si>
  <si>
    <t>Xie, Hongjie/0000-0003-3516-1210;</t>
  </si>
  <si>
    <t>National Natural Science Foundation of China [41371391]; Program for Foreign Cooperation of Chinese Arctic and Antarctic Administration, State Oceanic Administration of China [IC201301]; National Key Research and Development Program of China [2016YFA0600102]</t>
  </si>
  <si>
    <t>National Natural Science Foundation of China(National Natural Science Foundation of China (NSFC)); Program for Foreign Cooperation of Chinese Arctic and Antarctic Administration, State Oceanic Administration of China; National Key Research and Development Program of China</t>
  </si>
  <si>
    <t>Foundation item: The National Natural Science Foundation of China under contract No. 41371391; the Program for Foreign Cooperation of Chinese Arctic and Antarctic Administration, State Oceanic Administration of China under contract No. IC201301; the National Key Research and Development Program of China under contract No. 2016YFA0600102.</t>
  </si>
  <si>
    <t>0253-505X</t>
  </si>
  <si>
    <t>1869-1099</t>
  </si>
  <si>
    <t>ACTA OCEANOL SIN</t>
  </si>
  <si>
    <t>Acta Oceanol. Sin.</t>
  </si>
  <si>
    <t>10.1007/s13131-017-0994-2</t>
  </si>
  <si>
    <t>EH4XZ</t>
  </si>
  <si>
    <t>WOS:000391778500008</t>
  </si>
  <si>
    <t>Salas, L; Nur, N; Ainley, D; Burns, J; Rotella, J; Ballard, G</t>
  </si>
  <si>
    <t>Salas, Leo; Nur, Nadav; Ainley, David; Burns, Jennifer; Rotella, Jay; Ballard, Grant</t>
  </si>
  <si>
    <t>Coping with the loss of large, energy-dense prey: a potential bottleneck for Weddell Seals in the Ross Sea</t>
  </si>
  <si>
    <t>ECOLOGICAL APPLICATIONS</t>
  </si>
  <si>
    <t>Antarctic silverfish; Antarctic toothfish; diving behavior; energy bottleneck; fisheries impacts; Leptonychotes weddellii; Leslie matrix; precautionary management; Ross Sea; Weddell seal</t>
  </si>
  <si>
    <t>TOOTHFISH DISSOSTICHUS-MAWSONI; WESTERN HUDSON-BAY; ANTARCTIC TOOTHFISH; MCMURDO-SOUND; LEPTONYCHOTES-WEDDELLII; TROPHIC INTERACTIONS; PLEURAGRAMMA-ANTARCTICUM; SPATIAL VARIATION; MARINE PREDATOR; POLAR BEARS</t>
  </si>
  <si>
    <t>Extraction of Antarctic toothfish (Dissostichus mawsoni) in the Ross Sea began in 1997, following a management plan that targets the largest fish with a goal of reducing the spawning biomass by 50% over 35 yr. We investigate the potential long-term consequences of the reduced availability of this prey for Weddell seals (Leptonychotes weddellii). Energy -demands in seals are acute, especially immediately following lactation, when females must -recover substantial mass and cope with molting costs. We tested the hypothesis that toothfish are critically important for adult female seals during this period. Toothfish body mass is three orders of magnitude greater, and its energy density nearly double that of the most common seal prey, Antarctic silverfish (Pleuragramma antarcticum). Reduction or elimination of toothfish consumption could impair a female's ability to sufficiently recover and successfully produce a pup in the following pupping season. Our goals are to (1) illustrate mechanisms and conditions whereby toothfish depletion might plausibly affect seal population trends; (2) identify measurable parameters of the seals' ecology that may help better understand the potential negative impact of toothfish depletion on seal populations; and (3) promote a precautionary management approach for the fishery that includes monitoring of seal populations We constructed a set of inter-linked models of seal diving behavior, physiological condition, and demography based on existing information. We evaluate the effect of the following factors on seal mass recovery and intrinsic population growth rates: fishery depletion rate, daily diving limits, probability of a successful dive, and body mass recovery target. We show that loss of toothfish has the greatest potential impact on seal populations' growth rate. Under some scenarios, populations may decrease at &gt; 10% per year. Critical parameters to better understand fishery impacts include prevalence and size of toothfish in the seals' diet; the relationship between diet and the rate of mass recovery; and female breeding propensity in relation to body condition at the end of the molting period. Our results lend support to concerns about the potential negative impact of toothfish extraction in the Ross Sea; and to advocate for a precautionary management approach by the fishery.</t>
  </si>
  <si>
    <t>[Salas, Leo; Nur, Nadav; Ballard, Grant] Point Blue Conservat Sci, Petaluma, CA 94954 USA; [Ainley, David] HT Harvey &amp; Associates Ecol Consultants, Los Gatos, CA 95032 USA; [Burns, Jennifer] Univ Alaska Anchorage, Dept Biol Sci, Anchorage, AK 99508 USA; [Rotella, Jay] Montana State Univ, Dept Ecol, Bozeman, MT 59717 USA</t>
  </si>
  <si>
    <t>University of Alaska System; University of Alaska Anchorage; Montana State University System; Montana State University Bozeman</t>
  </si>
  <si>
    <t>Salas, L (corresponding author), Point Blue Conservat Sci, Petaluma, CA 94954 USA.</t>
  </si>
  <si>
    <t>lsalas@pointblue.org</t>
  </si>
  <si>
    <t>Burns, Jennifer/AAC-8243-2019</t>
  </si>
  <si>
    <t>Burns, Jennifer/0000-0001-9652-2943; Rotella, Jay/0000-0001-7014-7524</t>
  </si>
  <si>
    <t>Mission Blue and Biotherm; National Science Foundation, Division of Polar Programs [ANT-1141326, ANT-0944411, ANT-0944141, ANT-1246463]; Division Of Ocean Sciences; Directorate For Geosciences [1246463] Funding Source: National Science Foundation; Office of Polar Programs (OPP); Directorate For Geosciences [1543498] Funding Source: National Science Foundation; Office of Polar Programs (OPP); Directorate For Geosciences [1543541, 1141326] Funding Source: National Science Foundation</t>
  </si>
  <si>
    <t>Mission Blue and Biotherm; National Science Foundation, Division of Polar Programs(National Science Foundation (NSF)); Division Of Ocean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</si>
  <si>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Funding for this project was provided by Mission Blue and Biotherm. The National Science Foundation, Division of Polar Programs, provided additional support through grants no. ANT-1141326 (J. Rotella, R.A. Garrott, and Donald B. Siniff); ANT-0944411 (D. Ainley); ANT-0944141 (G. Ballard); and ANT-1246463 (J. Burns). This is Point Blue Conservation Science contribution No. 2105.</t>
  </si>
  <si>
    <t>1051-0761</t>
  </si>
  <si>
    <t>1939-5582</t>
  </si>
  <si>
    <t>ECOL APPL</t>
  </si>
  <si>
    <t>Ecol. Appl.</t>
  </si>
  <si>
    <t>10.1002/eap.1435</t>
  </si>
  <si>
    <t>EH7XG</t>
  </si>
  <si>
    <t>WOS:000391985300002</t>
  </si>
  <si>
    <t>Hall, B; Bromley, G; Stone, J; Conway, H</t>
  </si>
  <si>
    <t>Hall, Brenda; Bromley, Gordon; Stone, John; Conway, Howard</t>
  </si>
  <si>
    <t>Holocene ice recession at Polygon Spur, Reedy Glacier, Antarctica</t>
  </si>
  <si>
    <t>HOLOCENE</t>
  </si>
  <si>
    <t>algae; Antarctica; cyanobacteria; exposure-age dating; Holocene; proglacial lakes; radiocarbon dating; Reedy Glacier</t>
  </si>
  <si>
    <t>PRODUCTION-RATE CALIBRATION; SURFACE FLUCTUATIONS; HATHERTON GLACIER; PRODUCTION-RATES; TAYLOR VALLEY; ROSS SEA; BE-10; ACCUMULATION; CHRONOLOGY; MOUNTAINS</t>
  </si>
  <si>
    <t>The Holocene history of outlet glaciers affords information on the behavior and mechanisms controlling the extent of the East Antarctic Ice Sheet. Here, we present both new radiocarbon and recalculations of previously published cosmogenic exposure-age data that constrain Holocene ice dynamics along upper Reedy Glacier in the southernmost Transantarctic Mountains. Ice remained at or close to its last glacial maximum position until the early Holocene, at which time it underwent thinning. A period of apparent relative stability in the mid-Holocene led to the formation of ice-dammed proglacial ponds, as well as of moraines located roughly two-thirds of the distance from the maximum position to the present-day ice margin. Renewed thinning began after 3600yr BP, with ice reaching present-day levels by 2400yr BP. Ice variations along upper Reedy Glacier likely reflect the balance between upstream propagation of mechanical thinning events at the glacier mouth and regional accumulation changes.</t>
  </si>
  <si>
    <t>[Hall, Brenda; Bromley, Gordon] Univ Maine, Sch Earth &amp; Climate Sci, Brenda Hall, Orono, ME 04469 USA; [Hall, Brenda; Bromley, Gordon] Univ Maine, Climate Change Inst, Brenda Hall, Orono, ME 04469 USA; [Stone, John; Conway, Howard] Univ Washington, Dept Earth &amp; Space Sci, Seattle, WA 98195 USA</t>
  </si>
  <si>
    <t>University of Maine System; University of Maine Orono; University of Maine System; University of Maine Orono; University of Washington; University of Washington Seattle</t>
  </si>
  <si>
    <t>Hall, B (corresponding author), Univ Maine, Sch Earth &amp; Climate Sci, Brenda Hall, Orono, ME 04469 USA.;Hall, B (corresponding author), Univ Maine, Climate Change Inst, Brenda Hall, Orono, ME 04469 USA.</t>
  </si>
  <si>
    <t>BrendaH@maine.edu</t>
  </si>
  <si>
    <t>Conway, Howard/0000-0003-4634-3474</t>
  </si>
  <si>
    <t>Division of Polar Programs of the National Science Foundation [OPP-0229034]</t>
  </si>
  <si>
    <t>Division of Polar Programs of the National Science Foundation</t>
  </si>
  <si>
    <t>This research was supported by the Division of Polar Programs of the National Science Foundation (grant number OPP-0229034).</t>
  </si>
  <si>
    <t>SAGE PUBLICATIONS LTD</t>
  </si>
  <si>
    <t>1 OLIVERS YARD, 55 CITY ROAD, LONDON EC1Y 1SP, ENGLAND</t>
  </si>
  <si>
    <t>0959-6836</t>
  </si>
  <si>
    <t>1477-0911</t>
  </si>
  <si>
    <t>Holocene</t>
  </si>
  <si>
    <t>10.1177/0959683616652708</t>
  </si>
  <si>
    <t>EH0GR</t>
  </si>
  <si>
    <t>WOS:000391442600011</t>
  </si>
  <si>
    <t>Ivy, DJ; Hilgenbrink, C; Kinnison, D; Plumb, RA; Sheshadri, A; Solomon, S; Thompson, DWJ</t>
  </si>
  <si>
    <t>Ivy, Diane J.; Hilgenbrink, Casey; Kinnison, Doug; Plumb, R. Alan; Sheshadri, Aditi; Solomon, Susan; Thompson, David W. J.</t>
  </si>
  <si>
    <t>Observed Changes in the Southern Hemispheric Circulation in May</t>
  </si>
  <si>
    <t>RELATIVELY SIMPLE AGCM; AMUNDSEN SEA; ANNULAR MODE; TRENDS; OZONE; VARIABILITY; DYNAMICS; IMPACT</t>
  </si>
  <si>
    <t>Much research has focused on trends in the Southern Hemispheric circulation in austral summer (December-February) in the troposphere and stratosphere, whereas changes in other seasons have received less attention. Here the seasonality and structure of observed changes in tropospheric and stratospheric winds, temperature, and ozone over the Southern Hemisphere are examined. It is found that statistically significant trends similar to those of the Antarctic summer season are also observed since 1979 in austral fall, particularly May, and are strongest over the Pacific sector of the hemisphere. Evidence is provided for a significant shift in the position of the jet in May over the Pacific, and it is shown that the strengthening and shifting of the jet has rendered the latitudinal distribution of upper-tropospheric zonal wind more bimodal. The Antarctic ozone hole has cooled the lower stratosphere and strengthened the polar vortex. While the mechanism and timing are not fully understood, the ozone hole has been identified as a key driver of the summer season tropospheric circulation changes in several previous observational and modeling studies. It is found here that significant ozone depletion and associated polar cooling also occur in the lower most stratosphere and tropopause region through austral fall, with spatial patterns that are coincident with the observed changes in stratospheric circulation. It is also shown that radiatively driven temperature changes associated with the observed ozone depletion in May represent a substantial portion of the observed May cooling in the lowermost stratosphere, suggesting a potential for contribution to the circulation changes.</t>
  </si>
  <si>
    <t>[Ivy, Diane J.; Plumb, R. Alan; Solomon, Susan] MIT, Dept Earth Atmospher &amp; Planetary Sci, Cambridge, MA USA; [Hilgenbrink, Casey] Univ Washington, Dept Atmospher Sci, Seattle, WA 98195 USA; [Kinnison, Doug] Natl Ctr Atmospher Res, POB 3000, Boulder, CO 80307 USA; [Sheshadri, Aditi] Columbia Univ, Dept Appl Phys &amp; Appl Math, New York, NY USA; [Thompson, David W. J.] Colorado State Univ, Dept Atmospher Sci, Ft Collins, CO 80523 USA</t>
  </si>
  <si>
    <t>Massachusetts Institute of Technology (MIT); University of Washington; University of Washington Seattle; National Center Atmospheric Research (NCAR) - USA; Columbia University; Colorado State University</t>
  </si>
  <si>
    <t>Ivy, DJ (corresponding author), MIT, 77 Massachusetts Ave,54-1710, Cambridge, MA 02139 USA.</t>
  </si>
  <si>
    <t>divy@mit.edu</t>
  </si>
  <si>
    <t>Thompson, David/C-3520-2008; Thompson, David W J/F-9627-2012</t>
  </si>
  <si>
    <t>Thompson, David W J/0000-0002-5413-4376</t>
  </si>
  <si>
    <t>NSF [1419667]; NSF Climate Dynamics Program; Simons foundation; Directorate For Geosciences; Div Atmospheric &amp; Geospace Sciences [1419667] Funding Source: National Science Foundation; Directorate For Geosciences; Div Atmospheric &amp; Geospace Sciences [1343080] Funding Source: National Science Foundation</t>
  </si>
  <si>
    <t>NSF(National Science Foundation (NSF)); NSF Climate Dynamics Program(National Science Foundation (NSF)); Simons foundation; Directorate For Geosciences; Div Atmospheric &amp; Geospace Sciences(National Science Foundation (NSF)NSF - Directorate for Geosciences (GEO)); Directorate For Geosciences; Div Atmospheric &amp; Geospace Sciences(National Science Foundation (NSF)NSF - Directorate for Geosciences (GEO))</t>
  </si>
  <si>
    <t>This research was supported by NSF Grant 1419667 to MIT. DWJT is support by the NSF Climate Dynamics Program. AS was funded by a Junior award from the Simons foundation.</t>
  </si>
  <si>
    <t>10.1175/JCLI-D-16-0394.1</t>
  </si>
  <si>
    <t>EH6BC</t>
  </si>
  <si>
    <t>Green Published, Green Accepted</t>
  </si>
  <si>
    <t>WOS:000391856300006</t>
  </si>
  <si>
    <t>Döös, K; Kjellsson, J; Zika, J; Laliberté, F; Brodeau, L; Campino, AA</t>
  </si>
  <si>
    <t>Doos, Kristofer; Kjellsson, Joakim; Zika, Jan; Laliberte, Frederic; Brodeau, Laurent; Campino, Aitor Aldama</t>
  </si>
  <si>
    <t>The Coupled Ocean-Atmosphere Hydrothermohaline Circulation</t>
  </si>
  <si>
    <t>SEA-ICE MODEL; FRESH-WATER; THERMOHALINE CIRCULATION; GENERAL-CIRCULATION; ENERGY-TRANSPORT; ECMWF MODEL; VARIABILITY; CLIMATE; SYSTEM; HEAT</t>
  </si>
  <si>
    <t>The thermohaline circulation of the ocean is compared to the hydrothermal circulation of the atmosphere. The oceanic thermohaline circulation is expressed in potential temperature-absolute salinity space and comprises a tropical cell, a conveyor belt cell, and a polar cell, whereas the atmospheric hydrothermal circulation is expressed in potential temperature-specific humidity space and unifies the tropical Hadley and Walker cells as well as the midlatitude eddies into a single, global circulation. The oceanic thermohaline streamfunction makes it possible to analyze and quantify the entire World Ocean conversion rate between cold-warm and fresh-saline waters in one single representation. Its atmospheric analog, the hydrothermal streamfunction, instead captures the conversion rate between cold-warm and dry-humid air in one single representation. It is shown that the ocean thermohaline and the atmospheric hydrothermal cells are connected by the exchange of heat and freshwater through the sea surface. The two circulations are compared on the same diagramby scaling the axes such that the latent heat energy required to move an air parcel on the moisture axis is equivalent to that needed to move a water parcel on the salinity axis. Such a comparison leads the authors to propose that the Clausius-Clapeyron relationship guides both the moist branch of the atmospheric hydrothermal circulation and the warming branches of the tropical and conveyor belt cells of the oceanic thermohaline circulation.</t>
  </si>
  <si>
    <t>[Doos, Kristofer; Brodeau, Laurent; Campino, Aitor Aldama] Stockholm Univ, Dept Meteorol, Bolin Ctr Climate Res, Stockholm, Sweden; [Kjellsson, Joakim] Univ Oxford, Dept Phys, Oxford, England; [Zika, Jan] Imperial Coll London, Dept Phys, London, England; [Zika, Jan] Imperial Coll London, Grantham Inst Climate Change &amp; Environm, London, England; [Laliberte, Frederic] Environm Canada, Div Climate Res, Toronto, ON, Canada</t>
  </si>
  <si>
    <t>Stockholm University; University of Oxford; Imperial College London; Imperial College London; Environment &amp; Climate Change Canada</t>
  </si>
  <si>
    <t>Döös, K (corresponding author), Stockholm Univ, Dept Meteorol, Bolin Ctr Climate Res, Stockholm, Sweden.</t>
  </si>
  <si>
    <t>doos@misu.su.se</t>
  </si>
  <si>
    <t>Kjellsson, Joakim/AAD-2684-2022</t>
  </si>
  <si>
    <t>Kjellsson, Joakim/0000-0002-6405-5276; Aldama-Campino, Aitor/0000-0001-8453-4322; Brodeau, Laurent/0000-0001-8745-7510; Zika, Jan/0000-0003-3462-3559</t>
  </si>
  <si>
    <t>Bolin Centre for Climate Research; Swedish Research Council [2015-04442]; U.K. Natural Environment Research Council [NE/K012150/1]; NERC [NE/K012150/1] Funding Source: UKRI; Vinnova [2015-04442] Funding Source: Vinnova; Swedish Research Council [2015-04442] Funding Source: Swedish Research Council</t>
  </si>
  <si>
    <t>Bolin Centre for Climate Research; Swedish Research Council(Swedish Research Council); U.K. Natural Environment Research Council(UK Research &amp; Innovation (UKRI)Natural Environment Research Council (NERC)); NERC(UK Research &amp; Innovation (UKRI)Natural Environment Research Council (NERC)); Vinnova(Vinnova); Swedish Research Council(Swedish Research Council)</t>
  </si>
  <si>
    <t>The authors wish to thank Peter Lundberg for constructive comments. This work has been financially supported by the Bolin Centre for Climate Research and by the Swedish Research Council (Grant 2015-04442). Joakim Kjellsson is supported by the U.K. Natural Environment Research Council Grant NE/K012150/1: Poles apart: Why has Antarctic sea ice increased, and why can't coupled climate models reproduce observations? The EC-Earth model integrations and the streamfunction computations were performed on resources provided by the Swedish National Infrastructure for Computing (SNIC) at the National Supercomputer Centre at Linkoping University (NSC).</t>
  </si>
  <si>
    <t>10.1175/JCLI-D-15-0759.1</t>
  </si>
  <si>
    <t>WOS:000391856300013</t>
  </si>
  <si>
    <t>Diakin, A; Wakeman, KC; Valigurová, A</t>
  </si>
  <si>
    <t>Diakin, Andrei; Wakeman, Kevin C.; Valigurova, Andrea</t>
  </si>
  <si>
    <t>Description of Ganymedes yurii sp n. (Ganymedidae), a New Gregarine Species from the Antarctic Amphipod Gondogeneia sp (Crustacea)</t>
  </si>
  <si>
    <t>JOURNAL OF EUKARYOTIC MICROBIOLOGY</t>
  </si>
  <si>
    <t>Apicomplexa; Cephaloidophoroidea; eugregarine; marine benthic amphipod; molecular phylogeny; ultrastructure; Weddell Sea</t>
  </si>
  <si>
    <t>ASEPTATE GREGARINE; CEPHALOIDOPHORA-PACIFICA; DIGESTIVE-TRACT; APICOMPLEXA; PARASITE; PHYLOGENY; REVISION; KRILL; RDNA; ULTRASTRUCTURE</t>
  </si>
  <si>
    <t>A novel species of aseptate eugregarine, Ganymedes yurii sp. n., is described using microscopic and molecular approaches. It inhabits the intestine of Gondogeneia sp., a benthic amphipod found along the shore of James Ross Island, Weddell Sea, Antarctica. The prevalence of the infection was very low and only a few caudo-frontal syzygies were found. Morphologically, the new species is close to a previously described amphipod gregarine, Ganymedes themistos, albeit with several dissimilarities in the structure of the contact zone between syzygy partners, as well as other characteristics. Phylogenetic analysis of the 18S rDNA from G. yurii supported a close relationship between these species. These two species were grouped with other gregarines isolated from crustaceans hosts (Cephaloidophoroidea); however, statistical support throughout the clade of Cephaloidophoroidea gregarines was minimal using the available dataset.</t>
  </si>
  <si>
    <t>[Diakin, Andrei; Valigurova, Andrea] Masaryk Univ, Fac Sci, Dept Bot &amp; Zool, Kotlarska 2, CS-61137 Brno, Czech Republic; [Wakeman, Kevin C.] Univ Tokyo, Ctr Global Commun Strategies, Meguro Ku, Komaba Campus, Tokyo 1538902, Japan</t>
  </si>
  <si>
    <t>Masaryk University Brno; University of Tokyo</t>
  </si>
  <si>
    <t>Diakin, A (corresponding author), Masaryk Univ, Fac Sci, Dept Bot &amp; Zool, Kotlarska 2, CS-61137 Brno, Czech Republic.</t>
  </si>
  <si>
    <t>ondredyakin@gmail.com</t>
  </si>
  <si>
    <t>Wakeman, Kevin C./P-8827-2019; Wakeman, Kevin/AEE-6059-2022; Valigurová, Andrea/B-4522-2012</t>
  </si>
  <si>
    <t>Wakeman, Kevin C./0000-0003-3501-7702; Valigurová, Andrea/0000-0001-8313-1580</t>
  </si>
  <si>
    <t>project ECIP - Centre of Excellence from Czech Science Foundation [GBP505/12/G112]</t>
  </si>
  <si>
    <t>project ECIP - Centre of Excellence from Czech Science Foundation</t>
  </si>
  <si>
    <t>Authors are grateful to all participants of the expedition to The Johann Gregor Mendel Station that took place in 2013. Special thanks to Doc. RNDr. Martin Vacha, Ph.D. (Dept. of Experimental Biology, Faculty of Science, Masaryk University) for help in material collection and host manipulation. Many thanks to Stanislav Malavin (Zoological Institute of Russian Academy of Science, Saint-Petersburg) for determination of the host. AD thanks Timur G. Simdyanov and Kirill V. Mikhailov for helpful consultations. AD and AV are greatly indebted to the members of the Laboratory of Electron Microscopy (Institute of Parasitology, BC ASCR in Ceske Budejovice) for technical assistance. The authors acknowledge the financial support from a project ECIP - Centre of Excellence from Czech Science Foundation No. GBP505/12/G112, and Dr. Aika Yamaguchi for assistance with genetic sequencing.</t>
  </si>
  <si>
    <t>1066-5234</t>
  </si>
  <si>
    <t>1550-7408</t>
  </si>
  <si>
    <t>J EUKARYOT MICROBIOL</t>
  </si>
  <si>
    <t>J. Eukaryot. Microbiol.</t>
  </si>
  <si>
    <t>10.1111/jeu.12336</t>
  </si>
  <si>
    <t>EH7CJ</t>
  </si>
  <si>
    <t>WOS:000391930200005</t>
  </si>
  <si>
    <t>Ferreira, MF; Varela, ML; Lo Nostro, F; Ansaldo, M; Genovese, G</t>
  </si>
  <si>
    <t>Ferreira, M. F.; Varela, M. L.; Lo Nostro, F.; Ansaldo, M.; Genovese, G.</t>
  </si>
  <si>
    <t>Reproductive aspects of Notothenia rossii and N-coriiceps (Perciformes, Nototheniidae) at Potter Cove, 25 de Mayo (King George) Island during austral summer</t>
  </si>
  <si>
    <t>POLAR BIOLOGY</t>
  </si>
  <si>
    <t>Nototheniidae; Vitellogenin; Group synchronous ovarian development; Sex steroids; Potter Cove</t>
  </si>
  <si>
    <t>SOUTH SHETLAND ISLANDS; CLIMATE-CHANGE; GOBIONOTOTHEN-GIBBERIFRONS; MULTIPLE VITELLOGENINS; GONADAL DEVELOPMENT; OOCYTE GROWTH; YOLK PROTEINS; FISH; SEA; MATURATION</t>
  </si>
  <si>
    <t>Several fish species of the suborder Notothenioidei (Perciformes) predominate in the Antarctic Convergence Zone; nevertheless, reproductive studies are scarce due to difficulties on regular sampling. This study takes the research area of reproductive biology of notothenioids to a new level by providing, for the first time, data on sex hormone and vitellogenin detection in the blood of females of Notothenia rossii and N. coriiceps and correlates this data with morphological maturity indices as well as ovarian histology. Fish were captured during the Antarctic summer at Potter Cove, 25 de Mayo (King George) Island, and blood and ovary were collected. Histological analysis revealed that females of both fish possess group synchronous ovarian development with two distinct clutches of oocytes: a more advanced batch of vitellogenic oocytes ready for spawning and a second batch of previtellogenic oocytes for the next spawning event. Since liver vitellogenin synthesis is stimulated by estradiol produced by the ovaries, gonadal development, estradiol levels, and vitellogenin showed that both species were at a more advanced stage of maturation in March than in January. On the other hand and irrespectively of the month, gonadosomatic index and plasma estradiol levels of N. coriiceps were higher than those of N. rossii. Furthermore, females of N. coriiceps showed an advanced stage of vitellogenesis or were ready for spawn, contrary to results of previous studies. Our results indicate the successful use of gonadal morphology, estradiol, and vitellogenin detection for the estimation of sexual maturity stage of female adults.</t>
  </si>
  <si>
    <t>[Ferreira, M. F.; Varela, M. L.; Lo Nostro, F.; Genovese, G.] Univ Buenos Aires, Lab Ecotoxicol Acuat, Dept Biodiversidad &amp; Biol Expt, Fac Ciencias Exactas &amp; Nat, C1428EGA, Buenos Aires, DF, Argentina; [Ferreira, M. F.; Varela, M. L.; Lo Nostro, F.; Genovese, G.] UBA, CONICET, IBBEA, Buenos Aires, DF, Argentina; [Ansaldo, M.] Inst Antart Argentino, Ave 25 Mayo 1150,B1650HML San Martin, Buenos Aires, DF, Argentina</t>
  </si>
  <si>
    <t>University of Buenos Aires; University of Buenos Aires; Consejo Nacional de Investigaciones Cientificas y Tecnicas (CONICET); Instituto Antartico Argentino</t>
  </si>
  <si>
    <t>Genovese, G (corresponding author), Univ Buenos Aires, Lab Ecotoxicol Acuat, Dept Biodiversidad &amp; Biol Expt, Fac Ciencias Exactas &amp; Nat, C1428EGA, Buenos Aires, DF, Argentina.;Genovese, G (corresponding author), UBA, CONICET, IBBEA, Buenos Aires, DF, Argentina.</t>
  </si>
  <si>
    <t>genovese@bg.fcen.uba.ar</t>
  </si>
  <si>
    <t>Genovese, Griselda/0000-0002-7189-6639; Lo Nostro, Fabiana/0000-0001-8816-9449; Varela, Maria Luisa/0000-0003-4878-3211; Ferreira, Maria Florencia/0000-0001-8824-5392</t>
  </si>
  <si>
    <t>Agencia Nacional de Promocion Cientifica y Tecnologica [PICTO 0091]; Universidad de Buenos Aires (UBACyT) [056]; CONICET [PIP 1021]</t>
  </si>
  <si>
    <t>Agencia Nacional de Promocion Cientifica y Tecnologica(ANPCyTSpanish Government); Universidad de Buenos Aires (UBACyT)(University of Buenos Aires); CONICET(Consejo Nacional de Investigaciones Cientificas y Tecnicas (CONICET))</t>
  </si>
  <si>
    <t>We are grateful to Gabriel Rosa, Fernando Meijide, Hernan Sacristan, and Carlos Bellisio for sampling collection during scientific campaigns. The financial support was provided by Agencia Nacional de Promocion Cientifica y Tecnologica (PICTO 0091, Ansaldo, Genovese, Lo Nostro). Grants from Universidad de Buenos Aires (UBACyT 056, Lo Nostro) and CONICET (PIP 1021, Lo Nostro) partially contributed to this research.</t>
  </si>
  <si>
    <t>0722-4060</t>
  </si>
  <si>
    <t>1432-2056</t>
  </si>
  <si>
    <t>POLAR BIOL</t>
  </si>
  <si>
    <t>Polar Biol.</t>
  </si>
  <si>
    <t>10.1007/s00300-016-1918-x</t>
  </si>
  <si>
    <t>EG9TH</t>
  </si>
  <si>
    <t>WOS:000391401900001</t>
  </si>
  <si>
    <t>Meneghesso, C; Riginella, E; La Mesa, M; Donato, F; Mazzoldi, C</t>
  </si>
  <si>
    <t>Meneghesso, Claudia; Riginella, Emilio; La Mesa, Mario; Donato, Fortunata; Mazzoldi, Carlotta</t>
  </si>
  <si>
    <t>Age and reproduction in two Antarctic plunderfishes (Artedidraconidae) from the Weddell Sea</t>
  </si>
  <si>
    <t>Artedidraconidae; Reproduction; Fecundity; Otoliths; Age structure</t>
  </si>
  <si>
    <t>MENTAL BARBEL; ROSS SEA; FISH; PISCES; PERCIFORMES; GROWTH; NOTOTHENIOIDEI; MORPHOLOGY; BEHAVIOR; ECOLOGY</t>
  </si>
  <si>
    <t>The Antarctic plunderfishes (Artedidraconidae) are a poorly known component of the bottom fish fauna inhabiting the continental shelf of the High Antarctic Zone. Biological data on these fishes are still rather scarce and generally based on only a few specimens. To increase the knowledge of this group, we investigated the reproductive biology and population age structure of Artedidraco skottsbergi and Dolloidraco longedorsalis, the most abundant plunderfishes collected during the 2013/2014 expedition of the RV Polarstern in the Weddell Sea. Based on macroscopic and histological analyses, we found that both species exhibited prolonged gametogenesis and produced few eggs. Estimates of absolute and relative fecundity were lower in A. skottsbergi than in D. longedorsalis, ranging from 69 +/- 7 oocytes per female and 11.4 +/- 4.3 oocytes/g, and from 209 +/- 73 oocytes per female and 13.5 +/- 3.7 oocytes/g, respectively. Female size at first spawning was estimated to be 9.5 and 11 cm in A. skottsbergi and D. longedorsalis, respectively. Age and growth were assessed through otolith readings, and estimates of age ranged between 6 and 14 years in A. skottsbergi and between 3 and 14 years in D. longedorsalis. The von Bertalanffy growth parameters were only estimated for D. longedorsalis (L (a) = 12.5 cm, k = 0.27, t (0) = -0.06). The results of this study provide insights into some of the biological aspects of these species and shed new light on their life strategies, which show similarities to those of other notothenioids.</t>
  </si>
  <si>
    <t>[Meneghesso, Claudia; Riginella, Emilio; Mazzoldi, Carlotta] Univ Padua, Dept Biol, Via U Bassi 58-B, I-35131 Padua, Italy; [Riginella, Emilio; La Mesa, Mario; Donato, Fortunata] UOS Ancona, Inst Marine Sci, ISMAR CNR, Largo Fiera Pesca 1, I-60125 Ancona, Italy</t>
  </si>
  <si>
    <t>University of Padua; Consiglio Nazionale delle Ricerche (CNR); Istituto di Scienze Marine (ISMAR-CNR)</t>
  </si>
  <si>
    <t>Mazzoldi, C (corresponding author), Univ Padua, Dept Biol, Via U Bassi 58-B, I-35131 Padua, Italy.</t>
  </si>
  <si>
    <t>carlotta.mazzoldi@unipd.it</t>
  </si>
  <si>
    <t>Riginella, Emilio/Q-2987-2019; Mazzoldi, Carlotta/AAU-8628-2020</t>
  </si>
  <si>
    <t>Riginella, Emilio/0000-0002-1442-8310; Donato, Fortunata/0009-0000-4836-8216; Meneghesso, Claudia/0000-0003-0144-022X; MAZZOLDI, CARLOTTA/0000-0002-2798-3030</t>
  </si>
  <si>
    <t>Programma Nazionale di Ricerche in Antartide (PNRA); MIUR grants</t>
  </si>
  <si>
    <t>Programma Nazionale di Ricerche in Antartide (PNRA); MIUR grants(Ministry of Education, Universities and Research (MIUR))</t>
  </si>
  <si>
    <t>We wish to thank all of the crew members and personnel aboard the R/V Polarstern on the PS 82 2014 expedition, for their essential support during the samplings activities and special thanks to the fish team composed of Rainer Knust (Chief Scientist), Chiara Papetti, Nils Koschnick, Kai Watjen, Maj Wetjen and Massimiliano Babbucci. We are also grateful to Anton Van de Putte and two anonymous referees, who provided helpful comments on the manuscript. This work was financially supported by the Programma Nazionale di Ricerche in Antartide (PNRA) and MIUR grants.</t>
  </si>
  <si>
    <t>10.1007/s00300-016-1919-9</t>
  </si>
  <si>
    <t>WOS:000391401900002</t>
  </si>
  <si>
    <t>Bowman, JS; Deming, JW</t>
  </si>
  <si>
    <t>Bowman, Jeff S.; Deming, Jody W.</t>
  </si>
  <si>
    <t>Wind-driven distribution of bacteria in coastal Antarctica: evidence from the Ross Sea region</t>
  </si>
  <si>
    <t>Frost flower; Microbial dispersion; Bacteria; Glacier</t>
  </si>
  <si>
    <t>FROST FLOWERS; MICROBIAL BIODIVERSITY; SP NOV.; ICE; COMMUNITIES; DIVERSITY; DISPERSAL; SEQUENCES; PLACEMENT; ARCHAEAL</t>
  </si>
  <si>
    <t>Wind is a major transporter of biotic and abiotic material in coastal Antarctica. Sulfate-depleted sea salts delivered by wind to the Antarctic interior are thought to derive from sea ice, signifying a connection between Antarctic coastal environments and the interior. We hypothesized that bacteria, known to concentrate in salt-rich environments on the surface of sea ice, may also be subject to wind-driven transport. To test this hypothesis, we undertook a comparative evaluation of the composition and structure of bacterial communities, determined by deep sequencing of the V4 region of the 16S rRNA gene, in samples of frost flowers, young sea ice, and seawater from two coastal sites north of Ross Island, Antarctica, and in fresh snow over land and in surface ice of the Wilson Piedmont and Taylor Glaciers. Contrary to expectation, sequence reads that were consistently found in frost flowers, presumed to be the most mobile element of the sea ice environment, were rarely found in the terrestrial samples. Instead, cyanobacterial reads associated with the genus Pseudanabaena and found in abundance in the glacial ice and snow samples comprised up to 14.1 % of frost flower communities at one of our sites. Although this clade had not previously been reported in the Ross Sea region, wind patterns and other published data suggest that a likely source may be terrestrial aquatic environments on nearby Ross Island, including Mt. Erebus. One member of a sulfur-oxidizing, halophilic clade of the Gammaproteobacteria previously associated with hydrothermal sites was more abundant in frost flowers than in any other sample type. We hypothesize that these bacteria originated from hydrothermally influenced environments on Mt. Erebus. Overall, these findings suggest that wind is an important mechanism of microbial transport between the terrestrial and marine environments in coastal Antarctica, and may facilitate the exchange of taxa and genetic material between isolated habitats.</t>
  </si>
  <si>
    <t>[Bowman, Jeff S.; Deming, Jody W.] Univ Washington, Sch Oceanog, Seattle, WA 98195 USA; [Bowman, Jeff S.] Columbia Univ, Lamont Doherty Earth Observ, Palisades, NY 10027 USA; [Bowman, Jeff S.] Blue Marble Space Inst Sci, Seattle, WA 98154 USA</t>
  </si>
  <si>
    <t>University of Washington; University of Washington Seattle; Columbia University</t>
  </si>
  <si>
    <t>Bowman, JS (corresponding author), Univ Washington, Sch Oceanog, Seattle, WA 98195 USA.;Bowman, JS (corresponding author), Columbia Univ, Lamont Doherty Earth Observ, Palisades, NY 10027 USA.;Bowman, JS (corresponding author), Blue Marble Space Inst Sci, Seattle, WA 98154 USA.</t>
  </si>
  <si>
    <t>bowmanjs@ldeo.columbia.edu</t>
  </si>
  <si>
    <t>Bowman, Jeff/0000-0002-8811-6280</t>
  </si>
  <si>
    <t>NSF PLR award [1043265]; Walters Endowed Professorship; NSF IGERT Fellowship through the University of Washington's Astrobiology Program; EPA STAR Fellowship</t>
  </si>
  <si>
    <t>NSF PLR award; Walters Endowed Professorship; NSF IGERT Fellowship through the University of Washington's Astrobiology Program; EPA STAR Fellowship(United States Environmental Protection Agency)</t>
  </si>
  <si>
    <t>This work was supported by NSF PLR award 1043265 to J.W.D. and the Walters Endowed Professorship. J.S.B. was supported by an NSF IGERT Fellowship through the University of Washington's Astrobiology Program and an EPA STAR Fellowship. We are grateful to Shelly Carpenter for her stalwart assistance with sample collections and processing in the field.</t>
  </si>
  <si>
    <t>10.1007/s00300-016-1921-2</t>
  </si>
  <si>
    <t>WOS:000391401900003</t>
  </si>
  <si>
    <t>Takahashi, KT; Ojima, M; Tanimura, A; Odate, T; Fukuchi, M</t>
  </si>
  <si>
    <t>Takahashi, Kunio T.; Ojima, Motoha; Tanimura, Atsushi; Odate, Tsuneo; Fukuchi, Mitsuo</t>
  </si>
  <si>
    <t>The vertical distribution and abundance of copepod nauplii and other micro- and mesozooplankton in the seasonal ice zone of Lutzow-Holm Bay during austral summer 2009</t>
  </si>
  <si>
    <t>Seasonal ice zone; Copepoda; Nauplius; Calanoida; Vertical distribution</t>
  </si>
  <si>
    <t>FORAMINIFER NEOGLOBOQUADRINA-PACHYDERMA; WESTERN WEDDELL SEA; SOUTHERN-OCEAN; ZOOPLANKTON COMMUNITY; BELLINGSHAUSEN SEA; CALANOID COPEPODS; SCOTIA SEA; OITHONA; ANTARCTICA; BIOMASS</t>
  </si>
  <si>
    <t>The Antarctic seasonal ice zone (SIZ) is an ecologically important region of the Southern Ocean. However, the abundance and vertical distribution of micro- and mesozooplankton in this zone, in particular the contribution of nauplii of smaller copepod taxa, are poorly understood. We investigated the vertical distribution, abundance, and species composition of micro- and mesozooplankton in the SIZ of Lutzow-Holm Bay, East Antarctica, in January 2009. Zooplankton samples were collected using a 60-A mu m mesh closing net (appropriate to estimate the quantitative abundance of copepod nauplii) vertically hauled from three depth layers (0-100, 100-200, 200-500 m). Small calanoid copepods, Oithonidae, and Oncaeidae were dominant among the zooplankton communities in this region. Cluster analysis revealed that the communities were separated by depth into epipelagic (0-200 m) and mesopelagic (&gt; 200 m) groups. Distribution patterns in the 0- to 100-m layer changed at the sea ice edge, but showed no clear relationship with frontal structures. Nauplii of copepods including Oithona spp., Oncaea spp., and Calanoida were major contributors to total zooplankton abundance. The abundance of these nauplii in the surface layer was high in open water and the marginal ice zone but low in the pack ice zone where chlorophyll a concentrations were high. Low water temperature associated with sea ice, rather than food availability, may have caused the low copepod nauplii abundance observed in the surface layer within the pack ice zone. These findings provide valuable background information to monitor variations in zooplankton community structure in response to changing environmental conditions.</t>
  </si>
  <si>
    <t>[Takahashi, Kunio T.; Tanimura, Atsushi; Odate, Tsuneo; Fukuchi, Mitsuo] Natl Inst Polar Res, 10-3 Midori Cho, Tachikawa, Tokyo 1908518, Japan; [Takahashi, Kunio T.; Ojima, Motoha; Tanimura, Atsushi; Odate, Tsuneo; Fukuchi, Mitsuo] Grad Univ Adv Studies SOKENDAI, 10-3 Midori Cho, Tachikawa, Tokyo 1908518, Japan</t>
  </si>
  <si>
    <t>Research Organization of Information &amp; Systems (ROIS); National Institute of Polar Research (NIPR) - Japan; Graduate University for Advanced Studies - Japan</t>
  </si>
  <si>
    <t>Takahashi, KT (corresponding author), Natl Inst Polar Res, 10-3 Midori Cho, Tachikawa, Tokyo 1908518, Japan.;Takahashi, KT (corresponding author), Grad Univ Adv Studies SOKENDAI, 10-3 Midori Cho, Tachikawa, Tokyo 1908518, Japan.</t>
  </si>
  <si>
    <t>takahashi.kunio@nipr.ac.jp</t>
  </si>
  <si>
    <t>Japan Society for the Promotion of Science (JSPS) KAKENHI [23310013]; Grants-in-Aid for Scientific Research [23310013, 17H01618] Funding Source: KAKEN</t>
  </si>
  <si>
    <t>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</si>
  <si>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the officers and crew of the T/V Umitaka-Maru for their assistance during the cruise. We would also like to thank the officers and crew of the RSV Aurora Australis and the 50th Japanese Antarctic Research Expedition members for collecting the zooplankton samples and environmental data. This work was supported by the Japan Society for the Promotion of Science (JSPS) KAKENHI grant number 23310013.</t>
  </si>
  <si>
    <t>10.1007/s00300-016-1925-y</t>
  </si>
  <si>
    <t>WOS:000391401900007</t>
  </si>
  <si>
    <t>Torres, LG; Rayment, W; Olavarría, C; Thompson, DR; Graham, B; Baker, CS; Patenaude, N; Bury, SJ; Boren, L; Parker, G; Carroll, EL</t>
  </si>
  <si>
    <t>Torres, Leigh G.; Rayment, Will; Olavarria, Carlos; Thompson, David R.; Graham, Brittany; Baker, C. Scott; Patenaude, Nathalie; Bury, Sarah Jane; Boren, Laura; Parker, Graham; Carroll, Emma L.</t>
  </si>
  <si>
    <t>Demography and ecology of southern right whales Eubalaena australis wintering at sub-Antarctic Campbell Island, New Zealand</t>
  </si>
  <si>
    <t>Age-class; Genetic analysis; Population connectivity; Stable isotope; Sub-Antarctic; Wintering ground; Parentage analysis</t>
  </si>
  <si>
    <t>SITE FIDELITY; POPULATION; MOVEMENTS; GENETICS; GROUNDS; SUCCESS; AFRICA</t>
  </si>
  <si>
    <t>Since the decimation of the southern right whale Eubalaena australis population in New Zealand by whaling, research on its recovery has focused on the wintering ground at the Auckland Islands, neglecting potentially important wintering habitat at Campbell Island. For the first time in 20 years we conducted an expedition to sub-Antarctic Campbell Island to document and describe E. australis occupying this wintering habitat. We used a variety of methods including photo-identification, genetic and stable isotope analyses of tissue samples, and visual surveys of abundance and distribution, to provide details on the demography, population connectivity and ecology of E. australis wintering at Campbell Island. Our primary findings include (1) a lack of calves observed at Campbell Island, (2) an age-class bias toward sub-adults encountered at Campbell Island, (3) nine photo-identification matches between individuals observed at Campbell Island and previously documented elsewhere in New Zealand, (4) no genetic differentiation between E. australis at Campbell Island and the broader New Zealand population, (5) increased abundance estimates of E. australis at Campbell Island over the last 20 years, and (6) indications that E. australis forage within the sub-Antarctic region based on stable isotope analyses. Our results confirm that the Auckland Islands are currently the only significant calving area for E. australis in New Zealand, and therefore previous abundance estimates based on demographic data from the Auckland Islands are applicable to the entire New Zealand population of E. australis. However, future periodic surveys to Campbell Island are recommended to monitor population recovery and expansion.</t>
  </si>
  <si>
    <t>[Torres, Leigh G.; Baker, C. Scott] Oregon State Univ, Marine Mammal Inst, 2030 Southeast Marine Sci Dr, Newport, OR 97365 USA; [Torres, Leigh G.; Baker, C. Scott] Oregon State Univ, Dept Fisheries &amp; Wildlife, Hatfield Marine Sci Ctr, 2030 Southeast Marine Sci Dr, Newport, OR 97365 USA; [Rayment, Will] Univ Otago, Dept Marine Sci, POB 56, Dunedin, New Zealand; [Olavarria, Carlos] POB 422, Nelson 7040, New Zealand; [Thompson, David R.; Graham, Brittany; Bury, Sarah Jane] Natl Inst Water &amp; Atmospher Res Ltd, 301 Evans Bay Parade, Wellington 6021, New Zealand; [Patenaude, Nathalie] Coll Int St Anne, Lachine, PQ, Canada; [Boren, Laura] New Zealand Dept Conservat, Wellington, New Zealand; [Parker, Graham] Parker Conservat, 126 Maryhill Terrace, Dunedin 9010, New Zealand; [Carroll, Emma L.] Univ St Andrews, Scottish Oceans Inst, Sch Biol, St Andrews, Fife, Scotland</t>
  </si>
  <si>
    <t>Oregon State University; Oregon State University; University of Otago; National Institute of Water &amp; Atmospheric Research (NIWA) - New Zealand; University of St Andrews</t>
  </si>
  <si>
    <t>Torres, LG (corresponding author), Oregon State Univ, Marine Mammal Inst, 2030 Southeast Marine Sci Dr, Newport, OR 97365 USA.;Torres, LG (corresponding author), Oregon State Univ, Dept Fisheries &amp; Wildlife, Hatfield Marine Sci Ctr, 2030 Southeast Marine Sci Dr, Newport, OR 97365 USA.</t>
  </si>
  <si>
    <t>leigh.torres@oregonstate.edu</t>
  </si>
  <si>
    <t>Bury, Sarah/JLN-0810-2023; Carroll, Emma/U-9133-2019</t>
  </si>
  <si>
    <t>Carroll, Emma/0000-0003-3193-7288</t>
  </si>
  <si>
    <t>National Institute of Water and Atmospheric Research, Ltd. (NIWA); New Zealand Department of Conservation</t>
  </si>
  <si>
    <t>Funding for this project was supported by the National Institute of Water and Atmospheric Research, Ltd. (NIWA), and the New Zealand Department of Conservation. We are grateful to R. Constantine for assistance and equipment related to biopsy sample collection, to T. Webster for confirming photo-ID matches, and to S. Childerhouse for the incorporation of genetic data collected at the Auckland Islands. Thanks to D. Steel and A. Sremba for help with genetic analyses at Oregon State University, USA. Stable isotope analyses were conducted at the NIWA stable isotope laboratory in Wellington, New Zealand by A. Kilimnik and J. Brown. We also thank Henk Haazen (captain) and Keith Jacob (crew) of the RV Tiama for safe transport and assistance with data collection and logistics.</t>
  </si>
  <si>
    <t>10.1007/s00300-016-1926-x</t>
  </si>
  <si>
    <t>WOS:000391401900008</t>
  </si>
  <si>
    <t>Sandersfeld, T; Mark, FC; Knust, R</t>
  </si>
  <si>
    <t>Sandersfeld, Tina; Mark, Felix C.; Knust, Rainer</t>
  </si>
  <si>
    <t>Temperature-dependent metabolism in Antarctic fish: Do habitat temperature conditions affect thermal tolerance ranges?</t>
  </si>
  <si>
    <t>Routine metabolic rate; Polar fish; Notothenioids; Metabolic cold adaptation; Respiration</t>
  </si>
  <si>
    <t>COLD ADAPTATION; CLIMATE-CHANGE; NOTOTHENIOID FISHES; OXYGEN-CONSUMPTION; BODY-MASS; SEAWATER TEMPERATURES; ACCLIMATION CAPACITY; ENZYMATIC-ACTIVITIES; ENERGY-METABOLISM; SEASONAL-CHANGES</t>
  </si>
  <si>
    <t>Climatic warming is most pronounced in the polar regions. For marine ectotherms such as fish, temperature is a key abiotic factor, influencing metabolic processes. Species distribution and abundance are driven by reproduction and growth, which depend on available energy exceeding baseline maintenance costs. These routine metabolic costs make up a large part of the energy expenditure. Thermal stress can increase routine metabolism, affecting an organism's fitness. Data of routine metabolic rates of Antarctic fish are scarce, and comparability of existing data sets is often problematic due to ecological differences between species and in experimental protocols. Our objective was to compare routine metabolism and thermal sensitivity of species with similar ecotypes but different thermal environments to assess possible ecological implications of warming waters on energy expenditure in Antarctic fish, a fauna characterised by geographic isolation, endemism and putative thermal adaptation. We measured routine metabolic rates of three benthic Antarctic fish species from low- and high-Antarctic regions at habitat temperature and during acute temperature increase. Our analysis revealed differences in metabolic rates at the same temperature suggesting local adaptation to habitat temperature. Acute thermal stress induced a comparable response of metabolic rates to increasing temperature. We conclude that higher metabolic rates and thus higher energetic costs could be associated with narrower thermal windows, a potential disadvantage to the endemic high-Antarctic fish fauna facing the challenge of climate change.</t>
  </si>
  <si>
    <t>[Sandersfeld, Tina; Mark, Felix C.; Knust, Rainer] Alfred Wegener Inst, Helmholtz Ctr Polar &amp; Marine Res, Alten Hafen 26, D-27568 Bremerhaven, Germany; [Sandersfeld, Tina] Univ Bremen, Dept Marine Zool BreMarE Bremen Marine Ecol, FB 2,Leobener Str NW2, D-28359 Bremen, Germany; [Sandersfeld, Tina] Univ Hamburg, Inst Hydrobiol &amp; Fisheries Sci, Olbersweg 24, D-22767 Hamburg, Germany</t>
  </si>
  <si>
    <t>Helmholtz Association; Alfred Wegener Institute, Helmholtz Centre for Polar &amp; Marine Research; University of Bremen; University of Hamburg</t>
  </si>
  <si>
    <t>Sandersfeld, T (corresponding author), Alfred Wegener Inst, Helmholtz Ctr Polar &amp; Marine Res, Alten Hafen 26, D-27568 Bremerhaven, Germany.;Sandersfeld, T (corresponding author), Univ Bremen, Dept Marine Zool BreMarE Bremen Marine Ecol, FB 2,Leobener Str NW2, D-28359 Bremen, Germany.;Sandersfeld, T (corresponding author), Univ Hamburg, Inst Hydrobiol &amp; Fisheries Sci, Olbersweg 24, D-22767 Hamburg, Germany.</t>
  </si>
  <si>
    <t>tina.sandersfeld@uni-hamburg.de</t>
  </si>
  <si>
    <t>Mark, Felix Christopher/P-4759-2016</t>
  </si>
  <si>
    <t>Mark, Felix Christopher/0000-0002-5586-6704</t>
  </si>
  <si>
    <t>Polarstern Grant [AWI_PS77-03, AWI_PS79-04]; Helmholtz Graduate School for Polar and Marine Research; PACES II programme</t>
  </si>
  <si>
    <t>Polarstern Grant; Helmholtz Graduate School for Polar and Marine Research; PACES II programme</t>
  </si>
  <si>
    <t>The authors would like to thank Nils Koschnick and Timo Hirse for technical assistance during experiments, Fredy Veliz Moraleda for animal care, the crew of RV Polarstern for valuable field support during ANT-XXVII/3 and ANT-XXVIII/4 as well as Christian Bock for helpful advice on experimental work and Stephan Frickenhaus for statistical support. Moreover, we thank three anonymous reviewers for their constructive comments that helped to significantly improve the manuscript. This study was supported by Polarstern Grant No. AWI_PS77-03 and AWI_PS79-04. Tina Sandersfeld was partly supported by a Ph.D. scholarship of the Helmholtz Graduate School for Polar and Marine Research and by the PACES II programme.</t>
  </si>
  <si>
    <t>10.1007/s00300-016-1934-x</t>
  </si>
  <si>
    <t>WOS:000391401900011</t>
  </si>
  <si>
    <t>Murphy, KR; Kalmanek, EA; Cheng, CHC</t>
  </si>
  <si>
    <t>Murphy, Katherine R.; Kalmanek, Elizabeth A.; Cheng, C. -H. Christina</t>
  </si>
  <si>
    <t>Diversity and biogeography of larval and juvenile notothenioid fishes in McMurdo Sound, Antarctica</t>
  </si>
  <si>
    <t>Antarctic notothenioids; Larval fish diversity; McMurdo Sound; Mitochondrial ND2; Species identification by phylogenetic reconstruction</t>
  </si>
  <si>
    <t>ROSS SEA; PISCES; ARTEDIDRACONIDAE; MITOCHONDRIAL; PERCIFORMES; ABUNDANCE; ANTIFREEZE; PLUNDERFISHES; ASSEMBLAGES; TELEOSTEI</t>
  </si>
  <si>
    <t>Antarctic notothenioid fish larvae and juveniles are pelagic and subject to oceanic transport, influencing species distribution and biogeography. The nature of notothenioid larval/juvenile diversity in the high-latitude McMurdo Sound is virtually unknown to-date. We report here a first assessment of this diversity and its contribution to species richness in the Sound. We collected 151 larvae and juveniles from under ice cover. To overcome uncertainties in identifying larvae by morphology, we used full-length mitochondrial ND2 gene sequences in phylogenetic reconstruction with reference adults and identified 13 species representing four families. Six are nototheniids whose adults are common in the Sound, and a seventh is a cryptic nototheniid that is likely Pagothenia brachysoma, previously unknown to the Sound. The rest included four icefishes, an artedidraconid, and a bathydraconid, all without prior adult record in the Sound. With seven of 13 species previously undocumented, larval/juvenile notothenioid diversity appears to double adult diversity. Published fish surveys show adults of these icefishes and the artedidraconid occur in the nearby Terra Nova Bay and/or western Ross Sea; thus, their pelagic larvae and juveniles could be transported by the Ross Sea circulation into the Sound. The bathydraconid, identified as Psilodraco breviceps, is reportedly endemic to S. Georgia. We found additional unpublished barcode sequences for specimens from the Dumont d'Urville Sea and Ross Sea, and they form a species clade with the McMurdo larval and Marguerite Bay adult P. breviceps in this study, indicating this species has a circumpolar distribution.</t>
  </si>
  <si>
    <t>[Murphy, Katherine R.; Kalmanek, Elizabeth A.; Cheng, C. -H. Christina] Univ Illinois, Dept Anim Biol, 515 Morrill Hall,505 S Goodwin Ave, Urbana, IL 61801 USA</t>
  </si>
  <si>
    <t>University of Illinois System; University of Illinois Urbana-Champaign</t>
  </si>
  <si>
    <t>Cheng, CHC (corresponding author), Univ Illinois, Dept Anim Biol, 515 Morrill Hall,505 S Goodwin Ave, Urbana, IL 61801 USA.</t>
  </si>
  <si>
    <t>c-cheng@illinois.edu</t>
  </si>
  <si>
    <t>Murphy, Katherine/0000-0001-8898-8719; Graham, Zeth/0009-0005-1616-803X</t>
  </si>
  <si>
    <t>US National Science Foundation Division of Polar Programs [ANT-1142158]; Herbert Holdsworth Ross Memorial Fund from the Illinois Natural History Survey; Directorate For Geosciences; Office of Polar Programs (OPP) [1142158] Funding Source: National Science Foundation</t>
  </si>
  <si>
    <t>US National Science Foundation Division of Polar Programs(National Science Foundation (NSF)); Herbert Holdsworth Ross Memorial Fund from the Illinois Natural History Survey; Directorate For Geosciences; Office of Polar Programs (OPP)(National Science Foundation (NSF)NSF - Directorate for Geosciences (GEO))</t>
  </si>
  <si>
    <t>We would like to thank K. Hoefling, P. A. Cziko, and L. G. Fields for their efforts in catching larval and juvenile specimens by diving, as well as in photographing them for this study. Additional thanks to D. Downie for his participation on some of the PCR and DNA sequencing reactions. We thank J. J. Torres for the gift of the Marguerite Bay adult P. breviceps used in this study. This work was funded by the US National Science Foundation Division of Polar Programs grant ANT-1142158 to C.-H. C. Cheng and A. L. DeVries, and by the Herbert Holdsworth Ross Memorial Fund from the Illinois Natural History Survey to K. R. Murphy.</t>
  </si>
  <si>
    <t>10.1007/s00300-016-1939-5</t>
  </si>
  <si>
    <t>WOS:000391401900013</t>
  </si>
  <si>
    <t>Santiago, IF; Rosa, CA; Rosa, LH</t>
  </si>
  <si>
    <t>Santiago, Iara F.; Rosa, Carlos A.; Rosa, Luiz H.</t>
  </si>
  <si>
    <t>Endophytic symbiont yeasts associated with the Antarctic angiosperms Deschampsia antarctica and Colobanthus quitensis</t>
  </si>
  <si>
    <t>Antarctica; Endophytes; Extremophile; Symbiosis</t>
  </si>
  <si>
    <t>COLD ADAPTATION; VASCULAR PLANTS; DIVERSITY; FUNGI; ENVIRONMENTS; BIODIVERSITY; POPULATION; STORAGE; ISOLATE</t>
  </si>
  <si>
    <t>Fungal diversity in Antarctic seems to be greater than what is known and remains largely unexplored. In this study, we identified the endophytic symbiont yeasts associated with leaves of the angiosperms Deschampsia antarctica and Colobanthus quitensis living on King George Island, Antarctica using a culture-based approach. One hundred and twelve yeast isolates were obtained from the tissue of the different plants sampled. These yeasts were identified using sequencing of the D1/D2 domains of the LSU region of the rRNA gene as Cryptococcus victoriae, Cystobasidium laryngis, Rhodotorula mucilaginosa, Sporidiobolus ruineniae and Leucosporidium aff. golubevii. The psychrophilic yeast C. victoriae was the most abundant species associated with the two angiosperms. Cystobasidium laryngis occurs only in the leaves of D. antarctica. In contrast, R. mucilaginosa, S. ruineniae and L. aff. golubevii occurred only in C. quitensis. Phylogenetic analysis indicates the Antarctic endophytic yeast strains are closely related to taxa obtained from substrates located in different habitats of the world. However, the endophytic yeast C. victoriae was closely related to psychrophilic taxa isolated from Antarctica, but also from the Arctic, Alpine and Himalayan environments. The abundance of endophytic yeasts associated with Antarctic angiosperms suggests a possible symbiotic relationship with their plant hosts, which may provide shelter and growing conditions suitable for the yeasts' survival, dispersal and colonization other Antarctic environments. In contrast, the endophytic yeasts might directly or indirectly promote the fitness of their host plants by producing metabolites beneficial to plant survival in the extreme environments of Antarctica.</t>
  </si>
  <si>
    <t>[Santiago, Iara F.; Rosa, Carlos A.; Rosa, Luiz H.] Univ Fed Minas Gerais, Dept Microbiol, BR-31270901 Belo Horizonte, MG, Brazil</t>
  </si>
  <si>
    <t>Universidade Federal de Minas Gerais</t>
  </si>
  <si>
    <t>Rosa, LH (corresponding author), Univ Fed Minas Gerais, Dept Microbiol, BR-31270901 Belo Horizonte, MG, Brazil.</t>
  </si>
  <si>
    <t>lhrosa@icb.ufmg.br</t>
  </si>
  <si>
    <t>CNPq PROANTAR [407230/2013-0]; INCT Criosfera (CNPq); FAPEMIG [0050-13]</t>
  </si>
  <si>
    <t>CNPq PROANTAR(Conselho Nacional de Desenvolvimento Cientifico e Tecnologico (CNPQ)); INCT Criosfera (CNPq)(Conselho Nacional de Desenvolvimento Cientifico e Tecnologico (CNPQ)Fundacao de Apoio a Pesquisa do Distrito Federal (FAPDF)); FAPEMIG(Fundacao de Amparo a Pesquisa do Estado de Minas Gerais (FAPEMIG))</t>
  </si>
  <si>
    <t>We acknowledge the financial support from CNPq PROANTAR 407230/2013-0, INCT Criosfera (CNPq) and FAPEMIG (0050-13).</t>
  </si>
  <si>
    <t>10.1007/s00300-016-1940-z</t>
  </si>
  <si>
    <t>WOS:000391401900014</t>
  </si>
  <si>
    <t>Ghigliotti, L; Ferrando, S; Carlig, E; Di Blasi, D; Gallus, L; Pisano, E; Hanchet, S; Vacchi, M</t>
  </si>
  <si>
    <t>Ghigliotti, Laura; Ferrando, Sara; Carlig, Erica; Di Blasi, Davide; Gallus, Lorenzo; Pisano, Eva; Hanchet, Stuart; Vacchi, Marino</t>
  </si>
  <si>
    <t>Reproductive features of the Antarctic silverfish (Pleuragramma antarctica) from the western Ross Sea</t>
  </si>
  <si>
    <t>Antarctic silverfish; Ross Sea; Gonadal histology; Atresia; Skipped spawning</t>
  </si>
  <si>
    <t>OVARIAN FOLLICULAR ATRESIA; DUMONT DURVILLE SEA; SPATIAL-DISTRIBUTION; PARTIAL MIGRATION; EAST ANTARCTICA; WEDDELL-SEA; FISHES; ABUNDANCE; NOTOTHENIIDAE; ECOLOGY</t>
  </si>
  <si>
    <t>The Antarctic silverfish Pleuragramma antarctica is the most abundant pelagic fish inhabiting the Ross Sea. Given its ecological relevance in the local food web, it is considered a keystone species in the Antarctic coastal ecosystems. Many aspects of its biology have been elucidated, but knowledge of important parts of its life cycle, including reproduction, is still poor. Here we use macroscopic and histological approaches to describe the reproductive features of the Antarctic silverfish based on fish sampled in late summer in the Ross Sea. Both males and females were at an early developmental stage, consistent with what has been reported for the same species from other Antarctic sectors and with spawning occurring in late winter. Widespread follicular atresia has been detected in the fish examined. The analysis of its intensity and prevalence suggests that skipped spawning (not all adults spawn every year) is likely to be a reproductive strategy of the Antarctic silverfish.</t>
  </si>
  <si>
    <t>[Ghigliotti, Laura; Carlig, Erica; Di Blasi, Davide; Vacchi, Marino] CNR, Inst Marine Sci ISMAR, Via Marini 6, I-16149 Genoa, Italy; [Ferrando, Sara; Gallus, Lorenzo; Pisano, Eva] Univ Genoa, Dept Earth Environm &amp; Life Sci DISTAV, Viale Benedetto XV 5, I-16132 Genoa, Italy; [Hanchet, Stuart] Natl Inst Water &amp; Atmospher Res NIWA Ltd, POB 893, Nelson, New Zealand</t>
  </si>
  <si>
    <t>Consiglio Nazionale delle Ricerche (CNR); Istituto di Scienze Marine (ISMAR-CNR); University of Genoa; National Institute of Water &amp; Atmospheric Research (NIWA) - New Zealand</t>
  </si>
  <si>
    <t>Ghigliotti, L (corresponding author), CNR, Inst Marine Sci ISMAR, Via Marini 6, I-16149 Genoa, Italy.</t>
  </si>
  <si>
    <t>laura.ghigliotti@gmail.com</t>
  </si>
  <si>
    <t>Ghigliotti, Laura/J-3076-2012; Ghigliotti, Laura/AAN-6843-2021; Ferrando, Sara/AAC-9934-2022; Di Blasi, Davide/AAV-5937-2021</t>
  </si>
  <si>
    <t>Ghigliotti, Laura/0000-0003-2139-1381; Ferrando, Sara/0000-0002-5781-9709;</t>
  </si>
  <si>
    <t>Italian National Programme for Antarctic Research [PdR 2013/AZ1.18]</t>
  </si>
  <si>
    <t>Italian National Programme for Antarctic Research</t>
  </si>
  <si>
    <t>This work was carried out within the project RAISE (PdR 2013/AZ1.18) supported by the Italian National Programme for Antarctic Research. We thank Michela Angiolillo for her contribution to part of the laboratory activity. The officers and crew of RV Tangaroa, and the scientific staff during the survey, are gratefully acknowledged.</t>
  </si>
  <si>
    <t>10.1007/s00300-016-1945-7</t>
  </si>
  <si>
    <t>WOS:000391401900016</t>
  </si>
  <si>
    <t>Durban, JW; Fearnbach, H; Burrows, DG; Ylitalo, GM; Pitman, RL</t>
  </si>
  <si>
    <t>Durban, J. W.; Fearnbach, H.; Burrows, D. G.; Ylitalo, G. M.; Pitman, R. L.</t>
  </si>
  <si>
    <t>Morphological and ecological evidence for two sympatric forms of Type B killer whale around the Antarctic Peninsula</t>
  </si>
  <si>
    <t>Predator; Cetacean; Diet; Stable isotopes; Photogrammetry</t>
  </si>
  <si>
    <t>NORTH PACIFIC; ORCINUS-ORCA</t>
  </si>
  <si>
    <t>Killer whales (Orcinus orca) are apex marine predators in Antarctica, but uncertainty over their taxonomic and ecological diversity constrains evaluations of their trophic interactions. We describe two distinct, sympatric forms sharing the characteristic pigmentation of Type B, the most common around the Antarctic Peninsula. Laser photogrammetry revealed nonoverlapping size differences among adults: Based on a body length index (BLI: blowhole to dorsal fin) adult females of the larger form (B1) were 20 % longer than the smaller form (B2), and adult males were 24 % longer on average. Dorsal fins of B1 adult females were 19 % taller than B2 females, and adult males 32 % taller. Both types were strongly sexually dimorphic, but B1 more so, including for BLI (B1 males = 1.07x females; B2 = 1.05x) and especially for dorsal fin height (B1 male fins = 2.33x female; B2 = 2.10x). The characteristically large Type B eye patch was more extensive for B1 than B2, comprising 41 and 37 % of BLI, respectively. Average group size was also significantly different, with B1s in smaller groups (mean 7, range 1-14) and B2s more gregarious (mean 36, range 8-75). Stable isotope analysis of skin biopsies indicated dietary differences: a significantly lower nitrogen N-15/N-14 ratio in B2s supported observations of feeding primarily on krill consumers (e.g., pygoscelid penguins), while B1s prey mainly on predators of krill consumers (e.g., Weddell seals Leptonychotes weddellii). These differences likely represent adaptations to distinct foraging niches, which has led to genetic divergence; their ecology now needs further study.</t>
  </si>
  <si>
    <t>[Durban, J. W.; Fearnbach, H.] Ctr Whale Res, 355 Smugglers Cove Rd, Friday Harbor, WA 98250 USA; [Durban, J. W.; Fearnbach, H.] Natl Ocean &amp; Atmospher Adm, Marine Mammal &amp; Turtle Div, Natl Marine Fisheries Serv, Southwest Fisheries Sci Ctr, 8901 Jolla Shores Dr, La Jolla, CA 92037 USA; [Burrows, D. G.; Ylitalo, G. M.] Natl Ocean &amp; Atmospher Adm, Northwest Fisheries Sci Ctr, Natl Marine Fisheries Serv, 2725 Montlake Blvd East, Seattle, WA 98112 USA; [Pitman, R. L.] Natl Ocean &amp; Atmospher Adm, Antarct Ecosyst Res Div, Southwest Fisheries Sci Ctr, Natl Marine Fisheries Serv, 8901 Jolla Shores Dr, La Jolla, CA 92037 USA</t>
  </si>
  <si>
    <t>National Oceanic Atmospheric Admin (NOAA) - USA; National Oceanic Atmospheric Admin (NOAA) - USA; National Oceanic Atmospheric Admin (NOAA) - USA</t>
  </si>
  <si>
    <t>Durban, JW (corresponding author), Ctr Whale Res, 355 Smugglers Cove Rd, Friday Harbor, WA 98250 USA.;Durban, JW (corresponding author), Natl Ocean &amp; Atmospher Adm, Marine Mammal &amp; Turtle Div, Natl Marine Fisheries Serv, Southwest Fisheries Sci Ctr, 8901 Jolla Shores Dr, La Jolla, CA 92037 USA.</t>
  </si>
  <si>
    <t>john.durban@noaa.gov</t>
  </si>
  <si>
    <t>10.1007/s00300-016-1942-x</t>
  </si>
  <si>
    <t>WOS:000391401900020</t>
  </si>
  <si>
    <t>Balcazar, NE; Klinck, H; Nieukirk, SL; Mellinger, DK; Klinck, K; Dziak, RP; Rogers, TL</t>
  </si>
  <si>
    <t>Balcazar, Naysa E.; Klinck, Holger; Nieukirk, Sharon L.; Mellinger, David K.; Klinck, Karolin; Dziak, Robert P.; Rogers, Tracey L.</t>
  </si>
  <si>
    <t>Using calls as an indicator for Antarctic blue whale occurrence and distribution across the southwest Pacific and southeast Indian Oceans</t>
  </si>
  <si>
    <t>MARINE MAMMAL SCIENCE</t>
  </si>
  <si>
    <t>ecological acoustics; Lau Basin; marine mammal; migration; passive acoustic monitoring; spatial distribution; Tasman Sea; vocalization</t>
  </si>
  <si>
    <t>NEW-ZEALAND; BALAENOPTERA-MUSCULUS; ACOUSTIC SURVEY; SYMPATRIC AREA; PERTH CANYON; HEMISPHERE; AUSTRALIA; FREQUENCY; LOCALIZATION; IMPACTS</t>
  </si>
  <si>
    <t>Understanding species distribution and behavior is essential for conservation programs of migratory species with recovering populations. The critically endangered Antarctic blue whale (Balaenoptera musculus intermedia) was heavily exploited during the whaling era. Because of their low numbers, highly migratory behavior, and occurrence in remote areas, their distribution and range are not fully understood, particularly in the southwest Pacific Ocean. This is the first Antarctic blue whale study covering the southwest Pacific Ocean region from temperate to tropical waters (32 degrees S to 15 degrees S). Passive acoustic data were recorded between 2010 and 2011 across the southwest Pacific (SWPO) and southeast Indian (SEIO) oceans. We detected Antarctic blue whale calls in previously undocumented SWPO locations off eastern Australia (32 degrees S, 152 degrees E) and within the Lau Basin (20 degrees S, 176 degrees W and 15 degrees S, 173 degrees W), and SEIO off northwest Australia (19 degrees S, 115 degrees E).In temperate waters, adjacent ocean basins had similar seasonal occurrence, in that calling Antarctic blue whales were present for long periods, almost year round in some areas. In northern tropical waters, calling whales were mostly present during the austral winter. Clarifying the occurrence and distribution of critically endangered species is fundamental for monitoring population recovery, marine protected area planning, and in mitigating anthropogenic threats.</t>
  </si>
  <si>
    <t>[Balcazar, Naysa E.; Rogers, Tracey L.] Univ New South Wales, Evolut &amp; Ecol Res Ctr, Sch Biol Earth &amp; Environm Sci, Sydney, NSW 2052, Australia; [Klinck, Holger; Klinck, Karolin] Cornell Univ, Bioacoust Res Program, Cornell Lab Ornithol, Ithaca, NY 14853 USA; [Klinck, Holger; Nieukirk, Sharon L.; Mellinger, David K.; Klinck, Karolin] Oregon State Univ, Cooperat Inst Marine Resources Studies, Hatfield Marine Sci Ctr, Newport, OR 97365 USA; [Dziak, Robert P.] NOAA, Pacific Marine Environm Lab, Hatfield Marine Sci Ctr, Newport, OR 97365 USA</t>
  </si>
  <si>
    <t>University of New South Wales Sydney; Cornell University; Oregon State University; National Oceanic Atmospheric Admin (NOAA) - USA</t>
  </si>
  <si>
    <t>Balcazar, NE (corresponding author), Univ New South Wales, Evolut &amp; Ecol Res Ctr, Sch Biol Earth &amp; Environm Sci, Sydney, NSW 2052, Australia.</t>
  </si>
  <si>
    <t>n.balcazar@unsw.edu.au</t>
  </si>
  <si>
    <t>Dziak, Robert/AAC-6107-2020; Klinck, Holger/X-5214-2019; Rogers, Tracey L/C-3419-2008</t>
  </si>
  <si>
    <t>Klinck, Holger/0000-0003-1078-7268; Rogers, Tracey/0000-0002-7141-4177; Balcazar, Naysa/0000-0001-7139-2855</t>
  </si>
  <si>
    <t>U.S. National Science Foundation [OCE 0825295, 1029278]; NOAA/PMEL Acoustics Program; Division Of Ocean Sciences; Directorate For Geosciences [1029278] Funding Source: National Science Foundation</t>
  </si>
  <si>
    <t>U.S. National Science Foundation(National Science Foundation (NSF)); NOAA/PMEL Acoustics Program; Division Of Ocean Sciences; Directorate For Geosciences(National Science Foundation (NSF)NSF - Directorate for Geosciences (GEO))</t>
  </si>
  <si>
    <t>Data from the Tasman Sea, Bass Strait, Perth Canyon, and Dampier were sourced from the Integrated Marine Observing System, an Australian Government National Collaborative Research Infrastructure Strategy and Super Science Initiative. Support for deployment of the NOAA/PMEL Lau Basin hydrophone array was provided by the U.S. National Science Foundation, awards OCE 0825295 and 1029278, and the NOAA/PMEL Acoustics Program. This paper is NOAA/PMEL Contribution number 4,362.</t>
  </si>
  <si>
    <t>0824-0469</t>
  </si>
  <si>
    <t>1748-7692</t>
  </si>
  <si>
    <t>MAR MAMMAL SCI</t>
  </si>
  <si>
    <t>Mar. Mamm. Sci.</t>
  </si>
  <si>
    <t>10.1111/mms.12373</t>
  </si>
  <si>
    <t>EG4TT</t>
  </si>
  <si>
    <t>WOS:000391037300008</t>
  </si>
  <si>
    <t>Edwards, H; Seaward, M; Preece, T; Jorge-Villar, S; Hawksworth, D</t>
  </si>
  <si>
    <t>Edwards, Howell G. M.; Seaward, Mark R. D.; Preece, Tom F.; Jorge-Villar, Susana E.; Hawksworth, David L.</t>
  </si>
  <si>
    <t>Raman spectroscopic analysis of the effect of the lichenicolous fungus Xanthoriicola physciae on its lichen host</t>
  </si>
  <si>
    <t>SYMBIOSIS</t>
  </si>
  <si>
    <t>Parasitism; Parietin; Pathogenicity; Protective biochemicals; Scytonemin; Xanthoria parietina</t>
  </si>
  <si>
    <t>ANTARCTIC HABITATS; IN-SITU; RADIATION; SCYTONEMIN; EVOLUTION; SYMBIOSIS</t>
  </si>
  <si>
    <t>Lichenicolous (lichen-dwelling) fungi have been extensively researched taxonomically over many years, and phylogenetically in recent years, but the biology of the relationship between the invading fungus and the lichen host has received limited attention, as has the effects on the chemistry of the host, being difficult to examine in situ. Raman spectroscopy is an established method for the characterization of chemicals in situ, and this technique is applied to a lichenicolous fungus here for the first time. Xanthoriicola physciae occurs in the apothecia of Xanthoria parietina, producing conidia at the hymenium surface. Raman spectroscopy of apothecial sections revealed that parietin and carotenoids were destroyed in infected apothecia. Those compounds protect healthy tissues of the lichen from extreme insolation and their removal may contribute to the deterioration of the apothecia. Scytonemin was also detected, but was most probably derived from associated cyanobacteria. This work shows that Raman spectroscopy has potential for investigating changes in the chemistry of a lichen by an invading lichenicolous fungus.</t>
  </si>
  <si>
    <t>[Edwards, Howell G. M.] Univ Bradford, Ctr Astrobiol &amp; Extremophiles Res, Div Chem &amp; Forens Sci, Sch Life Sci, Bradford BD7 1DP, W Yorkshire, England; [Seaward, Mark R. D.] Univ Bradford, Sch Archaeol Sci, Bradford BD7 1DP, W Yorkshire, England; [Preece, Tom F.] 34 Meadowbrook,Twmpath Lane, Oswestry SY10 7HD, Shrops, England; [Jorge-Villar, Susana E.] Univ Burgos, Area Geodinam Interna, Fac Humanidades &amp; Educ, Calle Villadiego S-N, Burgos 09001, Spain; [Hawksworth, David L.] Univ Complutense Madrid, Fac Farm, Dept Biol Vegetal 2, Plaza Ramon y Cajal, E-28040 Madrid, Spain; [Hawksworth, David L.] Nat Hist Museum, Dept Life Sci, Cromwell Rd, London SW7 5BD, England; [Hawksworth, David L.] Royal Bot Gardens, Comparat Plant &amp; Fungal Biol, Richmond TW9 3DS, Surrey, England</t>
  </si>
  <si>
    <t>University of Bradford; University of Bradford; Universidad de Burgos; Complutense University of Madrid; Natural History Museum London; Royal Botanic Gardens, Kew</t>
  </si>
  <si>
    <t>Seaward, M (corresponding author), Univ Bradford, Sch Archaeol Sci, Bradford BD7 1DP, W Yorkshire, England.</t>
  </si>
  <si>
    <t>M.R.D.Seaward@bradford.ac.uk</t>
  </si>
  <si>
    <t>Jorge-Villar, Susana E./A-8927-2011</t>
  </si>
  <si>
    <t>Jorge-Villar, Susana E./0000-0003-1676-4438</t>
  </si>
  <si>
    <t>Ministerio de Economica y Competitividad of Spain [CGL 2014-55542-P]</t>
  </si>
  <si>
    <t>Ministerio de Economica y Competitividad of Spain</t>
  </si>
  <si>
    <t>We are grateful to Professor David H. S. Richardson and two referees for valuable comments on former versions of this paper. This work was completed while D.L.H. was in receipt of an award from the Ministerio de Economica y Competitividad of Spain (Proyectos CGL 2014-55542-P).</t>
  </si>
  <si>
    <t>0334-5114</t>
  </si>
  <si>
    <t>1878-7665</t>
  </si>
  <si>
    <t>Symbiosis</t>
  </si>
  <si>
    <t>10.1007/s13199-016-0447-2</t>
  </si>
  <si>
    <t>EG9PY</t>
  </si>
  <si>
    <t>WOS:000391392700007</t>
  </si>
  <si>
    <t>Labidi, J; Farquhar, J; Alexander, CMO; Eldridge, DL; Oduro, H</t>
  </si>
  <si>
    <t>Labidi, J.; Farquhar, J.; Alexander, C. M. O'D.; Eldridge, D. L.; Oduro, H.</t>
  </si>
  <si>
    <t>Mass independent sulfur isotope signatures in CMs: Implications for sulfur chemistry in the early solar system</t>
  </si>
  <si>
    <t>Sulfur isotope; Photodissociation; Early solar system; Chondrites</t>
  </si>
  <si>
    <t>SILICON-CARBIDE GRAINS; CARBONACEOUS CHONDRITES; AQUEOUS ALTERATION; POTENTIAL RELEVANCE; SULFIDE FORMATION; ELEMENTAL SULFUR; CI1 CHONDRITES; OXYGEN-ISOTOPE; DENSE CLOUDS; METEORITES</t>
  </si>
  <si>
    <t>We have investigated the quadruple sulfur isotopic composition of inorganic sulfur-bearing phases from 13 carbonaceous chondrites of CM type. Our samples include 4 falls and 9 Antarctic finds. We extracted sulfur from sulfides, sulfates, and elemental sulfur (S-0) from all samples. On average, we recover a bulk sulfur (S) content of 2.11 perpendicular to 0.39 wt.% S (1 sigma). The recovered sulfate, S-0 and sulfide contents represent 25 +/- 12%, 10 +/- 7% and 65 +/- 15% of the bulk S, respectively (all 1 sigma). There is no evidence for differences in the bulk S content between falls and finds, and there is no correlation between the S speciation and the extent of aqueous alteration. We report ranges of Delta S-33 and Delta S-36 values in CMs that are significantly larger than previously observed. The largest variations are exhibited by S-0, with Delta S-33 values ranging between -0.104 perpendicular to 0.012% and +0.256 +/- 0.018% (2 sigma). The Delta S-36/S-33 ratios of S-0 are on average -3.1 +/- 1.0 (2 sigma). Two CMs show distinct Delta S-36/S-33 ratios, of +1.3 + 0.1 and +0.9 + 0.1. We suggest that these mass independent S isotopic compositions record H2S photodissociation in the nebula. The varying Delta S-36/Delta S-33 ratios are interpreted to reflect photodissociation that occurred at different UV wavelengths. The preservation of these isotopic features requires that the S-bearing phases were heterogeneously accreted to the CM parent body. Non-zero Delta S-33 values are also preserved in sulfide and sulfate, and are positively correlated with S-0 values. This indicates a genetic relationship between the S-bearing phases: We argue that sulfates were produced by the direct oxidation of S-0 (not sulfide) in the parent body. We describe two types of models that, although imperfect, can explain the major features of the CM S isotope compositions, and can be tested in future studies. Sulfide and S-0 could both be condensates from the nebula, as the residue and product, respectively, of incomplete H2S photodissociation by UV light (wavelength &lt; 150 nm). This idea requires that FeS formation and the S-0 condensation co-occur. As an alternative, ice accretion to the CM parent body could allow the delivery of S-MIF in CMs. In that case, sulfides would have been the only S-bearing condensate in CM precursors, and S-0 would have been derived from the oxidation of H2S trapped in ices, after its photodissociation at low temperature (&lt; 500 K) in the nebula. In our models, the observations of H2S UV photodissociation is required to occur at the disk surface, and allowed in nebular environments with canonical C/O ratios. Vertical motions in the disk would redistribute phases that condensed at high altitude to the midplane, where they accreted in the phases that make up the chondritic matrix. (C) 2016 Elsevier Ltd. All rights reserved.</t>
  </si>
  <si>
    <t>[Labidi, J.] Carnegie Inst Sci, Geophys Lab, Washington, DC 20015 USA; [Farquhar, J.; Eldridge, D. L.] Univ Maryland, Dept Geol, College Pk, MD 20740 USA; [Alexander, C. M. O'D.] Carnegie Inst Sci, Dept Terr Magnetism, Washington, DC 20015 USA; [Oduro, H.] Univ St Andrews, Dept Earth &amp; Environm Sci, St Andrews KY16 9AJ, Fife, Scotland</t>
  </si>
  <si>
    <t>Carnegie Institution for Science; University System of Maryland; University of Maryland College Park; Carnegie Institution for Science; University of St Andrews</t>
  </si>
  <si>
    <t>Labidi, J (corresponding author), Carnegie Inst Sci, Geophys Lab, Washington, DC 20015 USA.</t>
  </si>
  <si>
    <t>jabrane.labidi@uni-tuebingen.de</t>
  </si>
  <si>
    <t>Labidi, Jabrane/GXW-2179-2022; Alexander, Conel M. O'D./N-7533-2013; Eldridge, Daniel/AAQ-5332-2020</t>
  </si>
  <si>
    <t>Labidi, Jabrane/0000-0002-5656-226X; Alexander, Conel M. O'D./0000-0002-8558-1427; Eldridge, Daniel/0000-0001-7340-0652; Farquhar, James/0000-0003-3388-612X</t>
  </si>
  <si>
    <t>Carnegie (Geophysical Laboratory) postdoctoral fellowship; NASA Cosmochemistry grant [NNX13AL13G, NNX14AJ54G]; NSF; NASA</t>
  </si>
  <si>
    <t>Carnegie (Geophysical Laboratory) postdoctoral fellowship; NASA Cosmochemistry grant; NSF(National Science Foundation (NSF)); NASA(National Aeronautics &amp; Space Administration (NASA))</t>
  </si>
  <si>
    <t>This work was supported by a Carnegie (Geophysical Laboratory) postdoctoral fellowship granted to JL. JF acknowledges the NASA Cosmochemistry grant NNX13AL13G. CA was also partially supported by NASA Cosmochemistry grant NNX14AJ54G. For generously supplying the samples, the authors would like to thank: the British National History Museum, the members of the Meteorite Working Group, Cecilia Satterwhite and Kevin Righter (NASA, Johnson Space Center), Tim McCoy, Cari Corrigan and Linda Welzenbach (Smithsonian Institute), and Laurence Garvie (Arizona State University).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Munir Humayun and three anonymous reviewers for comments that greatly improved this study. We also thank James Dottin and Michael Antonelli for comments on the manuscript. We thank Joost Hoek, Doug Rumble, Anat Shahar, Alan Boss and George Cody for technical help and discussions throughout this study.</t>
  </si>
  <si>
    <t>10.1016/j.gca.2016.09.036</t>
  </si>
  <si>
    <t>EG3QG</t>
  </si>
  <si>
    <t>WOS:000390959200018</t>
  </si>
  <si>
    <t>Craddock, JP; Schmitz, MD; Crowley, JL; Larocque, J; Pankhurst, RJ; Juda, N; Konstantinou, A; Storey, B</t>
  </si>
  <si>
    <t>Craddock, John P.; Schmitz, Mark D.; Crowley, James L.; Larocque, Jeremiah; Pankhurst, Robert J.; Juda, Natalie; Konstantinou, Alexandros; Storey, Bryan</t>
  </si>
  <si>
    <t>Precise U-Pb zircon ages and geochemistry of Jurassic granites, Ellsworth-Whitmore terrane, central Antarctica</t>
  </si>
  <si>
    <t>GEOLOGICAL SOCIETY OF AMERICA BULLETIN</t>
  </si>
  <si>
    <t>MINNESOTA RIVER VALLEY; WEST ANTARCTICA; TRACE-ELEMENT; BREAK-UP; TECTONIC HISTORY; FLOOD BASALTS; VICTORIA LAND; CRUSTAL BLOCK; SR ISOTOPE; MANTLE</t>
  </si>
  <si>
    <t>The Ellsworth-Whitmore Mountain terrane of central Antarctica was part of the early Paleozoic amalgamation of Gondwana, including a 13,000 m section of Cambrian-Permian sediments in the Ellsworth Mountains deposited on Grenville-age crust. The Jurassic breakup of Gondwana involved a regional, bimodal magmatic event during which the Ellsworth-Whitmore terrane was intruded by intraplate granites before translation of the terrane to its present location in central Antarctica. Five widely separated granitic plutons in the Ellsworth-Whitmore terrane were analyzed for their whole-rock geochemistry (X-ray fluorescence), Sr, Nd, and Pb isotopic compositions, and U-Pb zircon ages to investigate the origins of the terrane magmas and their relationships to mafic magmatism of the 183 Ma Karoo-Ferrar large igneous province (LIP). We report high-precision (+/- 0.1 m.y.) isotope dilution-thermal ionization mass spectrometry (IDTIMS) U-Pb zircon ages from granitic rocks from the Whitmore Mountains (208.0 Ma), Nash Hills (177.4-177.3 Ma), Linck Nunatak (175.3Ma), Pagano Nunatak (174.8 Ma), and the Pirrit Hills (174.3-173.9 Ma), and U-Pb sensitive high- resolution ion microprobe (SHRIMP) ages from the Whitmore Mountains (200 +/- 5 Ma), Linck Nunatak (180 +/- 4 Ma), Pagano Nunatak (174 +/- 4 Ma), and the Pirrit Hills (168 +/- 4 Ma). We then compared these results with existing K-Ar ages and Nd model ages, and used initial Sr, Nd, and Pb isotope ratios, combined with xenocrystic zircon U-Pb inheritance, to infer characteristics of the source(s) of the parent magmas. We conclude that the Jurassic plutons were not derived exclusively from crustal melts, but rather they are hybridized magmas composed of convecting mantle, subcontinental lithospheric mantle, and lower continental crustal contributions. The mantle contributions to the granites share isotopic similarities to the sources of other Jurassic LIP mafic magmas, including radiogenic Sr-87/Sr-86 (0.706-0.708), unradiogenic Nd-143/Nd-144 (epsilon(Nd) &lt; - 5), and Pb isotopes consistent with a low-mu source (where mu = U-238/Pb-204). Isotopes and zircon xenocrysts point toward a crustal end member of predominantly Proterozoic provenance (0.5-1.0 Ga; Grenville crust), extending the trends illustrated by Ferrar mafic intrusive rocks, but contrasting with the inferred Archean crustal and/or lithospheric mantle contributions to some basalts of the Karoo sector of the LIP. The Ellsworth-Whitmore terrane granites are the result of mafic rocks underplating the hydrous crust, causing crustal melting, hybridization, and fractionation to produce granitic magmas that were eventually emplaced as post-Ferrar, within-plate melts at higher crustal levels as the Ellsworth-Whitmore terrane rifted off Gondwana (47 degrees S) before migrating to its current position (82 degrees S) in central Antarctica.</t>
  </si>
  <si>
    <t>[Craddock, John P.; Juda, Natalie; Konstantinou, Alexandros] Macalester Coll, Dept Geol, St Paul, MN 55105 USA; [Schmitz, Mark D.; Crowley, James L.; Larocque, Jeremiah] Boise State Univ, Dept Geosci, Boise, ID 83725 USA; [Pankhurst, Robert J.] British Geol Survey, Nottingham NG12 5GG, England; [Storey, Bryan] Univ Canterbury, Internat Antarctic Inst, Private Bag 4800, Christchurch 8140, New Zealand; [Juda, Natalie] US Geol Survey, Reston, VA 20192 USA; [Konstantinou, Alexandros] Cyprus Hydrocarbons Co, CY-1066 Nicosia, Cyprus</t>
  </si>
  <si>
    <t>Macalester College; Idaho; Boise State University; UK Research &amp; Innovation (UKRI); Natural Environment Research Council (NERC); NERC British Geological Survey; University of Canterbury; United States Department of the Interior; United States Geological Survey</t>
  </si>
  <si>
    <t>Craddock, JP (corresponding author), Macalester Coll, Dept Geol, St Paul, MN 55105 USA.</t>
  </si>
  <si>
    <t>craddock@macalester.edu</t>
  </si>
  <si>
    <t>Konstantinou, Alexandros/HSI-6543-2023; Schmitz, Mark D/A-2540-2012</t>
  </si>
  <si>
    <t>Crowley, James/0000-0001-5069-0773; Schmitz, Mark David/0000-0003-2888-0321</t>
  </si>
  <si>
    <t>NERC [nigl010001] Funding Source: UKRI; Natural Environment Research Council [nigl010001] Funding Source: researchfish</t>
  </si>
  <si>
    <t>GEOLOGICAL SOC AMER, INC</t>
  </si>
  <si>
    <t>BOULDER</t>
  </si>
  <si>
    <t>PO BOX 9140, BOULDER, CO 80301-9140 USA</t>
  </si>
  <si>
    <t>0016-7606</t>
  </si>
  <si>
    <t>1943-2674</t>
  </si>
  <si>
    <t>GEOL SOC AM BULL</t>
  </si>
  <si>
    <t>Geol. Soc. Am. Bull.</t>
  </si>
  <si>
    <t>10.1130/B31485.1</t>
  </si>
  <si>
    <t>EG4BM</t>
  </si>
  <si>
    <t>WOS:000390988400007</t>
  </si>
  <si>
    <t>Cabrerizo, A; Larramendi, R; Albar, JP; Dachs, J</t>
  </si>
  <si>
    <t>Cabrerizo, Ana; Larramendi, Ramon; Albar, Juan-Pablo; Dachs, Jordi</t>
  </si>
  <si>
    <t>Persistent organic pollutants in the atmosphere of the Antarctic Plateau</t>
  </si>
  <si>
    <t>ATMOSPHERIC ENVIRONMENT</t>
  </si>
  <si>
    <t>Antarctic plateau; Polychlorinated biphenyls; HCB; HCH</t>
  </si>
  <si>
    <t>SOUTHERN-OCEAN; ORGANOCHLORINE PESTICIDES; POLYCHLORINATED-BIPHENYLS; HEXACHLOROCYCLOHEXANES; HEXACHLOROBENZENE; PHYTOPLANKTON; CIRCULATION; TROPOSPHERE; TRANSPORT; SEAWATER</t>
  </si>
  <si>
    <t>Persistent organic pollutants (POPS) bioaccumulate in biota, have long residence times in the environment, and potential for long range atmospheric transport. Here, we show the first measurements of legacy POPs in the atmosphere of the Antarctic Plateau from 73 degrees South to the South Pole. Samples were taken using passive samplers. The amount of polychlorinated biphenyls (as Sigma(26)PCBs) per sample ranged from 0.8 ng to 26 ng. The mass per sample of hexachlorobenzene (HCB) and gamma-hexachlorocyclohexane (gamma-HCH) in the gas-phase ranged from 0.67 ng to 2.7 ng and from non-detected to 2.6 ng, respectively. The lowest amounts of POPs were observed at the South Pole. This work shows that POPs have also reached the remotest region of Earth from primary sources. The assessment of the air mass back trajectories and current knowledge of atmospheric circulation over the Antarctic continent suggests that POPs reach the Antarctic Plateau by subduction of air masses from the free troposphere. (C) 2016 Elsevier Ltd. All rights reserved.</t>
  </si>
  <si>
    <t>[Cabrerizo, Ana; Dachs, Jordi] IDAEA CSIC, Dept Environm Chem, Barcelona, Catalunya, Spain; [Larramendi, Ramon] Viajes Tierras Polares, Madrid, Spain; [Albar, Juan-Pablo] CNB CSIC, Natl Biotechnol Ctr, Madrid, Spain; [Cabrerizo, Ana] Environm Canada, Canada Ctr Inland Waters, 867 Lakeshore Rd, Burlington, ON L7S 1A1, Canada</t>
  </si>
  <si>
    <t>Consejo Superior de Investigaciones Cientificas (CSIC); CSIC - Centro de Investigacion y Desarrollo Pascual Vila (CID-CSIC); CSIC - Instituto de Diagnostico Ambiental y Estudios del Agua (IDAEA); Consejo Superior de Investigaciones Cientificas (CSIC); CSIC - Centro Nacional de Biotecnologia (CNB); Environment &amp; Climate Change Canada; Canada Centre for Inland Waters (CCIW)</t>
  </si>
  <si>
    <t>Dachs, J (corresponding author), IDAEA CSIC, Dept Environm Chem, Barcelona, Catalunya, Spain.</t>
  </si>
  <si>
    <t>jordi.dachs@idaea.csic.es</t>
  </si>
  <si>
    <t>Cabrerizo, Ana/AAA-9050-2020; Cabrerizo, Ana/D-8256-2018</t>
  </si>
  <si>
    <t>Cabrerizo, Ana/0000-0002-5933-1483; Dachs, Jordi/0000-0002-4237-169X</t>
  </si>
  <si>
    <t>Spanish Ministry of Economy and Competiveness (SENTINEL project) [CTM2015-70535-P]; Catalan government; ACCIONA Windpower Antarctic Expedition; People Programme (Marie Curie Actions) of the European Union's Seventh Framework Programme (FP7) under REA grant [PIOF-GA-2013-628303]</t>
  </si>
  <si>
    <t>Spanish Ministry of Economy and Competiveness (SENTINEL project); Catalan government; ACCIONA Windpower Antarctic Expedition; People Programme (Marie Curie Actions) of the European Union's Seventh Framework Programme (FP7) under REA grant(European Union (EU))</t>
  </si>
  <si>
    <t>This research project was funded by the Spanish Ministry of Economy and Competiveness (SENTINEL project, CTM2015-70535-P) and the Catalan government, while the sampling expedition was funded by ACCIONA Windpower Antarctic Expedition. A.C. acknowledges funding from the People Programme (Marie Curie Actions) of the European Union's Seventh Framework Programme (FP7/2007-2013) under REA grant agreement no PIOF-GA-2013-628303. Mr. Marc Manas (IDAEA-CSIC) is acknowledged for support constructing the passive sampler.</t>
  </si>
  <si>
    <t>1352-2310</t>
  </si>
  <si>
    <t>1873-2844</t>
  </si>
  <si>
    <t>ATMOS ENVIRON</t>
  </si>
  <si>
    <t>Atmos. Environ.</t>
  </si>
  <si>
    <t>10.1016/j.atmosenv.2016.11.015</t>
  </si>
  <si>
    <t>EF7MQ</t>
  </si>
  <si>
    <t>WOS:000390514100010</t>
  </si>
  <si>
    <t>Clark, GF; Stark, JS; Johnston, EL</t>
  </si>
  <si>
    <t>Clark, Graeme F.; Stark, Jonathan S.; Johnston, Emma L.</t>
  </si>
  <si>
    <t>Tolerance rather than competition leads to spatial dominance of an Antarctic bryozoan</t>
  </si>
  <si>
    <t>JOURNAL OF EXPERIMENTAL MARINE BIOLOGY AND ECOLOGY</t>
  </si>
  <si>
    <t>Sedimentation; Orientation; Sea-ice; Inversiula nutrix; Niche partitioning</t>
  </si>
  <si>
    <t>MCMURDO SOUND; COMMUNITY; SEDIMENTATION; DISTURBANCE; DIVERSITY; INCREASES; MORTALITY; NICHE</t>
  </si>
  <si>
    <t>Understanding the processes that govern species distributions is a fundamental goal of ecology. Species differ in patterns of resource-use due to differences in response to biotic and environmental factors. Some species dominate favourable habitat through competitively superiority, while others have evolved to exploit niches of abiotic stress where competition is low. We observed interspecific differences in the use of horizontal and vertical habitats by Antarctic bryozoa. The most spatially dominant species, Inversiula nutrix, mainly occupied horizontal surfaces, while nine other bryozoan species mainly occupied vertical surfaces. We hypothesized that this spatial segregation may be due to either competitive displacement of other species by I. nutrix, or tolerance of I. nutrix to an environmental stress associated with horizontal orientation. To investigate this we quantified competitive interactions between all species, and conducted a manipulative field experiment to test effects of sedimentation on bryozoan growth. We found that I. nutrix was not a superior competitor, but was more tolerant of sedimentation than were other species. Despite mediocre competitive ability, tolerance to a stressor has allowed I. nutrix to occupy resources unavailable to the other species, and thereby gain spatial dominance within the community. (C) 2016 Elsevier B.V. All rights reserved.</t>
  </si>
  <si>
    <t>[Clark, Graeme F.; Johnston, Emma L.] Univ New South Wales, Sch Biol Earth &amp; Environm Sci, Evolut &amp; Ecol Res Ctr, Sydney, NSW 2052, Australia; [Stark, Jonathan S.] Australian Antarctic Div, Dept Sustainabil Environm Water Populat &amp; Communi, Kingston, Tas 7050, Australia</t>
  </si>
  <si>
    <t>Clark, GF (corresponding author), Univ New South Wales, Sch Biol Earth &amp; Environm Sci, Evolut &amp; Ecol Res Ctr, Sydney, NSW 2052, Australia.</t>
  </si>
  <si>
    <t>Johnston, Emma/AAC-2878-2022; Stark, Jonathan/ABF-4025-2020; Clark, Graeme/M-6448-2017</t>
  </si>
  <si>
    <t>Johnston, Emma/0000-0002-2117-366X; Stark, Jonathan/0000-0002-4268-8072; Clark, Graeme/0000-0002-0230-6631</t>
  </si>
  <si>
    <t>Australian Antarctic Science Grant [2691]</t>
  </si>
  <si>
    <t>Australian Antarctic Science Grant</t>
  </si>
  <si>
    <t>Research was supported by Australian Antarctic Science Grant 2691. We thank the dive teams of Casey Station 2006-2008 for field assistance. Many Australian Antarctic Division personnel were involved in the collection of sediment trap data, particularly Martin Riddle and Anne Palmer. [SW]</t>
  </si>
  <si>
    <t>0022-0981</t>
  </si>
  <si>
    <t>1879-1697</t>
  </si>
  <si>
    <t>J EXP MAR BIOL ECOL</t>
  </si>
  <si>
    <t>J. Exp. Mar. Biol. Ecol.</t>
  </si>
  <si>
    <t>10.1016/j.jembe.2016.10.008</t>
  </si>
  <si>
    <t>Ecology; Marine &amp; Freshwater Biology</t>
  </si>
  <si>
    <t>EF7FP</t>
  </si>
  <si>
    <t>WOS:000390495800027</t>
  </si>
  <si>
    <t>Endo, Y; Fujii, D; Nishitani, G; Wiebe, PH</t>
  </si>
  <si>
    <t>Endo, Yoshinari; Fujii, Daiki; Nishitani, Goh; Wiebe, Peter H.</t>
  </si>
  <si>
    <t>Life cycle of the suctorian ciliate Ephelota plana attached to the krill Euphausia pacifica</t>
  </si>
  <si>
    <t>Suctorians; Ephelota plena; Life cycle; Euphausia pacifica; Molt cycle</t>
  </si>
  <si>
    <t>ANTARCTIC KRILL; SP-NOV; MOLT; CILIOPHORA; SUPERBA; GROWTH; APOSTOMATIDA; GIGANTEA; SEAWEED; JAPAN</t>
  </si>
  <si>
    <t>The hypothesis that life cycle of an epibiotic suctorian ciliate Ephelota piano is adapted to the molt cycle of the krill Euphausia pacifica collected in Saanich Inlet, Canada was evaluated. The infestation prevalence of E. planet and the number of individuals attached increased from postmolt stage to premolt stage of E. pacifica, and concurrently cell growth of E. plana was observed. Budding individuals of E. plana first appeared at early premolt stage and increased to 21% at late premolt stage. Thus the life cycle of E. piano seems to be adapted to the molt cycle of E. pacifica. (C) 2016 Elsevier B.V. All rights reserved.</t>
  </si>
  <si>
    <t>[Endo, Yoshinari; Fujii, Daiki; Nishitani, Goh] Tohoku Univ, Grad Sch Agr Sci, Lab Biol Oceanog, Sendai, Miyagi 9818555, Japan; [Wiebe, Peter H.] Woods Hole Oceanog Inst, Woods Hole, MA 02543 USA</t>
  </si>
  <si>
    <t>Tohoku University; Woods Hole Oceanographic Institution</t>
  </si>
  <si>
    <t>Endo, Y (corresponding author), Tohoku Univ, Grad Sch Agr Sci, Lab Biol Oceanog, Sendai, Miyagi 9818555, Japan.;Endo, Y (corresponding author), Marine Biol Res Inst Japan Co Ltd, Tokyo 1420042, Japan.</t>
  </si>
  <si>
    <t>yendo@bios.tohoku.ac.jp</t>
  </si>
  <si>
    <t>Wiebe, Peter/0000-0002-6059-4651</t>
  </si>
  <si>
    <t>Office of Naval Research's Marine Mammals and Biology Program [N00014-13-1-0637]</t>
  </si>
  <si>
    <t>Office of Naval Research's Marine Mammals and Biology Program</t>
  </si>
  <si>
    <t>Plankton sampling was conducted by P.H.W. as part of the summer 2011 Marine Bioacoustics course taught at the University of Washington's Friday Harbor Laboratories. Ship time and other logistics associated with the course were supported by a grant from the Office of Naval Research's Marine Mammals and Biology Program (N00014-13-1-0637). We thank captain of the RN Centennial and the students for their kind help in collecting krill samples. [SS]</t>
  </si>
  <si>
    <t>10.1016/j.jembe.2016.11.003</t>
  </si>
  <si>
    <t>WOS:000390495800045</t>
  </si>
  <si>
    <t>González, PM; Deregibus, D; Malanga, G; Campana, GL; Zacher, K; Quartino, ML; Puntarulo, S</t>
  </si>
  <si>
    <t>Mariela Gonzalez, Paula; Deregibus, Dolores; Malanga, Gabriela; Laura Campana, Gabriela; Zacher, Katharina; Liliana Quartino, Maria; Puntarulo, Susana</t>
  </si>
  <si>
    <t>Oxidative balance in macroalgae from Antarctic waters. Possible role of Fe</t>
  </si>
  <si>
    <t>Antarctica; Antioxidants; Fe; Lipid radicals; Macroalgae; Oxidative stress</t>
  </si>
  <si>
    <t>KING GEORGE ISLAND; ALGA; RED; ECOPHYSIOLOGY; PERFORMANCE; PHAEOPHYTA; RHODOPHYTA; SEAWEEDS; METALS; ACID</t>
  </si>
  <si>
    <t>The hypothesis of this work was that exposure to diverse abiotic factors in two sites with different sediment and iron input (Penon de Pesca: low impact; Island D: high impact both areas in Potter Cove, King George Island, Antarctica) affects the physiological and oxidative profile of Gigartina skottsbergii and Himantothallus grandifolius. Daily metabolic carbon balance was significantly lower in both macroalgae from Island D compared to Penon de Pesca. Lipid radical (LR.) content was significantly higher in G. skottsbergii collected from Island D compared to Person de Pesca. In contrast, H. grandifolius showed significantly lower values in Island D compared to Penon de Pesca. The beta-carotene (beta-C) content was significantly lower in G. skottsbergii from Island D compared to Penon de Pesca, and the ratio LR./beta-C showed a 6-fold increase in Island D samples compared to Penon de Pesca. On the other hand, p-c content in H. grandifolius showed no significant differences between both areas. The LR./beta-C content ratio in this alga was significantly lower (26%) in Island D as compared to Penon de Pesca. Total iron content was significantly higher in both macroalgae from Island D compared to samples from Penon de Pesca. Results with G. skottsbergii suggested changes in the oxidative cellular balance, probably related to the higher environmental iron in Island D as compared to Penon de Pesca. The species H. grandifolius seems to be better adapted to the environmental conditions especially through a higher antioxidant capacity to cope with oxidative stress. (C) 2016 Elsevier B.V. All rights reserved.</t>
  </si>
  <si>
    <t>[Mariela Gonzalez, Paula; Malanga, Gabriela; Puntarulo, Susana] Univ Buenos Aires, Inst Bioquim &amp; Med Mol IBIMOL, Fac Farm &amp; Bioquim, CONICET,Fisicoquim, Junin 956 C1113AAD, Buenos Aires, DF, Argentina; [Deregibus, Dolores; Laura Campana, Gabriela; Liliana Quartino, Maria] Inst Antartico Argentino, 25 Mayo 1143,San Martin CP1650, Buenos Aires, DF, Argentina; [Laura Campana, Gabriela] Univ Nacl Lujan, R5 &amp; Av Constituc CP6700, Buenos Aires, DF, Argentina; [Zacher, Katharina] Alfred Wegener Inst Helmholtz Ctr Polar &amp; Marine, Handelshafen 12, D-27570 Bremerhaven, Germany; [Liliana Quartino, Maria] Museo Argentina Ciencias Nat B Rivadavia, Av A Gallardo 470 C1405DJR, Buenos Aires, DF, Argentina</t>
  </si>
  <si>
    <t>University of Buenos Aires; Consejo Nacional de Investigaciones Cientificas y Tecnicas (CONICET); Instituto Antartico Argentino; Universidad Nacional de Lujan; Helmholtz Association; Alfred Wegener Institute, Helmholtz Centre for Polar &amp; Marine Research; Museo Argentino de Ciencias Naturales Bernardino Rivadavia (MACN)</t>
  </si>
  <si>
    <t>Puntarulo, S (corresponding author), Fac Farm &amp; Bioquim, Fisicoquim IBIMOL, Junin 956 C1113AAD, Buenos Aires, DF, Argentina.</t>
  </si>
  <si>
    <t>paulag@ffyb.uba.ar; dderegibus@dna.gov.ar; gmalanga@ffyb.uba.ar; gcampana@dna.gov.ar; katharina.zacher@awi.de; lquartino@dna.gov.ar; susanap@ffyb.uba.ar</t>
  </si>
  <si>
    <t>Fernández, Paula PFF/N-7242-2018</t>
  </si>
  <si>
    <t>Gonzalez, Paula/0000-0003-0154-0087; , Paula/0000-0003-0135-2561</t>
  </si>
  <si>
    <t>DNA-IAA [PICTA 7/2008-2011]; ANPCyT-DNA [PICTO 0116/2012-2015]; EU [319718]; University of Buenos Aires [20020130100383BA]; National Agency of Science and Scientific Promotion [ANPCYT PICT 00845]; National Council for Science and Technology [CONICET PIP 0697]</t>
  </si>
  <si>
    <t>DNA-IAA; ANPCyT-DNA; EU(European Union (EU)); University of Buenos Aires(University of Buenos Aires); National Agency of Science and Scientific Promotion; National Council for Science and Technology(Consiliul National al Cercetarii Stiintifice (CNCS))</t>
  </si>
  <si>
    <t>We are especially grateful to the scientific and logistic groups of Carlini Station - Dallmann Laboratory for their technical assistance during the Antarctic expeditions. The research was supported by grants from DNA-IAA (PICTA 7/2008-2011) and ANPCyT-DNA (PICTO 0116/2012-2015). The present manuscript also presents an outcome of the EU project IMCONet (FP7 IRSES, action no. 319718). This study was also supported by grants from the University of Buenos Aires (20020130100383BA), National Agency of Science and Scientific Promotion (ANPCYT PICT 00845) and National Council for Science and Technology (CONICET PIP 0697). The authors S.P., G.M. and P.M.G. are career investigators from CONICET. [SS]</t>
  </si>
  <si>
    <t>10.1016/j.jembe.2016.10.018</t>
  </si>
  <si>
    <t>WOS:000390495800047</t>
  </si>
  <si>
    <t>Pinseel, E; Hejduková, E; Vanormelingen, P; Kopalová, K; Vyverman, W; Van de Vijver, B</t>
  </si>
  <si>
    <t>Pinseel, Eveline; Hejdukova, Eva; Vanormelingen, Pieter; Kopalova, Katerina; Vyverman, Wim; Van de Vijver, Bart</t>
  </si>
  <si>
    <t>Pinnularia catenaborealis sp nov. (Bacillariophyceae), a unique chain-forming diatom species from James Ross Island and Vega Island (Maritime Antarctica)</t>
  </si>
  <si>
    <t>Colony formation; Cultures; Molecular phylogeny; Nuclear-encoded LSU rDNA; Pinnularia borealis; rbcL</t>
  </si>
  <si>
    <t>GENUS MUELLERIA BACILLARIOPHYTA; SOUTH SHETLAND ISLANDS; FRESH-WATER; MOLECULAR PHYLOGENY; SPINE-BEARING; SEQUENCE; JMODELTEST; DIVERSITY; INFERENCE; REVISION</t>
  </si>
  <si>
    <t>A recent detailed survey of the Maritime Antarctic diatom flora using a fine-grained taxonomy resulted in the description of many new species of Pinnularia in general and the section Distantes, including the P. borealis species complex, in particular. Moreover, DNA-based studies of P. borealis revealed that many more species need to be described within this complex. During a survey of the freshwater littoral diatom flora of James Ross Island (Ulu Peninsula) and Vega Island in Maritime Antarctica, a previously unknown chain-forming species in the P. borealis species complex of section Distantes was cultured from three different localities. Molecular phylogenies based on the nuclear-encoded D1-D3 large-subunit ribosomal DNA and plastid rbcL genes revealed that all cultures belong to a distinct highly supported lineage within the P. borealis species complex. Pinnularia catenaborealis sp. nov. is characterised by the presence of small spines located on a raised, thin silica ridge that almost entirely surrounds the valve face near the valve face/mantle junction, and the presence of small silica plates near the apices. In culture, P. catenaborealis formed chains of several tens of cells and in oxidised natural material, chains up to seven frustules were observed. Pinnularia catenaborealis is described from the littoral zone of freshwater Black Lake (Ulu Peninsula, James Ross Island) and has also been observed on nearby Vega Island. Although P. borealis is generally regarded as a (semi-) terrestrial diatom complex mainly occurring in (moist) soils and mosses, P. catenaborealis was found in freshwater habitats with an alkaline pH and low conductivity.</t>
  </si>
  <si>
    <t>[Pinseel, Eveline; Vanormelingen, Pieter; Vyverman, Wim] Univ Ghent, Fac Sci, Dept Biol, PAE, Krijgslaan 281-S8, B-9000 Ghent, Belgium; [Pinseel, Eveline; Van de Vijver, Bart] Bot Garden Meise, Dept Bryophyta &amp; Thallophyta, Nieuwelaan 38, B-1860 Meise, Belgium; [Pinseel, Eveline; Van de Vijver, Bart] Univ Antwerp, Fac Sci, Dept Biol, Ecosyst Management Res Grp ECOBE, Univ Pl 1, B-2610 Antwerp, Belgium; [Hejdukova, Eva; Kopalova, Katerina] Charles Univ Prague, Fac Sci, Dept Ecol, Vinicna 7, CZ-12844 Prague 2, Czech Republic</t>
  </si>
  <si>
    <t>Ghent University; University of Antwerp; Charles University Prague</t>
  </si>
  <si>
    <t>Pinseel, E (corresponding author), Univ Ghent, Fac Sci, Dept Biol, PAE, Krijgslaan 281-S8, B-9000 Ghent, Belgium.;Pinseel, E (corresponding author), Bot Garden Meise, Dept Bryophyta &amp; Thallophyta, Nieuwelaan 38, B-1860 Meise, Belgium.;Pinseel, E (corresponding author), Univ Antwerp, Fac Sci, Dept Biol, Ecosyst Management Res Grp ECOBE, Univ Pl 1, B-2610 Antwerp, Belgium.</t>
  </si>
  <si>
    <t>eveline.pinseel@ugent.be</t>
  </si>
  <si>
    <t>Pinseel, Eveline/ABF-5980-2020; Hejdukova, Eva/N-2502-2017; Kopalova, Katerina/M-6207-2017</t>
  </si>
  <si>
    <t>Pinseel, Eveline/0000-0002-1801-2187; Hejdukova, Eva/0000-0002-1967-0253; Kopalova, Katerina/0000-0002-7905-4268</t>
  </si>
  <si>
    <t>Fund for Scientific Research - Flanders (FWO-Flanders, Belgium); Charles University Mobility grant; Hlavka Foundation; Belspo CCAMBIO project; [2010-0096]</t>
  </si>
  <si>
    <t>Fund for Scientific Research - Flanders (FWO-Flanders, Belgium)(FWO); Charles University Mobility grant; Hlavka Foundation; Belspo CCAMBIO project;</t>
  </si>
  <si>
    <t>Part of this research was financially supported by the Fund for Scientific Research - Flanders (FWO-Flanders, Belgium, funding of EP as a PhD student and PV as a postdoctoral fellow). During her stay in Belgium, EH benefited from a Charles University Mobility grant and the Hlavka Foundation for travel funding. Part of the research was funded within the Belspo CCAMBIO project. The BCCM/DCG culture collection is supported by Belspo. Mr. Jan Kavan is thanked for collecting the Vega Island sample in 2013 and Juan Presta is acknowledged for the Black Lake samples of 2014. The authors also thank all members of the expeditions to the Czech Antarctic Station 'J.G. Mendel'. The members of the scientific expedition 'Lagos 2012, 2013 and 20140 (Picto project nr. 2010-0096) are thanked for their support and help in the field, together with the Instituto Antartico Argentino Direccion Nacional del Antartico for all logistical support during the Antarctic expedition. Sofie D'hondt is thanked for her help with the molecular analysis, Olga Chepurnova and Tine Verstraete for their help with the cryopreservation of the culture material.</t>
  </si>
  <si>
    <t>10.2216/16-18.1</t>
  </si>
  <si>
    <t>EF8IR</t>
  </si>
  <si>
    <t>WOS:000390573000008</t>
  </si>
  <si>
    <t>Rosenthal, Y; Kalansky, J; Morley, A; Linsley, B</t>
  </si>
  <si>
    <t>Rosenthal, Yair; Kalansky, Julie; Morley, Audrey; Linsley, Braddock</t>
  </si>
  <si>
    <t>A paleo-perspective on ocean heat content: Lessons from the Holocene and Common Era</t>
  </si>
  <si>
    <t>QUATERNARY SCIENCE REVIEWS</t>
  </si>
  <si>
    <t>Ocean heat content (OHC); Coral; Holocene; Mg/Ca; Foraminifera</t>
  </si>
  <si>
    <t>WESTERN EQUATORIAL PACIFIC; SOUTHERN-OCEAN; TROPICAL PACIFIC; ICE-CORE; SURFACE-TEMPERATURE; ANTARCTIC PENINSULA; CLIMATE-CHANGE; INTERMEDIATE WATER; ATLANTIC-OCEAN; VARIABILITY</t>
  </si>
  <si>
    <t>The ocean constitutes the largest heat reservoir in the Earth's energy budget and thus exerts a major influence on its climate. Instrumental observations show an increase in ocean heat content (OHC) associated with the increase in greenhouse emissions. Here we review proxy records of intermediate water temperatures from sediment cores and corals in the equatorial Pacific and northeastern Atlantic Oceans, spanning 10,000 years beyond the instrumental record. These records suggests that intermediate waters were 1.5-2 degrees C warmer during the Holocene Thermal Maximum than in the last century. Intermediate water masses cooled by 0.9 degrees C from the Medieval Climate Anomaly to the Little Ice Age. These changes are significantly larger than the temperature anomalies documented in the instrumental record. The implied large perturbations in OHC and Earth's energy budget are at odds with very small radiative forcing anomalies throughout the Holocene and Common Era. We suggest that even very small radiative perturbations can change the latitudinal temperature gradient and strongly affect prevailing atmospheric wind systems and hence air-sea heat exchange. These dynamic processes provide an efficient mechanism to amplify small changes in insolation into relatively large changes in OHC. Over long time periods the ocean's interior acts like a capacitor and builds up large (positive and negative) heat anomalies that can mitigate or amplify small radiative perturbations as seen in the Holocene trend and Common Era anomalies, respectively. Evidently the ocean's interior is more sensitive to small external forcings than the global surface ocean because of the high sensitivity of heat exchange in the high-latitudes to climate variations. (C) 2016 Elsevier Ltd. All rights reserved.</t>
  </si>
  <si>
    <t>[Rosenthal, Yair] Rutgers State Univ, Dept Marine &amp; Coastal Sci, New Brunswick, NJ 08901 USA; [Rosenthal, Yair] Rutgers State Univ, Dept Earth &amp; Planetary Sci, New Brunswick, NJ 08901 USA; [Kalansky, Julie] Univ Calif San Diego, Scripps Inst Oceanog, La Jolla, CA 92093 USA; [Morley, Audrey] Natl Univ Ireland Galway, Sch Geog &amp; Archaeol, Galway, Ireland; [Linsley, Braddock] Columbia Univ, Lamont Doherty Earth Observ, New York, NY USA</t>
  </si>
  <si>
    <t>Rutgers University System; Rutgers University New Brunswick; Rutgers University System; Rutgers University New Brunswick; University of California System; University of California San Diego; Scripps Institution of Oceanography; Ollscoil na Gaillimhe-University of Galway; Columbia University</t>
  </si>
  <si>
    <t>Rosenthal, Y (corresponding author), Rutgers State Univ, Dept Marine &amp; Coastal Sci, New Brunswick, NJ 08901 USA.;Rosenthal, Y (corresponding author), Rutgers State Univ, Dept Earth &amp; Planetary Sci, New Brunswick, NJ 08901 USA.</t>
  </si>
  <si>
    <t>rosentha@marine.rutgers.edu; jkalansky@ucsd.edu; audrey.morley@nuigalway.ie; linsley@ldeo.columbia.edu</t>
  </si>
  <si>
    <t>Linsley, Braddock/0000-0003-2085-0662; Morley, Audrey/0000-0002-8971-0222</t>
  </si>
  <si>
    <t>NSF [OCE1045377, 1003400]; Directorate For Geosciences; Division Of Ocean Sciences [1003400] Funding Source: National Science Foundation</t>
  </si>
  <si>
    <t>NSF(National Science Foundation (NSF)); Directorate For Geosciences; Division Of Ocean Sciences(National Science Foundation (NSF)NSF - Directorate for Geosciences (GEO))</t>
  </si>
  <si>
    <t>We would like to acknowledge Paula Moffa-Sanchez for commenting on the manuscript. Y.R. thanks Isabel Hong for help with Adobe Illustrator. Research discussed in this review article was supported by NSF funding (OCE1045377&amp;1003400).</t>
  </si>
  <si>
    <t>0277-3791</t>
  </si>
  <si>
    <t>QUATERNARY SCI REV</t>
  </si>
  <si>
    <t>Quat. Sci. Rev.</t>
  </si>
  <si>
    <t>10.1016/j.quascirev.2016.10.017</t>
  </si>
  <si>
    <t>EF9BW</t>
  </si>
  <si>
    <t>WOS:000390626700001</t>
  </si>
  <si>
    <t>Mayewski, PA; Carleton, AM; Birkel, SD; Dixon, D; Kurbatov, AV; Korotkikh, E; McConnell, J; Curran, M; Cole-Dai, J; Jiang, S; Plummer, C; Vance, T; Maasch, KA; Sneed, SB; Handley, M</t>
  </si>
  <si>
    <t>Mayewski, P. A.; Carleton, A. M.; Birkel, S. D.; Dixon, D.; Kurbatov, A. V.; Korotkikh, E.; McConnell, J.; Curran, M.; Cole-Dai, J.; Jiang, S.; Plummer, C.; Vance, T.; Maasch, K. A.; Sneed, S. B.; Handley, M.</t>
  </si>
  <si>
    <t>Ice core and climate reanalysis analogs to predict Antarctic and Southern Hemisphere climate changes</t>
  </si>
  <si>
    <t>Climate change; Analogs; Ice cores; Climate reanalysis; Antarctica; Southern Hemisphere</t>
  </si>
  <si>
    <t>LEVEL PRESSURE VARIABILITY; GROUNDING-LINE RETREAT; HALF-YEARLY CYCLE; INTERANNUAL VARIATIONS; WEST ANTARCTICA; SEA-LEVEL; TOTTEN GLACIER; WAIS DIVIDE; LARGE-SCALE; LAW DOME</t>
  </si>
  <si>
    <t>A primary goal of the SCAR (Scientific Committee for Antarctic Research) initiated AntClim21 (Antarctic Climate in the 21st Century) Scientific Research Programme is to develop analogs for understanding past, present and future climates for the Antarctic and Southern Hemisphere. In this contribution to AntClim21 we provide a framework for achieving this goal that includes: a description of basic climate parameters; comparison of existing climate reanalyses; and ice core sodium records as proxies for the frequencies of marine air mass intrusion spanning the past 2000 years. The resulting analog examples include: natural variability, a continuation of the current trend in Antarctic and Southern Ocean climate characterized by some regions of warming and some cooling at the surface of the Southern Ocean, Antarctic ozone healing, a generally warming climate and separate increases in the meridional and zonal winds. We emphasize changes in atmospheric circulation because the atmosphere rapidly transports heat, moisture, momentum, and pollutants, throughout the middle to high latitudes. In addition, atmospheric circulation interacts with temporal variations (synoptic to monthly scales, inter-annual, decadal, etc.) of sea ice extent and concentration. We also investigate associations between Antarctic atmospheric circulation features, notably the Amundsen Sea Low (ASL), and primary climate teleconnections including the SAM (Southern Annular Mode), ENSO (El Nino Southern Oscillation), the Pacific Decadal Oscillation (PDO), the AMO (Atlantic Multidecadal Oscillation), and solar irradiance variations. (C) 2016 The Authors. Published by Elsevier Ltd. This is an open access article under the CC BY license.</t>
  </si>
  <si>
    <t>[Mayewski, P. A.; Birkel, S. D.; Dixon, D.; Kurbatov, A. V.; Korotkikh, E.; Maasch, K. A.; Sneed, S. B.; Handley, M.] Univ Maine, Climate Change Inst, Orono, ME 04469 USA; [Mayewski, P. A.; Birkel, S. D.; Kurbatov, A. V.; Korotkikh, E.; Maasch, K. A.] Univ Maine, Sch Earth &amp; Climate Sci, Orono, ME 04469 USA; [Carleton, A. M.] Penn State Univ, Dept Geog, Polar Ctr, University Pk, PA 16802 USA; [McConnell, J.] Univ Nevada Syst, Desert Res Inst, Reno, NV USA; [Curran, M.; Plummer, C.; Vance, T.] Australian Antarctic Div, Kingston, Tas, Australia; [Curran, M.] Univ Tasmania, Antarctic Climate &amp; Ecosyst Cooperat Res Ctr, Hobart, Tas, Australia; [Cole-Dai, J.] South Dakota State Univ, Dept Chem &amp; Biochem, Brookings, SD USA; [Jiang, S.] Polar Res Inst China, Shanghai, Peoples R China; [Plummer, C.] Univ Tasmania, Inst Marine &amp; Antarctic Studies, Hobart, Tas, Australia</t>
  </si>
  <si>
    <t>University of Maine System; University of Maine Orono; University of Maine System; University of Maine Orono; Pennsylvania Commonwealth System of Higher Education (PCSHE); Pennsylvania State University; Pennsylvania State University - University Park; Nevada System of Higher Education (NSHE); Desert Research Institute NSHE; University of Nevada Reno; Australian Antarctic Division; University of Tasmania; Antarctic Climate &amp; Ecosystems Cooperative Research Centre (ACE CRC); South Dakota State University; Polar Research Institute of China; University of Tasmania</t>
  </si>
  <si>
    <t>Mayewski, PA (corresponding author), Univ Maine, Climate Change Inst, Orono, ME 04469 USA.;Mayewski, PA (corresponding author), Univ Maine, Sch Earth &amp; Climate Sci, Orono, ME 04469 USA.</t>
  </si>
  <si>
    <t>paul.mayewski@maine.edu</t>
  </si>
  <si>
    <t>Maasch, Kirk/JMQ-8426-2023; Cole-Dai, Jihong/B-2510-2009; Mayewski, Paul Andrew/HRD-6969-2023; Birkel, Sean/W-2504-2019</t>
  </si>
  <si>
    <t>Cole-Dai, Jihong/0000-0003-0921-5916; Maasch, Kirk Allen/0000-0002-8658-8030; Vance, Tessa/0000-0001-6970-8646; Plummer, Christopher/0000-0002-9765-5753; Kurbatov, Andrei/0000-0002-9819-9251</t>
  </si>
  <si>
    <t>NSF [0439589, 0636506, 0829227, 1042883, 1203640, SES-86-03470, OPP-88-16912, OPP-92-19446/94-96248, 0337933, 0839066]; Directorate For Geosciences; Office of Polar Programs (OPP) [0439589] Funding Source: National Science Foundation; Directorate For Geosciences; Office of Polar Programs (OPP) [1042883, 0636506, 1443663, 0337933, 0829227, 1203640, 1142166, 0839066] Funding Source: National Science Foundation</t>
  </si>
  <si>
    <t>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</si>
  <si>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Ice core sodium records used in this study were recovered and analyzed under NSF grants to PM (0439589, 0636506, 0829227, 1042883, 1203640), to AC (SES-86-03470, OPP-88-16912, OPP-92-19446/94-96248), and to JC-D (0337933 and 0839066). The Roosevelt Island Climate Evolution (RICE) Program ice core was funded by national contributions from New Zealand, Australia, Denmark, Germany, Italy, the People's Republic of China, Sweden, UK, and USA with logistic support provided by Antarctica New Zealand and the US Antarctic Program. This paper is a contribution to the SCAR (Scientific Committee for Antarctic Research) AntClim21 (Antarctic Climate in the 21st Century) SRP (Scientific Research Programme). All data are plotted using the Climate Change Institute's Climate Reanalyzer (TM).</t>
  </si>
  <si>
    <t>10.1016/j.quascirev.2016.11.017</t>
  </si>
  <si>
    <t>WOS:000390626700004</t>
  </si>
  <si>
    <t>Chi, J; Kim, HC</t>
  </si>
  <si>
    <t>Chi, Junhwa; Kim, Hyun-Cheol</t>
  </si>
  <si>
    <t>A fully data-driven method for predicting Antarctic sea ice concentrations using temporal mixture analysis and an autoregressive model</t>
  </si>
  <si>
    <t>While sea ice dynamics have been gaining increased attention in climate change and global warming studies, remote sensing (RS) sensors, capable of detecting and characterizing detailed information on targets of interest, have come to play a critical role in acquiring image data over extended and inaccessible areas. Passive microwave sensors have been the most effective and consistent tool for characterizing daily sea ice cover at global scale. However, it is typically challenging to study temporally successive data acquired at high time frequencies, referred to as hypertemporal data. To address this issue, among various RS analysis techniques, temporal mixture analysis (TMA) approaches are often investigated for characterizing seasonal characteristics of environmental factors including sea ice concentration (SIC) in this study. The goal of the present study is to predict daily Antarctic SICs for 1 year through a combination of TMA results and time series analysis (TSA) without incorporation of environmental factors. First, temporally most significant sea ice signals, referred to as temporal endmembers (EMs), were found using signal processing algorithms, and then corresponding fractional abundances (FAs) associated with each EM were calculated using least squares solution. Using these FAs, subsequently, a single autoregressive (AR) model that typically fits all Antarctic SIC data for the period 1979-2013 was applied to predict SIC values for 2014. Daily SIC data reconstructed using the proposed method were qualitatively and quantitatively compared to those of using real FAs derived from a spectral unmixing method. It was found that AR model trained by the proposed method successfully predicts new FAs for 2014 and the FAs should be used to reconstruct resulting 2014 daily SIC images.</t>
  </si>
  <si>
    <t>[Chi, Junhwa; Kim, Hyun-Cheol] Korea Polar Res Inst, Unit Arct Sea Ice Predict, Inchon, South Korea</t>
  </si>
  <si>
    <t>Korea Polar Research Institute (KOPRI); Korea Institute of Ocean Science &amp; Technology (KIOST)</t>
  </si>
  <si>
    <t>Chi, J (corresponding author), Korea Polar Res Inst, Unit Arct Sea Ice Predict, Inchon, South Korea.</t>
  </si>
  <si>
    <t>jhchi@kopri.re.kr</t>
  </si>
  <si>
    <t>Kim, Hyun-Cheol/AAP-1250-2020</t>
  </si>
  <si>
    <t>Kim, Hyun-Cheol/0000-0002-6831-9291; Chi, Junhwa/0000-0003-4943-3790</t>
  </si>
  <si>
    <t>Korea Polar Research Institute [PE16040]</t>
  </si>
  <si>
    <t>This work was supported by the Korea Polar Research Institute [PE16040].</t>
  </si>
  <si>
    <t>10.1080/2150704X.2016.1234726</t>
  </si>
  <si>
    <t>EF8IU</t>
  </si>
  <si>
    <t>WOS:000390573300001</t>
  </si>
  <si>
    <t>Han, TT; Wang, HJ; Sun, JQ</t>
  </si>
  <si>
    <t>Han, Tingting; Wang, Huijun; Sun, Jianqi</t>
  </si>
  <si>
    <t>Strengthened relationship between the Antarctic Oscillation and ENSO after the mid-1990s during austral spring</t>
  </si>
  <si>
    <t>ADVANCES IN ATMOSPHERIC SCIENCES</t>
  </si>
  <si>
    <t>ENSO; Antarctic Oscillation; South Pacific SST; austral spring; decadal change</t>
  </si>
  <si>
    <t>SOUTHERN ANNULAR MODE; ASIAN SUMMER MONSOON; INTERANNUAL VARIABILITY; CO-VARIABILITY; RIVER VALLEY; HEMISPHERE; CIRCULATION; OCEAN; ANOMALIES; RAINFALL</t>
  </si>
  <si>
    <t>This paper documents a decadal strengthened co-variability of the Antarctic Oscillation (AAO) and ENSO in austral spring after the mid-1990s. During the period 1979-93, the ENSO (AAO) spatial signatures are restricted to the tropics-midlatitudes (Antarctic-midlatitudes) of the Southern Hemisphere (SH), with a weak connection between the two oscillations. Comparatively, after the mid-1990s, the El NiEeno-related atmospheric anomalies project on a negative AAO pattern with a barotropic structure in the mid-high latitudes of the SH. The expansion of El NiEeno-related air temperature anomalies have a heightened impact on the meridional thermal structure of the SH, contributing to a weakened circumpolar westerly and strengthened subtropical jet. Meanwhile, the ENSO-related southern three-cell circulations expand poleward and then strongly couple the Antarctic and the tropics. Numerical simulation results suggest that the intensified connection between ENSO and SST in the South Pacific since the mid-1990s is responsible for the strengthened AAO-ENSO relationship.</t>
  </si>
  <si>
    <t>[Han, Tingting; Wang, Huijun; Sun, Jianqi] Chinese Acad Sci, Inst Atmospher Phys, Nansen Zhu Int Res Ctr, Beijing 100029, Peoples R China; [Han, Tingting; Wang, Huijun] Chinese Acad Sci, Climate Change Res Ctr, Beijing 100029, Peoples R China; [Wang, Huijun; Sun, Jianqi] Nanjing Univ Informat Sci &amp; Technol, Minist Educ, Key Lab Meteorol Disaster, Collaborat Innovat Ctr Forecast &amp; Evaluat Meteoro, Nanjing 210044, Jiangsu, Peoples R China; [Han, Tingting; Sun, Jianqi] Univ Chinese Acad Sci, Beijing 100049, Peoples R China</t>
  </si>
  <si>
    <t>Chinese Academy of Sciences; Institute of Atmospheric Physics, CAS; Chinese Academy of Sciences; Nanjing University of Information Science &amp; Technology; Chinese Academy of Sciences; University of Chinese Academy of Sciences, CAS</t>
  </si>
  <si>
    <t>Han, TT (corresponding author), Chinese Acad Sci, Inst Atmospher Phys, Nansen Zhu Int Res Ctr, Beijing 100029, Peoples R China.;Han, TT (corresponding author), Chinese Acad Sci, Climate Change Res Ctr, Beijing 100029, Peoples R China.;Han, TT (corresponding author), Univ Chinese Acad Sci, Beijing 100049, Peoples R China.</t>
  </si>
  <si>
    <t>hantt08@126.com</t>
  </si>
  <si>
    <t>Sun, Jianqi/A-7084-2016; HAN, TINGTING/GQZ-8692-2022; Wang, Hui/HMU-9512-2023</t>
  </si>
  <si>
    <t>Tingting, Han/0000-0002-4749-3792</t>
  </si>
  <si>
    <t>National Natural Science Foundation of China [41421004, 41210007]; Special Fund for Public Welfare Industry (Meteorology) [GYHY201306026]</t>
  </si>
  <si>
    <t>National Natural Science Foundation of China(National Natural Science Foundation of China (NSFC)); Special Fund for Public Welfare Industry (Meteorology)</t>
  </si>
  <si>
    <t>This research was jointly supported by the National Natural Science Foundation of China (Grant Nos. 41421004 and 41210007) and the Special Fund for Public Welfare Industry (Meteorology) (Grant No. GYHY201306026).</t>
  </si>
  <si>
    <t>0256-1530</t>
  </si>
  <si>
    <t>1861-9533</t>
  </si>
  <si>
    <t>ADV ATMOS SCI</t>
  </si>
  <si>
    <t>Adv. Atmos. Sci.</t>
  </si>
  <si>
    <t>10.1007/s00376-016-6143-6</t>
  </si>
  <si>
    <t>EF1ML</t>
  </si>
  <si>
    <t>WOS:000390088800006</t>
  </si>
  <si>
    <t>van der Sleen, P; Dzaugis, MP; Gentry, C; Hall, WP; Hamilton, V; Helser, TE; Matta, ME; Underwood, CA; Zuercher, R; Black, BA</t>
  </si>
  <si>
    <t>van der Sleen, Peter; Dzaugis, Matthew P.; Gentry, Christopher; Hall, Wayne P.; Hamilton, Vicki; Helser, Thomas E.; Matta, Mary E.; Underwood, Christopher A.; Zuercher, Rachel; Black, Bryan A.</t>
  </si>
  <si>
    <t>Long-term Bering Sea environmental variability revealed by a centennial-length biochronology of Pacific ocean perch Sebastes alutus</t>
  </si>
  <si>
    <t>Otolith; Chronology; Growth increment; Bering Sea; Climate; Pacific ocean perch; Sebastes alutus</t>
  </si>
  <si>
    <t>GROWTH-INCREMENT CHRONOLOGIES; CLIMATE-DRIVEN SYNCHRONY; NORTH PACIFIC; YELLOWTAIL ROCKFISH; REGIME SHIFTS; TIME-SERIES; TREE; OSCILLATION; AGE; RESPONSES</t>
  </si>
  <si>
    <t>The productivity and functioning of Bering Sea marine ecosystems are tightly coupled to decadal-scale environmental variability, as exemplified by the profound changes in community composition that followed the 1976-1977 shift from a cool to a warm climate regime. Longer-term ecosystem dynamics, including the extent to which this regime shift was exceptional in the context of the past century, remain poorly described due to a lack of multi-decadal biological time series. To explore the impact of decadal regime shifts on higher trophic levels, we applied dendrochronology (tree-ring science) techniques to the otolith growth-increment widths of Pacific ocean perch Sebastes alutus (POP) collected from the continental slope of the eastern Bering Sea. After crossdating, 2 chronology development techniques were applied: (1) a regional curve standardization (RCS) approach designed to retain as much low-frequency variability as possible, and (2) an individual-detrending approach that maximized interannual synchrony among samples. Both chronologies spanned the years 1919-2006 and were significantly (p &lt; 0.001) and positively correlated with sea surface temperature (March-December). The RCS chronology showed a transition from relatively slow to fast growth after 1976-1977. In both chronologies, the highest observed growth values immediately followed the regime shift, suggesting that this event had a critical and lasting impact on growth of POP. This growth pulse was, however, not shared by a previously published yellowfin sole Limanda aspera chronology (1969-2006) from the eastern Bering Sea shelf, indicating species- or site-specific responses. Ultimately, these chronologies provide a long-term perspective and underscore the susceptibility of fish growth to extreme low-frequency events.</t>
  </si>
  <si>
    <t>[van der Sleen, Peter; Dzaugis, Matthew P.; Hall, Wayne P.; Black, Bryan A.] Univ Texas Austin, Inst Marine Sci, Port Aransas, TX 78373 USA; [Gentry, Christopher] Austin Peay State Univ, Dept Geosci, Clarksville, TN 37044 USA; [Hamilton, Vicki] Univ Tasmania, Inst Marine &amp; Antarctic Studies, Battery Point, Tas 7004, Australia; [Helser, Thomas E.; Matta, Mary E.] Natl Marine Fisheries Serv, Resource Ecol &amp; Fisheries Management Div, Alaska Fisheries Sci Ctr, NOAA, Seattle, WA 98115 USA; [Underwood, Christopher A.] Univ Wisconsin Platteville, Dept Geog, Platteville, WI 53818 USA; [Zuercher, Rachel] Univ Calif Santa Cruz, Dept Ecol &amp; Evolutionary Biol, Santa Cruz, CA 95060 USA</t>
  </si>
  <si>
    <t>University of Texas System; University of Texas Austin; Austin Peay State University; University of Tasmania; National Oceanic Atmospheric Admin (NOAA) - USA; University of Wisconsin System; University of Wisconsin Platteville; University of California System; University of California Santa Cruz</t>
  </si>
  <si>
    <t>Black, BA (corresponding author), Univ Texas Austin, Inst Marine Sci, Port Aransas, TX 78373 USA.</t>
  </si>
  <si>
    <t>bryan.black@utexas.edu</t>
  </si>
  <si>
    <t>Matta, Mary/AAV-2479-2021; Black, Bryan/A-7057-2009</t>
  </si>
  <si>
    <t>Black, Bryan/0000-0001-6851-257X; Gentry, Christopher/0000-0002-4997-5162; Matta, Mary/0000-0003-1677-8418</t>
  </si>
  <si>
    <t>Direct For Social, Behav &amp; Economic Scie; Division Of Behavioral and Cognitive Sci [1061808] Funding Source: National Science Foundation</t>
  </si>
  <si>
    <t>Direct For Social, Behav &amp; Economic Scie; Division Of Behavioral and Cognitive Sci(National Science Foundation (NSF)NSF - Directorate for Social, Behavioral &amp; Economic Sciences (SBE))</t>
  </si>
  <si>
    <t>10.3354/cr01425</t>
  </si>
  <si>
    <t>EF1RS</t>
  </si>
  <si>
    <t>WOS:000390103000003</t>
  </si>
  <si>
    <t>Venkatesan, R; Senthilkumar, P; Vedachalam, N; Murugesh, P</t>
  </si>
  <si>
    <t>Venkatesan, R.; Senthilkumar, P.; Vedachalam, N.; Murugesh, P.</t>
  </si>
  <si>
    <t>Biofouling and its effects in sensor mounted moored observatory system in Northern Indian Ocean</t>
  </si>
  <si>
    <t>Biofouling; Moored surface buoy; Sensors</t>
  </si>
  <si>
    <t>ARABIAN SEA; DIATOMS</t>
  </si>
  <si>
    <t>Biofouling formation is one of the critical factors which affect the measurement of continuous real time data in offshore moored data buoy sensors. In order to understand the biofouling trend at different water depths, observations were conducted in instrumented data buoy system moored in the coastal waters and in the Northern Indian Ocean in water depths ranging from 2000 to 4500 m. It is identified that biofouling is predominant only up to a depth of 50 m and Lepas anatifera goose neck barnacle is the common biofoulant irrespective of location and water conductivity. The study also presents typical cases of conductivity sensors drifts due to biofouling and preventing techniques adopted for increasing the maintenance interval and to obtain quality data. The results shall serve as inputs for the design and maintenance of offshore facilities and instrumented moored data buoy systems. (C) 2016 Elsevier Ltd. All rights reserved.</t>
  </si>
  <si>
    <t>[Venkatesan, R.; Senthilkumar, P.; Vedachalam, N.; Murugesh, P.] Minist Earth Sci, Natl Inst Ocean Technol, Madras 600100, Tamil Nadu, India</t>
  </si>
  <si>
    <t>Ministry of Earth Sciences (MoES) - India; National Centre for Coastal Research (NCCR); National Institute of Ocean Technology (NIOT)</t>
  </si>
  <si>
    <t>Senthilkumar, P (corresponding author), Minist Earth Sci, Natl Inst Ocean Technol, Madras 600100, Tamil Nadu, India.</t>
  </si>
  <si>
    <t>senthilp@niot.res.in</t>
  </si>
  <si>
    <t>Ramasamy, Venkatesan/0000-0001-7386-1539</t>
  </si>
  <si>
    <t>The authors thank the Ministry of Earth Sciences, Government of India for funding this project. The authors are indebted to the Directors of National Institute of Ocean Technology Chennai, National Centre for Antarctic and Ocean Research (NCAOR), Goa and INCOIS, Hyderabad, for their support. The authors also thank the staff of the Ocean Observation Systems (OOS) group, Vessel Management Cell of the NIOT, and the ship staff for their excellent help and support on-board.</t>
  </si>
  <si>
    <t>10.1016/j.ibiod.2016.10.034</t>
  </si>
  <si>
    <t>WOS:000390498700024</t>
  </si>
  <si>
    <t>Miralles, I; Ferrón, CC; Hernández, V; López-Navarrete, JT; Jorge-Villar, SE</t>
  </si>
  <si>
    <t>Miralles, I.; Capel Ferron, C.; Hernandez, V.; Lopez-Navarrete, J. T.; Jorge-Villar, S. E.</t>
  </si>
  <si>
    <t>Lichen biomarkers upon heating: a Raman spectroscopic study with implications for extra-terrestrial exploration</t>
  </si>
  <si>
    <t>INTERNATIONAL JOURNAL OF ASTROBIOLOGY</t>
  </si>
  <si>
    <t>biomarkers; exobiology; lichen; Raman spectroscopy; thermal heating</t>
  </si>
  <si>
    <t>HOST ROCK COMPOSITION; LOW-EARTH-ORBIT; LITHOPANSPERMIA THEORY; ANTARCTIC HABITATS; MARTIAN METEORITE; SHOCK EXPERIMENTS; SURVIVAL RATE; IN-SITU; MARS; SPACE</t>
  </si>
  <si>
    <t>Lithopanspermia Theory has suggested that life was transferred among planets by meteorites and other rocky bodies. If the planet had an atmosphere, this transfer of life had to survive drastic temperature changes in a very short time in its entry or exit. Only organisms able to endure such a temperature range could colonize a planet from outer space. Many experiments are being carried out by NASA and European Space Agency to understand which organisms were able to survive and how. Among the suite of instruments designed for extraplanetary exploration, particularly for Mars surface exploration, a Raman spectrometer was selected with the main objective of looking for life signals. Among all attributes, Raman spectroscopy is able to identify organic and inorganic compounds, either pure or in admixture, without requiring sample manipulation. In this study, we used Raman spectroscopy to examine the lichen Squamarina lentigera biomarkers. We analyse spectral signature changes after sample heating under different experimental situations, such as (a) laser, (b) analysis accumulations over the same spot and (c) environmental temperature increase. Our goal is to evaluate the capability of Raman spectroscopy to identify unambiguously life markers even if heating has induced spectral changes, reflecting biomolecular transformations. Usnic acid, chlorophyll, carotene and calcium oxalates were identified by the Raman spectra. From our experiments, we have seen that usnic acid, carotene and calcium oxalates (the last two have been suggested to be good biomarkers) respond in a different way to environmental heating. Our main conclusion is that despite their abundance in nature or their inorganic composition the resistance to heat makes some molecules more suitable than others as biomarkers.</t>
  </si>
  <si>
    <t>[Miralles, I.] CSIC, Estn Expt Zonas Aridas, La Canada De San Urbano 04230, Almeria, Spain; [Miralles, I.] Univ Catholique Louvain La Neuve, Earth &amp; Life Inst, Georges Lemaitre Ctr Earth &amp; Climate Res, B-1348 Louvain La Neuve, Belgium; [Capel Ferron, C.] Univ Malaga, Unidad Espectrospopia Vibrac, SCAI, Campus Teatinos S-N, E-29071 Malaga, Spain; [Hernandez, V.; Lopez-Navarrete, J. T.] Univ Malaga, Fac Ciencias, Dept Quim Fis, Campus Teatinos S-N, E-29071 Malaga, Spain; [Jorge-Villar, S. E.] Univ Burgos, Fac Humanidades, Area Geodinam, C Villadiego S-N, Burgos 09001, Spain; [Jorge-Villar, S. E.] Natl Res Ctr Human Evolut CENIEH, Paseo Sierra Atapuerca 3, Burgos 09002, Spain</t>
  </si>
  <si>
    <t>Consejo Superior de Investigaciones Cientificas (CSIC); CSIC - Estacion Experimental de Zonas Aridas (EEZA); Universidad de Malaga; Universidad de Malaga; Universidad de Burgos; Centro Nacional de Investigacion de La Evolucion Humana (CENIEH)</t>
  </si>
  <si>
    <t>Jorge-Villar, SE (corresponding author), Univ Burgos, Fac Humanidades, Area Geodinam, C Villadiego S-N, Burgos 09001, Spain.;Jorge-Villar, SE (corresponding author), Natl Res Ctr Human Evolut CENIEH, Paseo Sierra Atapuerca 3, Burgos 09002, Spain.</t>
  </si>
  <si>
    <t>susanajorgevillar@hotmail.com</t>
  </si>
  <si>
    <t>Jorge-Villar, Susana E./A-8927-2011; Hernandez, Victor/E-1624-2012</t>
  </si>
  <si>
    <t>Jorge-Villar, Susana E./0000-0003-1676-4438; Hernandez, Victor/0000-0002-3728-5084; Miralles, Isabel/0000-0002-7385-3720</t>
  </si>
  <si>
    <t>Juan de la Cierva Fellowship [2008-39669]; Marie Curie Intra-European Fellowship (FP7-PEOPLE-IEF) [623393]; CARBORAD project - Spanish Ministry of Science and Innovation [CGL2011-27493]; Asociacion de Ecologia Terrestre Espanola (AEET)</t>
  </si>
  <si>
    <t>Juan de la Cierva Fellowship; Marie Curie Intra-European Fellowship (FP7-PEOPLE-IEF)(European Union (EU)); CARBORAD project - Spanish Ministry of Science and Innovation; Asociacion de Ecologia Terrestre Espanola (AEET)</t>
  </si>
  <si>
    <t>The authors are grateful for support from the Juan de la Cierva Fellowship 2008-39669 and the Marie Curie Intra-European Fellowship (FP7-PEOPLE-2013-IEF, Proposal no. 623393). The authors are also grateful for support from CARBORAD project (CGL2011-27493) funded by the Spanish Ministry of Science and Innovation and the project 'Variaciones de pigmentos y otros metabolitos causadas por el microclima en especies clave de costras biologicas del suelo' funded by the Asociacion de Ecologia Terrestre Espanola (AEET).</t>
  </si>
  <si>
    <t>1473-5504</t>
  </si>
  <si>
    <t>1475-3006</t>
  </si>
  <si>
    <t>INT J ASTROBIOL</t>
  </si>
  <si>
    <t>Int. J. Astrobiol.</t>
  </si>
  <si>
    <t>10.1017/S147355041500052X</t>
  </si>
  <si>
    <t>Astronomy &amp; Astrophysics; Biology; Geosciences, Multidisciplinary</t>
  </si>
  <si>
    <t>Astronomy &amp; Astrophysics; Life Sciences &amp; Biomedicine - Other Topics; Geology</t>
  </si>
  <si>
    <t>EF5DJ</t>
  </si>
  <si>
    <t>WOS:000390350600008</t>
  </si>
  <si>
    <t>Ding, X; Wu, YY; Li, W</t>
  </si>
  <si>
    <t>Ding, Xuan; Wu, YingYing; Li, Wen</t>
  </si>
  <si>
    <t>0.9 Ma oxygen isotope stratigraphy for a shallow-water sedimentary transect across three IODP 317 sites in the Canterbury Bight of the southwest Pacific Ocean</t>
  </si>
  <si>
    <t>IODP 317; Canterbury Bight; 0.9 Ma; Oxygen isotope stratigraphy; Sedimentary feature; delta O-18 characteristics</t>
  </si>
  <si>
    <t>SOUTHEASTERN NEW-ZEALAND; SEA-SURFACE TEMPERATURE; CHRONOLOGY AICC2012; SUBTROPICAL FRONT; CLIMATE-CHANGE; ANTARCTIC ICE; CIRCULATION; SITE-1119; EAST</t>
  </si>
  <si>
    <t>Sedimentary records in shallow-water environments provide a unique opportunity to further our understanding of regional relative sea level changes in relation to global climate change. Here we present a 0.9 Ma oxygen isotope stratigraphy for a shallow-water sedimentary transect across three IODP 317 sites in the Canterbury Bight of the southwest Pacific Ocean. The sites, located on the eastern margin of the South Island of New Zealand, include a continental slope site (U1352) and two continental shelf sites (U1354 and U1351). We first generated benthic foraminifers (Nonionella flemingi) delta O-18 records for the three sites and a planktonic (Globigerina bulloides) record for U1352B. An initial chronological framework for the benthic delta O-18 record of U1352B was constructed using two accelerator mass spectrometry radiocarbon dates and four biostratigraphic events. Then a refined age model was established by correlating the U1352B benthic delta O-18 record with the EDC (EPICA Dome C) delta D record on the AICC2012 time-scale and LRO4 benthic delta O-18 stack. Although U1354B and U1351B have lower sedimentation rates, their benthic delta O-18 records correlate well with that of U1352B. To ensure the accuracy of the chronostratigraphic framework established, we also analyzed characteristics of sedimentary grain size and planktonic and benthic delta O-18 values. In accord with the adjacent sites, the results show that melting of the Southern Alps glaciers resulting from the warming climate during the Marine Isotope Stage (MIS) 11 and MIS 5.5 led to increased fresh water delivery, with massive terrigenous deposits. The warm sea surface temperature during MIS 7 is related to Subtropical Front migration, which led to strong current activity and coarsened grain size. Meanwhile, records of the benthic delta O-18, sedimentation rate, and &gt;63 pm coarse fraction contents of Site U1352 all indicate that MIS 20 was indeed a colder interval compared to subsequent glacial times. (C) 2016 Elsevier B.V. All rights reserved.</t>
  </si>
  <si>
    <t>[Ding, Xuan; Wu, YingYing] China Univ Geosci Beijing, Sch Ocean Sci, Beijing 100083, Peoples R China; [Li, Wen] Marine Geol Survey Ctr Tianjin, Tianjin 300170, Peoples R China</t>
  </si>
  <si>
    <t>China University of Geosciences</t>
  </si>
  <si>
    <t>Ding, X (corresponding author), China Univ Geosci Beijing, Sch Ocean Sci, Beijing 100083, Peoples R China.</t>
  </si>
  <si>
    <t>dingx@cugb.edu.cn</t>
  </si>
  <si>
    <t>National Natural Science Foundation of China [41176055]</t>
  </si>
  <si>
    <t>This work was supported by the National Natural Science Foundation of China (grant no. 41176055). Samples were taken by Integrated Ocean Drilling Program Expedition 317. We are grateful to the crews of the JOIDES Resolution for their help during the Expedition. We thank Koichi Hoyanagi of Shinshu University of Japan and Liping Zhou of Peking University for discussions, Simon Crowhurst of Cambridge University for spectral analyses. We also thank Prof. Isabel Montanez and three anonymous reviewers for their critical remarks and constructive suggestions.</t>
  </si>
  <si>
    <t>10.1016/j.palaeo.2016.10.008</t>
  </si>
  <si>
    <t>EF7JB</t>
  </si>
  <si>
    <t>WOS:000390504800001</t>
  </si>
  <si>
    <t>Steinbring, E</t>
  </si>
  <si>
    <t>Steinbring, Eric</t>
  </si>
  <si>
    <t>Thermal Infrared Sky Background for a High-Arctic Mountain Observatory</t>
  </si>
  <si>
    <t>PUBLICATIONS OF THE ASTRONOMICAL SOCIETY OF THE PACIFIC</t>
  </si>
  <si>
    <t>site testing</t>
  </si>
  <si>
    <t>SOUTH-POLE; OBSERVING CONDITIONS; ANTARCTIC PLATEAU; EUREKA; SITES</t>
  </si>
  <si>
    <t>Nighttime zenith sky spectral brightness in the 3.3-20 mu m wavelength region is reported for an observatory site nearby Eureka on Ellesmere Island in the Canadian High Arctic. Measurements are derived from an automated Fourier-transform spectrograph that operated there continuously over three consecutive winters. During that time, the median through the most transparent portion of the Q window was 460 Jy arcsec(-2), falling below 32 Jy arcsec(-2) in the N band, and to sub-Jansky levels by M and shortward, reaching only 36 mJy arcsec(-2) within L. Nearly six decades of twice-daily balloonsonde launches from Eureka, together with contemporaneous meteorological data plus a simple model, allows characterization of background stability and extrapolation into K band. This suggests that the study location has dark skies across the whole thermal infrared spectrum, typically sub-200 mu Jy arcsec(-2) at 2.4 mu m. That background is comparable to South Pole and more than an order of magnitude less than estimates for the best temperate astronomical sites, all at much higher elevation. Considerations relevant to future facilities, including for polar transient surveys, are discussed.</t>
  </si>
  <si>
    <t>[Steinbring, Eric] Natl Res Council Canada, Herzberg Astron &amp; Astrophys, Victoria, BC V9E 2E7, Canada</t>
  </si>
  <si>
    <t>National Research Council Canada</t>
  </si>
  <si>
    <t>Steinbring, E (corresponding author), Natl Res Council Canada, Herzberg Astron &amp; Astrophys, Victoria, BC V9E 2E7, Canada.</t>
  </si>
  <si>
    <t>Steinbring, Eric/AFQ-5529-2022</t>
  </si>
  <si>
    <t>Steinbring, Eric/0000-0003-1259-0813</t>
  </si>
  <si>
    <t>TEMPLE CIRCUS, TEMPLE WAY, BRISTOL BS1 6BE, ENGLAND</t>
  </si>
  <si>
    <t>0004-6280</t>
  </si>
  <si>
    <t>1538-3873</t>
  </si>
  <si>
    <t>PUBL ASTRON SOC PAC</t>
  </si>
  <si>
    <t>Publ. Astron. Soc. Pac.</t>
  </si>
  <si>
    <t>10.1088/1538-3873/129/971/015003</t>
  </si>
  <si>
    <t>EF5HG</t>
  </si>
  <si>
    <t>WOS:000390360700002</t>
  </si>
  <si>
    <t>Poggere, GC; Melo, VD; Francelino, MR; Simas, FNB; Schaefer, CEGR</t>
  </si>
  <si>
    <t>Poggere, Giovana Clarice; Melo, Vander de Freitas; Francelino, Marcio Rocha; Bello Simas, Felipe Nogueira; Goncalves Reynaud Schaefer, Carlos Ernesto</t>
  </si>
  <si>
    <t>Adsorption of arsenate (HAsO42-) by the clay fraction of soils of the Keller and Barton Peninsulas, King George Island, Maritime Antarctic</t>
  </si>
  <si>
    <t>REVISTA CIENCIA AGRONOMICA</t>
  </si>
  <si>
    <t>Environmental pollution; Specific and non-specific adsorption; Amorphous material</t>
  </si>
  <si>
    <t>ATTRIBUTES; MINERALOGY; EXTRACTION; CHEMISTRY; CRYOSOLS; GOLD</t>
  </si>
  <si>
    <t>The aim of this study was to determine the maximum capacity for the adsorption of As(V) in the form of HAsO42- (MACAs) by the clay fraction of soils in different environments of the Keller and Barton Peninsulas, King George Island, Maritime Antarctic. Chemical and particle size analyses were carried out on air-dried fine earth. The amorphous material and MACAs in the clay fraction were quantified. Data from the chemical analysis, particle size analysis and clay fraction were correlated with the MACAs. The MACAs was low (3,554 mg kg(-1)), with the profile under the ornithological influence of penguins displaying the highest values. The basic pH of the saturated solutions did not favour the adsorption of the deprotonated HAsO42- species. The amount of clay in the soil was less important than the mineralogical composition in the dynamics of HAsO42- retention, with the amorphous oxides of Al and Fe being mainly responsible for the adsorption of the pollutant.</t>
  </si>
  <si>
    <t>[Poggere, Giovana Clarice] Univ Fed Lavras UFLA, Dept Solo, BR-37200000 Lavras, MG, Brazil; [Melo, Vander de Freitas] Univ Fed Parana UFPR, Dept Solos &amp; Engn Agr, Curitiba, Parana, Brazil; [Francelino, Marcio Rocha; Goncalves Reynaud Schaefer, Carlos Ernesto] Univ Fed Vicosa, Dept Solos &amp; Nutr Plantas, Vicosa, MG, Brazil; [Bello Simas, Felipe Nogueira] Univ Fed Vicosa, Dept Educ, Vicosa, MG, Brazil</t>
  </si>
  <si>
    <t>Universidade Federal de Lavras; Universidade Federal do Parana; Universidade Federal de Vicosa; Universidade Federal de Vicosa</t>
  </si>
  <si>
    <t>Poggere, GC (corresponding author), Univ Fed Lavras UFLA, Dept Solo, BR-37200000 Lavras, MG, Brazil.</t>
  </si>
  <si>
    <t>gi.poggere@gmail.com; vanderfm@ufpr.br; marcio.francelino@gmail.com; carlos.schaefer@ufv.br; fnbsimas@gmail.com</t>
  </si>
  <si>
    <t>Schaefer, Carlos Ernesto/AAY-4977-2020; Francelino, Marcio Rocha/AAS-4224-2020; Melo, Vander/I-4135-2014</t>
  </si>
  <si>
    <t>Francelino, Marcio Rocha/0000-0001-8837-1372; Ernesto Goncalves Reynaud Schaefer, Carlos/0000-0001-5735-3227; Ernesto Goncalves Reynaud Schaefer, Carlos/0000-0001-7060-1598; Melo, Vander/0000-0003-0761-1536; Poggere, Giovana Clarice/0000-0003-2434-9875</t>
  </si>
  <si>
    <t>UNIV FEDERAL CEARA, DEPT GEOL</t>
  </si>
  <si>
    <t>FORTALEZA</t>
  </si>
  <si>
    <t>CAMPUS UNIV PICI, BLOCO 912, CX POSTAL 6027, FORTALEZA, CEARA 60451-970, BRAZIL</t>
  </si>
  <si>
    <t>0045-6888</t>
  </si>
  <si>
    <t>1806-6690</t>
  </si>
  <si>
    <t>REV CIENC AGRON</t>
  </si>
  <si>
    <t>Rev. Cienc. Agron.</t>
  </si>
  <si>
    <t>10.5935/1806-6690.20170002</t>
  </si>
  <si>
    <t>Agriculture, Multidisciplinary</t>
  </si>
  <si>
    <t>EF3IQ</t>
  </si>
  <si>
    <t>WOS:000390218400002</t>
  </si>
  <si>
    <t>de Oliveira, MF; Rodrigues, E; Suda, CNK; Vani, GS; Donatti, L; Rodrigues, E; Lavrado, HP</t>
  </si>
  <si>
    <t>de Oliveira, Mariana Feijo; Rodrigues Junior, Edson; Kawagoe Suda, Cecilia Nahomi; Vani, Gannabathula Sree; Donatti, Lucelia; Rodrigues, Edson; Lavrado, Helena Passeri</t>
  </si>
  <si>
    <t>Evidence of metabolic microevolution of the limpet Nacella concinna to naturally high heavy metal levels in Antarctica</t>
  </si>
  <si>
    <t>ECOTOXICOLOGY AND ENVIRONMENTAL SAFETY</t>
  </si>
  <si>
    <t>Antarctica; Nacella concinna; Heavy metal; Arginase; Copper</t>
  </si>
  <si>
    <t>KING-GEORGE ISLAND; BASE-LINE; ARGINASE ACTIVITY; MARINE POLLUTION; DIGESTIVE GLAND; REPLACING MN2+; RAT-LIVER; ARGININE; CONTAMINATION; SEDIMENTS</t>
  </si>
  <si>
    <t>The gastropod Nacella concinna is the most conspicuous macroinvertebrate of the intertidal zone of the Antarctic Peninsula and adjacent islands. Naturally high levels of copper and cadmium in coastal marine ecosystems are accumulated in N. concinna tissues. We aimed to study the effects of metal cations on N. concinna arginase in the context of possible adaptive microevolution. Gills and muscle had the highest argininolytic activity, which was concentrated in the cytosol in both tissues. Gills had the highest levels of arginase and may be involved in the systemic control of L-arginine levels. The relatively high argininolytic activity of the N. concinna muscular foot, with K-M = 25.3 +/- 3.4 mmol L-1, may be involved in the control of L-arginine levels during phosphagen breakdown. N. concinna arginases showed the following preferences for metal cations: Ni2+ &gt; Mn2+ &gt; Co2+ &gt; Cu2+ in muscle and Mn2+ &gt; Cu2+ in gills. Cu2+ activation is a unique characteristic of N. concinna arginases, as copper is a potent arginase inhibitor. Cu2+ partly neutralized N. concinna arginase inhibition by Cd2+, worked synergistically in muscle arginase activation by Co2+ and neutralized muscle arginase activation by Ni2+. Mn2+ was able to activate muscle arginase in the presence of Fe3+ and Pb2+. The selection of arginases that are activated by Cu2+ and resistant to inhibition by Cd2+ in the presence of Cu2+ over evolutionary timescales may have favored N. concinna occupation of copper- and cadmium-rich niches. (C) 2016 Elsevier Inc. All rights reserved.</t>
  </si>
  <si>
    <t>[de Oliveira, Mariana Feijo; Rodrigues Junior, Edson; Kawagoe Suda, Cecilia Nahomi; Vani, Gannabathula Sree; Rodrigues, Edson] Univ Taubate, Basic Biosci Inst, Taubate, Brazil; [Donatti, Lucelia] Univ Fed Parana, Dept Cell Biol, Curitiba, Parana, Brazil; [Lavrado, Helena Passeri] Univ Fed Rio de Janeiro, Dept Marine Biol, Rio De Janeiro, Brazil</t>
  </si>
  <si>
    <t>Universidade de Taubate; Universidade Federal do Parana; Universidade Federal do Rio de Janeiro</t>
  </si>
  <si>
    <t>Rodrigues, E (corresponding author), Univ Taubate, Basic Biosci Inst, Taubate, Brazil.</t>
  </si>
  <si>
    <t>rodedson@gmail.com</t>
  </si>
  <si>
    <t>Donatti, Lucelia/E-1930-2013; Suda, Cecilia N.K./J-7071-2014; de Oliveira, Mariana Feijó/AAY-2833-2020; Lavrado, Helena/M-9737-2014; Rodrigues, Edson/C-6792-2015</t>
  </si>
  <si>
    <t>Donatti, Lucelia/0000-0002-9023-2483; Suda, Cecilia/0000-0002-6544-8661; Lavrado, Helena/0000-0002-7275-7075; Rodrigues, Edson/0000-0003-3968-6882</t>
  </si>
  <si>
    <t>Brazilian Ministry of Environment (MMA); Ministry of Science, Technology and Innovation (MCTI); Secretariat of the Inter-ministerial Commission for the Resources of the Sea (SeCIRM); CNPq [574018/2008-5]; FAPERJ [E-26/170.023/2008]</t>
  </si>
  <si>
    <t>Brazilian Ministry of Environment (MMA); Ministry of Science, Technology and Innovation (MCTI); Secretariat of the Inter-ministerial Commission for the Resources of the Sea (SeCIRM); CNPq(Conselho Nacional de Desenvolvimento Cientifico e Tecnologico (CNPQ)); FAPERJ(Fundacao Carlos Chagas Filho de Amparo a Pesquisa do Estado do Rio De Janeiro (FAPERJ))</t>
  </si>
  <si>
    <t>We are grateful to the following for their support: Brazilian Ministry of Environment (MMA), Ministry of Science, Technology and Innovation (MCTI), and the Secretariat of the Inter-ministerial Commission for the Resources of the Sea (SeCIRM). The authors would like to thank Dr. Yocie Yoneshigue Valentin, coordinator of the National Institute of Antarctic Science and Technology of Environmental Research (INCT APA), for all the help and incentive given during execution of the present work. This research was supported by grants from the CNPq and FAPERJ through the project INCT-APA (CNPq Process No. 574018/2008-5, FAPERJ E-26/170.023/2008)].</t>
  </si>
  <si>
    <t>ACADEMIC PRESS INC ELSEVIER SCIENCE</t>
  </si>
  <si>
    <t>SAN DIEGO</t>
  </si>
  <si>
    <t>525 B ST, STE 1900, SAN DIEGO, CA 92101-4495 USA</t>
  </si>
  <si>
    <t>0147-6513</t>
  </si>
  <si>
    <t>1090-2414</t>
  </si>
  <si>
    <t>ECOTOX ENVIRON SAFE</t>
  </si>
  <si>
    <t>Ecotox. Environ. Safe.</t>
  </si>
  <si>
    <t>10.1016/j.ecoenv.2016.09.007</t>
  </si>
  <si>
    <t>Environmental Sciences; Toxicology</t>
  </si>
  <si>
    <t>Environmental Sciences &amp; Ecology; Toxicology</t>
  </si>
  <si>
    <t>EE4EL</t>
  </si>
  <si>
    <t>WOS:000389555000001</t>
  </si>
  <si>
    <t>Engelbrecht, H</t>
  </si>
  <si>
    <t>Engelbrecht, Hubert</t>
  </si>
  <si>
    <t>Its Impacts on and Transformations of Ecosystems and Life</t>
  </si>
  <si>
    <t>250 YEARS OF INDUSTRIAL CONSUMPTION AND TRANSFORMATION OF NATURE: Impacts on Global Ecosystems and Life</t>
  </si>
  <si>
    <t>Adaptive pressure; Anthropogenic turnovers; Contamination; Dependencies; Ecologic counterparts; Environmental health; Risk; Socio-economic metabolism; Tipping points; Waste</t>
  </si>
  <si>
    <t>RANGE SHIFTS; CLIMATE</t>
  </si>
  <si>
    <t>Rising affluence and world population demands increasing supply. Consequently, mass extraction, processing, and shipping of mineral raw materials and other goods has spread over the world. The huge anthropogenic turnover of materials caused by socio-economic metabolism and by all kinds of effects and interactions resulted in problems for the ecosphere. The transformations of natural environments turned out to be detrimental to biodiversity, to ecosystem services, and to life in general. Fauna and flora were exposed to greater adaptive pressure. Dissipative and dispersive use of natural products created huge amounts of waste and of toxic sites, resulting in health problems, fatalities, and enormous economic costs. Several planetary-scale tipping points, which occurred with further biodiversity loss, radiative CO2 forcing, dieback of rainforests and loss of the West Antarctic ice sheet, were approached and partly transgressed, because regulatory natural forces cannot compensate for the magnitudes of human activities. Emerging system pressures and rising global connectedness have resulted in risk societies, which are characterised by latent conflicts with sustainability, dependencies, higher disparities, environmental degradations, and less precise system predictabilities, as well as the awareness of these problems, documented e.g. by the creation of Earth Overshoot Day.</t>
  </si>
  <si>
    <t>BENTHAM SCIENCE PUBL</t>
  </si>
  <si>
    <t>EXECUTIVE STE Y-2, P.O. BOX 7917, SAIF ZONE, SHARJAH, 1400 AG, U ARAB EMIRATES</t>
  </si>
  <si>
    <t>978-1-68108-601-9; 978-1-68108-602-6</t>
  </si>
  <si>
    <t>10.2174/97816810860191170101</t>
  </si>
  <si>
    <t>Ecology; Environmental Sciences; Geosciences, Multidisciplinary</t>
  </si>
  <si>
    <t>BS4BM</t>
  </si>
  <si>
    <t>WOS:000717142500006</t>
  </si>
  <si>
    <t>Pfendner, C</t>
  </si>
  <si>
    <t>Pfendner, Carl</t>
  </si>
  <si>
    <t>ARA Collaboration</t>
  </si>
  <si>
    <t>Background Rejection in the ARA Experiment</t>
  </si>
  <si>
    <t>The Askaryan Radio Array (ARA) is a radio frequency observatory under construction at the South Pole that is searching for ultrahigh energy neutrinos via the Askaryan effect. Thermal fluctuations currently dominate the trigger-level background for the observatory and anthropogenic sources also introduce a significant source of noise. By taking advantage of the observatory's regular geometry and the expected coincident nature of the RF signals arriving from neutrino-induced events, this background can be filtered efficiently. This contribution will discuss techniques developed for the ARA analyses to reject these thermal signals, to reject anthropogenic backgrounds, and to search for neutrino-induced particle showers in the Antarctic ice. The results of a search for neutrinos from GRBs using the prototype station using some of these techniques will be presented.</t>
  </si>
  <si>
    <t>[Pfendner, Carl] Ohio State Univ, Dept Phys, 191 W Woodruff Ave, Columbus, OH 43210 USA; [Pfendner, Carl] Ohio State Univ, CCAPP, 191 W Woodruff Ave, Columbus, OH 43210 USA</t>
  </si>
  <si>
    <t>University System of Ohio; Ohio State University; University System of Ohio; Ohio State University</t>
  </si>
  <si>
    <t>Pfendner, C (corresponding author), Ohio State Univ, Dept Phys, 191 W Woodruff Ave, Columbus, OH 43210 USA.;Pfendner, C (corresponding author), Ohio State Univ, CCAPP, 191 W Woodruff Ave, Columbus, OH 43210 USA.</t>
  </si>
  <si>
    <t>pfendner.1@osu.edu</t>
  </si>
  <si>
    <t>10.1051/epjconf/201713505004</t>
  </si>
  <si>
    <t>WOS:000407847700034</t>
  </si>
  <si>
    <t>Moffat-Griffin, T; Taylor, M; Nakamura, T; Kavanagh, A; Hosking, J; Orr, A</t>
  </si>
  <si>
    <t>Moffat-Griffin, Tracy; Taylor, Mike J.; Nakamura, Takuji; Kavanagh, Andrew J.; Hosking, J. Scott; Orr, Andrew</t>
  </si>
  <si>
    <t>3rd ANtarctic Gravity Wave Instrument Network (ANGWIN) science workshop</t>
  </si>
  <si>
    <t>[Moffat-Griffin, Tracy; Kavanagh, Andrew J.; Hosking, J. Scott; Orr, Andrew] British Antarctic Survey, High Cross, Cambridge CB3 0ET, England; [Taylor, Mike J.] Utah State Univ, Logan, UT 84322 USA; [Nakamura, Takuji] Natl Inst Polar Res, Tachikawa, Tokyo 1908518, Japan</t>
  </si>
  <si>
    <t>UK Research &amp; Innovation (UKRI); Natural Environment Research Council (NERC); NERC British Antarctic Survey; Utah System of Higher Education; Utah State University; Research Organization of Information &amp; Systems (ROIS); National Institute of Polar Research (NIPR) - Japan</t>
  </si>
  <si>
    <t>Moffat-Griffin, T (corresponding author), British Antarctic Survey, High Cross, Cambridge CB3 0ET, England.</t>
  </si>
  <si>
    <t>tmof@bas.ac.uk</t>
  </si>
  <si>
    <t>NERC [bas0100032] Funding Source: UKRI; Natural Environment Research Council [bas0100032] Funding Source: researchfish</t>
  </si>
  <si>
    <t>10.1007/s00376-016-6197-5</t>
  </si>
  <si>
    <t>WOS:000390088800001</t>
  </si>
  <si>
    <t>Yan, J; Yu, C; Sun, C; Shang, ZH; Hu, Y; Feng, JH; Sun, JZ; Xiao, J</t>
  </si>
  <si>
    <t>Ibrahim, S; Choo, KKR; Yan, Z; Pedrycz, W</t>
  </si>
  <si>
    <t>Yan, Jie; Yu, Ce; Sun, Chao; Shang, Zhaohui; Hu, Yi; Feng, Jinghua; Sun, Jizhou; Xiao, Jian</t>
  </si>
  <si>
    <t>Optimized Data Layout for Spatio-temporal Data in Time Domain Astronomy</t>
  </si>
  <si>
    <t>ALGORITHMS AND ARCHITECTURES FOR PARALLEL PROCESSING, ICA3PP 2017</t>
  </si>
  <si>
    <t>Lecture Notes in Computer Science</t>
  </si>
  <si>
    <t>17th International Conference on Algorithms and Architectures for Parallel Processing (ICA3PP)</t>
  </si>
  <si>
    <t>AUG 21-23, 2017</t>
  </si>
  <si>
    <t>Helsinki, FINLAND</t>
  </si>
  <si>
    <t>Data layout; Storage; Disk array; Energy efficient; Time domain astronomy; Spatio-temporal data</t>
  </si>
  <si>
    <t>Spatio-temporal data is a common data-type in astronomy, and layouts for this data are generally to improve the performance. However, restricted by Antarctic environmental conditions, the energy consumption of the storage system is the most pivotal problem. Traditional storage layout consumes a lot of energy for request execution. In this paper, a new storage layout for the astronomical observation data on Antarctic Dome A is designed, which divides the disk array by the observant sky coverage, stores data according to the space while the traditional storage method stores data chronologically. Then we use the tree-like structure to store the popular data and use the redundant mode to store the cold data. In simulated experiments, this storage layout is applied on the Antarctic storage system, and the average number of disks that needs to be opened at request can be reduced from 23.88 to 2.74, greatly reducing the energy consumption of the request.</t>
  </si>
  <si>
    <t>[Yan, Jie; Yu, Ce; Sun, Chao; Sun, Jizhou; Xiao, Jian] Tianjin Univ, Sch Comp Sci &amp; Technol, Tianjin 300350, Peoples R China; [Shang, Zhaohui; Hu, Yi] Chinese Acad Sci, Natl Astron Observ, Beijing 100000, Peoples R China; [Feng, Jinghua] Natl Supercomp Ctr Tianjin, Tianjin 300457, Peoples R China</t>
  </si>
  <si>
    <t>Tianjin University; Chinese Academy of Sciences; National Astronomical Observatory, CAS</t>
  </si>
  <si>
    <t>Yu, C (corresponding author), Tianjin Univ, Sch Comp Sci &amp; Technol, Tianjin 300350, Peoples R China.</t>
  </si>
  <si>
    <t>jerryan@tju.edu.cn; yuce@tju.edu.cn; sch@tju.edu.cn; zshang@gmail.com; huyi.naoc@gmail.com; fengjh@nscc-tj.gov.cn; jzsun@tju.edu.cn; xiaojian@tju.edu.cn</t>
  </si>
  <si>
    <t>National Natural Science Foundation of China [11573019, 61602336]; National Natural Science Foundation of China (NSFC) [U1531111]; Chinese Academy of Sciences (CAS) [U1531111]</t>
  </si>
  <si>
    <t>National Natural Science Foundation of China(National Natural Science Foundation of China (NSFC)); National Natural Science Foundation of China (NSFC)(National Natural Science Foundation of China (NSFC)); Chinese Academy of Sciences (CAS)(Chinese Academy of Sciences)</t>
  </si>
  <si>
    <t>This work is supported by the National Natural Science Foundation of China (11573019, 61602336), the Joint Research Fund in Astronomy (U1531111) under cooperative agreement between the National Natural Science Foundation of China (NSFC) and Chinese Academy of Sciences (CAS).</t>
  </si>
  <si>
    <t>0302-9743</t>
  </si>
  <si>
    <t>1611-3349</t>
  </si>
  <si>
    <t>978-3-319-65482-9; 978-3-319-65481-2</t>
  </si>
  <si>
    <t>LECT NOTES COMPUT SC</t>
  </si>
  <si>
    <t>10.1007/978-3-319-65482-9_30</t>
  </si>
  <si>
    <t>Computer Science, Hardware &amp; Architecture; Computer Science, Software Engineering; Computer Science, Theory &amp; Methods</t>
  </si>
  <si>
    <t>BS3ZS</t>
  </si>
  <si>
    <t>WOS:000717040500030</t>
  </si>
  <si>
    <t>Lamers, M; van der Duim, R; Spaargaren, G</t>
  </si>
  <si>
    <t>Lamers, Machiel; van der Duim, Rene; Spaargaren, Gert</t>
  </si>
  <si>
    <t>The relevance of practice theories for tourism research</t>
  </si>
  <si>
    <t>ANNALS OF TOURISM RESEARCH</t>
  </si>
  <si>
    <t>Practice theory; Social practice; Materiality; Flat ontology; Practice-arrangement bundles; Expedition cruising</t>
  </si>
  <si>
    <t>ANTARCTIC TOURISM; MOBILITY; NETWORK</t>
  </si>
  <si>
    <t>Practice theories offer a new perspective on tourism, by not focussing on individual agents or social structures, but on social practices as the starting point for theorising and conducting research. Illustrated by the practice of Arctic expedition cruising, we discuss the basic premises of practice theories and their potential applications to tourism studies, including various ways of conceptualising social practices, the principle idea of a flat ontology, the methodological implications and the relevance for tourism policies. Practice theories could contribute to the agenda of tourism studies in three ways, i.e. by enabling in-depth analysis of performed tourism consumption or production practices, by facilitating analysis of change in tourism over time and by unravelling the embeddedness of tourism practices. (C) 2016 Elsevier Ltd. All rights reserved.</t>
  </si>
  <si>
    <t>[Lamers, Machiel; Spaargaren, Gert] Wageningen Univ, Environm Policy Grp, Hollandseweg 1, NL-6706 KN Wageningen, Netherlands; [van der Duim, Rene] Wageningen Univ, Cultural Geog Grp, Droevendaalsesteeg 3,POB 47, NL-6700 AA Wageningen, Netherlands</t>
  </si>
  <si>
    <t>Wageningen University &amp; Research; Wageningen University &amp; Research</t>
  </si>
  <si>
    <t>Lamers, M (corresponding author), Wageningen Univ, Environm Policy Grp, Hollandseweg 1, NL-6706 KN Wageningen, Netherlands.</t>
  </si>
  <si>
    <t>machiel.lamers@wur.nl; rene.vanderduim@wur.nl; gert.spaargaren@wur.nl</t>
  </si>
  <si>
    <t>0160-7383</t>
  </si>
  <si>
    <t>1873-7722</t>
  </si>
  <si>
    <t>ANN TOURISM RES</t>
  </si>
  <si>
    <t>Ann. Touris. Res.</t>
  </si>
  <si>
    <t>10.1016/j.annals.2016.12.002</t>
  </si>
  <si>
    <t>Hospitality, Leisure, Sport &amp; Tourism; Sociology</t>
  </si>
  <si>
    <t>Social Sciences - Other Topics; Sociology</t>
  </si>
  <si>
    <t>EI7KQ</t>
  </si>
  <si>
    <t>WOS:000392677000005</t>
  </si>
  <si>
    <t>Voskoboinikova, O; Detrich, HW; Albertson, RC; Postlethwait, JH; Ghigliotti, L; Pisano, E</t>
  </si>
  <si>
    <t>Voskoboinikova, Olga; Detrich, H. William, III; Albertson, R. Craig; Postlethwait, John H.; Ghigliotti, Laura; Pisano, Eva</t>
  </si>
  <si>
    <t>Evolution Reshaped Life for the Water Column: The Skeleton of the Antarctic Silverfish Pleuragramma antarctica Boulenger, 1902</t>
  </si>
  <si>
    <t>Secondary pelagization; Skeletogenesis; Bone mineralization</t>
  </si>
  <si>
    <t>TERRA-NOVA BAY; NOTOTHENIOID FISHES; ADAPTIVE RADIATION; ROSS SEA; MCMURDO SOUND; BUOYANCY; SOX9; DIVERSIFICATION; POSTLARVAL; DIVERGENCE</t>
  </si>
  <si>
    <t>The Antarctic silverfish is a neutrally buoyant notothenioid fish that lives in resource-rich pelagic habitats through all life history stages. Given the ancestral benthic origin of notothenioids, the ability of this species to live in the water column required extensive evolutionary adjustments centered on buoyancy, a process referred to as secondary pelagization. Many of these adaptive changes are found in the silverfish skeleton, including partial or total reduction of bony elements, which reduces skeletal mass and body density. Other novel skeletal traits, such as lengthening of bones of the ethmoidal portion of the neurocranium and jaws, are related to foraging in the water column and planctophagia. Reconfiguration of silverfish skeletal traits occurred via paedomorphosis (the retention of characters in adults that are juvenile traits in outgroup species) and reflects heterochronic shifts in gene expression during development. In this chapter we describe the skeletal anatomy of silverfish larvae, juveniles and adults, including evidence for ontogenetic changes that relate to pelagic life. We then present the molecular basis of skeletal reduction as revealed by analysis of craniofacial gene expression during early skeletogenesis.</t>
  </si>
  <si>
    <t>[Voskoboinikova, Olga] Russian Acad Sci, Inst Zool, St Petersburg 199034, Russia; [Detrich, H. William, III] Northeastern Univ, Ctr Marine Sci, Dept Marine &amp; Environm Sci, Nahant, MA 01908 USA; [Albertson, R. Craig] Univ Massachusetts Amherst, Dept Biol, Amherst, MA USA; [Postlethwait, John H.] Univ Oregon, Inst Neurosci, Eugene, OR 97403 USA; [Ghigliotti, Laura; Pisano, Eva] Inst Marine Sci ISMAR CNR, Via Marini 6, I-16149 Genoa, Italy; [Pisano, Eva] Univ Genoa, Dept Earth Environm &amp; Life Sci DISTAV, Viale Benedetto 15 5, I-16132 Genoa, Italy</t>
  </si>
  <si>
    <t>Russian Academy of Sciences; Zoological Institute of the Russian Academy of Sciences; Northeastern University; University of Massachusetts System; University of Massachusetts Amherst; University of Oregon; Consiglio Nazionale delle Ricerche (CNR); Istituto di Scienze Marine (ISMAR-CNR); University of Genoa</t>
  </si>
  <si>
    <t>Voskoboinikova, O (corresponding author), Russian Acad Sci, Inst Zool, St Petersburg 199034, Russia.</t>
  </si>
  <si>
    <t>vosk@zin.ru; w.detrich@northeastern.edu; albertson@bio.umass.edu; jpostle@uoneuro.uoregon.edu; laura.ghigliotti@ge.ismar.cnr.it; pisano@unige.it</t>
  </si>
  <si>
    <t>Ghigliotti, Laura/AAN-6843-2021; Ghigliotti, Laura/J-3076-2012; Voskoboinikova, Olga/R-4304-2017</t>
  </si>
  <si>
    <t>10.1007/978-3-319-55893-6_1</t>
  </si>
  <si>
    <t>WOS:000439509000003</t>
  </si>
  <si>
    <t>Belchier, M</t>
  </si>
  <si>
    <t>Belchier, Mark</t>
  </si>
  <si>
    <t>The Antarctic Silverfish: a Keystone Species in a Changing Ecosystem Foreword</t>
  </si>
  <si>
    <t>Editorial Material; Book Chapter</t>
  </si>
  <si>
    <t>[Belchier, Mark] British Antarctic Survey BAS, CCAMLR Sci Comm, Cambridge, England</t>
  </si>
  <si>
    <t>Belchier, M (corresponding author), British Antarctic Survey BAS, CCAMLR Sci Comm, Cambridge, England.</t>
  </si>
  <si>
    <t>V</t>
  </si>
  <si>
    <t>VI</t>
  </si>
  <si>
    <t>WOS:000439509000001</t>
  </si>
  <si>
    <t>Vacchi, Marino; Pisano, Eva; Ghigliotti, Laura</t>
  </si>
  <si>
    <t>The Antarctic Silverfish: a Keystone Species in a Changing Ecosystem Preface</t>
  </si>
  <si>
    <t>[Vacchi, Marino; Pisano, Eva; Ghigliotti, Laura] Inst Marine Sci ISMAR CNR, Genoa, Italy; [Pisano, Eva] Univ Genoa, Dept Earth Environm &amp; Life Sci DISTAV, Genoa, Italy</t>
  </si>
  <si>
    <t>Consiglio Nazionale delle Ricerche (CNR); Istituto di Scienze Marine (ISMAR-CNR); University of Genoa</t>
  </si>
  <si>
    <t>Vacchi, M (corresponding author), Inst Marine Sci ISMAR CNR, Genoa, Italy.</t>
  </si>
  <si>
    <t>Ghigliotti, Laura/AAN-6843-2021; Ghigliotti, Laura/J-3076-2012</t>
  </si>
  <si>
    <t>VII</t>
  </si>
  <si>
    <t>VIII</t>
  </si>
  <si>
    <t>WOS:000439509000002</t>
  </si>
  <si>
    <t>Mintenbeck, K; Torres, JJ</t>
  </si>
  <si>
    <t>Mintenbeck, Katja; Torres, Joseph J.</t>
  </si>
  <si>
    <t>Impact of Climate Change on the Antarctic Silverfish and Its Consequences for the Antarctic Ecosystem</t>
  </si>
  <si>
    <t>Western Antarctic Peninsula; Global change; Pleuragramma distribution; Regional warming</t>
  </si>
  <si>
    <t>SOUTHERN WEDDELL SEA; EARLY-LIFE STAGES; TERRA-NOVA BAY; MARGINAL ICE-ZONE; PLEURAGRAMMA-ANTARCTICUM; ROSS SEA; MCMURDO SOUND; NOTOTHENIOID FISH; FEEDING ECOLOGY; REGIME SHIFTS</t>
  </si>
  <si>
    <t>Pleuragramma antarctica is the dominant forage fish of the coastal Antarctic, exhibiting a circumantarctic distribution and a well documented abundance in all shelf environments, from the high Antarctic Weddell and Ross Sea systems, to the milder waters of the western Antarctic Peninsula (WAP) shelf. Rapid regional warming on the WAP has produced a dichotomy in annual weather patterns between the high Antarctic systems and the WAP, resulting in swiftly rising midwinter air temperatures and fewer sea ice days during the annual winter cycle on the WAP, and little change in the Ross and Weddell Seas. The WAP shelf thus provides a model system for examining the potential effects of climate warming on an important Antarctic species. Pleuragramma's life history is characterized by slow growth, late maturity, a high reproductive investment and an association with coastal sea ice for spawning and larval development. All those features will allow the species to weather episodic annual failures in recruitment, but not long term change. Most effects of the increasing temperature associated with climate change will be indirect ones, as temperatures will not increase to the point where they are physiologically life-threatening in the short term. A recent survey of Pleuragramma distribution on the WAP shelf revealed a large break in its historical distribution in shelf waters, suggesting a collapse in the local population of silverfish there. The break occurred in the area that has been most heavily impacted by rapid regional warming: the northern mid-shelf including Anvers and Renaud Island. It may be that the multi-faceted effects of climate change are already at work in its local disappearance.</t>
  </si>
  <si>
    <t>[Mintenbeck, Katja] Alfred Wegener Inst, Helmholtz Ctr Polar &amp; Marine Res, POB 120161, D-27515 Bremerhaven, Germany; [Torres, Joseph J.] Univ S Florida, Coll Marine Sci, 140 Seventh Ave South, St Petersburg, FL 33701 USA</t>
  </si>
  <si>
    <t>Helmholtz Association; Alfred Wegener Institute, Helmholtz Centre for Polar &amp; Marine Research; State University System of Florida; University of South Florida</t>
  </si>
  <si>
    <t>Mintenbeck, K (corresponding author), Alfred Wegener Inst, Helmholtz Ctr Polar &amp; Marine Res, POB 120161, D-27515 Bremerhaven, Germany.</t>
  </si>
  <si>
    <t>Katja.Mintenbeck@awi.de; jjtorres@usf.edu</t>
  </si>
  <si>
    <t>10.1007/978-3-319-55893-6_12</t>
  </si>
  <si>
    <t>WOS:000439509000014</t>
  </si>
  <si>
    <t>Sannino, F; Giuliani, M; Salvatore, U; Apuzzo, GA; de Pascale, D; Fani, R; Fondi, M; Marino, G; Tutino, ML; Parrilli, E</t>
  </si>
  <si>
    <t>Sannino, F.; Giuliani, M.; Salvatore, U.; Apuzzo, G. A.; de Pascale, D.; Fani, R.; Fondi, M.; Marino, G.; Tutino, M. L.; Parrilli, E.</t>
  </si>
  <si>
    <t>A novel synthetic medium and expression system for subzero growth and recombinant protein production in Pseudoalteromonas haloplanktis TAC125</t>
  </si>
  <si>
    <t>APPLIED MICROBIOLOGY AND BIOTECHNOLOGY</t>
  </si>
  <si>
    <t>P. haloplanktis TAC125; Subzero growth temperature; Recombinant protein production; Cold-adapted bacteria; Synthetic medium</t>
  </si>
  <si>
    <t>ANTI-BIOFILM ACTIVITY; ESCHERICHIA-COLI; OXIDATIVE STRESS; PSEUDOMONAS-PUTIDA; GAL REPRESSOR; BACTERIUM; GALACTOSIDASE; TRANSCRIPTION; TEMPERATURES; ADAPTATION</t>
  </si>
  <si>
    <t>The Antarctic bacterium Pseudoalteromonas haloplanktis TAC125 is a model organism of cold-adapted bacteria. The interest in the study of this psychrophilic bacterium stems from its capability either as a non-conventional system for production of recombinant protein and as a rich source of bioactive compounds. To further explore the biotechnological ability of P. haloplanktis TAC125, we have developed a synthetic medium, containing D-gluconate and L-glutamate (GG), which allows the bacterium to grow even at subzero temperatures. P. haloplanktis TAC125 growing in GG medium at low temperature displays growth kinetic parameters which confirm its spectacular adaptation to cold environment and subzero lifestyle, paving the way to the definition of the underlying molecular strategies. Moreover, in this paper, we report the setup of a finely regulated gene expression system inducible by D-galactose to produce recombinant protein in GG synthetic medium at temperatures as low as -2.5 A degrees C. Thanks to the combination of the novel medium and the new expression system, we obtained for the first time the production of a recombinant protein at subzero temperature, thus providing an innovative strategy for the recombinant production of difficult proteins.</t>
  </si>
  <si>
    <t>[Sannino, F.; Salvatore, U.; Apuzzo, G. A.; Marino, G.; Tutino, M. L.; Parrilli, E.] Univ Naples Federico II, Dept Chem Sci, Complesso Univ Monte St Angelo,Via Cinthia, I-80126 Naples, Italy; [Giuliani, M.] GSK Vaccines, Via Fiorentina 1, I-53100 Siena, Italy; [de Pascale, D.] CNR, Inst Prot Biochem, Via Pietro Castellino 111, I-80126 Naples, Italy; [Fani, R.; Fondi, M.] Univ Florence, Dept Biol, Lab Microbial &amp; Mol Evolut, Via Madonna del Piano 6, I-50018 Florence, Italy</t>
  </si>
  <si>
    <t>University of Naples Federico II; GlaxoSmithKline; Consiglio Nazionale delle Ricerche (CNR); Istituto di Biochimica delle Proteine (IBP-CNR); University of Florence</t>
  </si>
  <si>
    <t>Parrilli, E (corresponding author), Univ Naples Federico II, Dept Chem Sci, Complesso Univ Monte St Angelo,Via Cinthia, I-80126 Naples, Italy.</t>
  </si>
  <si>
    <t>erparril@unina.it</t>
  </si>
  <si>
    <t>parrilli, ermenegilda/K-4616-2016; parrilli, ermenegilda/JAZ-0586-2023; TUTINO, MARIA LUISA/L-1834-2013</t>
  </si>
  <si>
    <t>parrilli, ermenegilda/0000-0002-9002-5409; Tutino, Maria Luisa/0000-0002-4978-6839</t>
  </si>
  <si>
    <t>EU-KBBE project PharmaSea [312184]; Programma Nazionale di Ricerche in Antartide [PNRA 2013 AZ1.04, PNRA 2013/B1.04]</t>
  </si>
  <si>
    <t>EU-KBBE project PharmaSea; Programma Nazionale di Ricerche in Antartide(Ministry of Education, Universities and Research (MIUR))</t>
  </si>
  <si>
    <t>This work was supported by the EU-KBBE 2012-2016 project PharmaSea, grant No. 312184 to DdP, and Programma Nazionale di Ricerche in Antartide grants PNRA 2013 AZ1.04 to RF and PNRA 2013/B1.04 to MLT.</t>
  </si>
  <si>
    <t>0175-7598</t>
  </si>
  <si>
    <t>1432-0614</t>
  </si>
  <si>
    <t>APPL MICROBIOL BIOT</t>
  </si>
  <si>
    <t>Appl. Microbiol. Biotechnol.</t>
  </si>
  <si>
    <t>10.1007/s00253-016-7942-5</t>
  </si>
  <si>
    <t>EH8ZE</t>
  </si>
  <si>
    <t>WOS:000392060500021</t>
  </si>
  <si>
    <t>Dowdeswell, JA; Jeffries, MO</t>
  </si>
  <si>
    <t>Copland, L; Mueller, D</t>
  </si>
  <si>
    <t>Dowdeswell, Julian A.; Jeffries, Martin O.</t>
  </si>
  <si>
    <t>Arctic Ice Shelves: An Introduction</t>
  </si>
  <si>
    <t>ARCTIC ICE SHELVES AND ICE ISLANDS</t>
  </si>
  <si>
    <t>Springer Polar Sciences</t>
  </si>
  <si>
    <t>Ice shelf; Glacier; Sea ice; Sikussak; Surface accumulation; Bottom accretion; Iceberg; Ice Island; Ellesmere Island; Greenland; Severnaya Zemlya; Franz Josef Land</t>
  </si>
  <si>
    <t>ELLESMERE-ISLAND; SEA-ICE; ANTARCTIC PENINSULA; JAKOBSHAVN ISBRAE; SEVERNAYA ZEMLYA; YERMAK PLATEAU; GREENLAND; SHEET; GLACIER; STABILITY</t>
  </si>
  <si>
    <t>Ice shelves are relatively thick ice masses that are afloat but attached to coastal land rather than adrift. They form by the seaward extension of glaciers or ice sheets or by build up of multiyear landfast sea ice. They thicken further by surface accumulation of snow and superimposed ice and by accretion of ice from water beneath. Composite ice shelves are composed of sea ice and glacier ice. Glacier tongues are floating ice margins that are narrow relative to their length. Ice shelves comprise 55% or 18,000 km of the Antarctic coast. 'Classical' Antarctic ice shelves are fed from glaciers or ice streams and are dynamically part of the parent ice sheet; the largest, the Ross and Ronne, are 105 km2 and hundreds of metres thick. Where they ground on isolated bedrock peaks, 'ice rises' are formed. Arctic ice shelves are restricted to several archipelagos fringing the Arctic Ocean and to a few Greenland fjords. The Ward Hunt Ice Shelf is the largest at about 400 km2. Arctic and Antarctic ice shelves have expanded and contracted during the Holocene. The Ellesmere Ice Shelf developed about 5500 years ago in response to Holocene cooling. In the warmer Twentieth century, calving events have broken this continuous ice-shelf into several remnants. Floating glacier tongues of the Greenland Ice Sheet have also broken up recently. The entire Arctic Ocean may have been covered by a huge ice shelf during the coldest Late Cenozoic glacial periods. Large, often tabular icebergs calve from ice shelves. Ice islands are a form of tabular iceberg in the Arctic Ocean which have a characteristic undulating surface. Icebergs drift mainly under the influence of currents and Arctic Ocean ice islands have been used occasionally as research stations.</t>
  </si>
  <si>
    <t>[Dowdeswell, Julian A.] Univ Cambridge, Scott Polar Res Inst, Cambridge, England; [Jeffries, Martin O.] Off Naval Res, Arctic &amp; Global Predict Program, Arlington, VA 22217 USA</t>
  </si>
  <si>
    <t>University of Cambridge; United States Department of Defense; United States Navy</t>
  </si>
  <si>
    <t>Dowdeswell, JA (corresponding author), Univ Cambridge, Scott Polar Res Inst, Cambridge, England.</t>
  </si>
  <si>
    <t>jd16@cam.ac.uk; martin.jeffries@navy.mil</t>
  </si>
  <si>
    <t>2510-0475</t>
  </si>
  <si>
    <t>2510-0483</t>
  </si>
  <si>
    <t>978-94-024-1101-0; 978-94-024-1099-0</t>
  </si>
  <si>
    <t>SPR POLAR SCI</t>
  </si>
  <si>
    <t>10.1007/978-94-024-1101-0_1</t>
  </si>
  <si>
    <t>10.1007/978-94-024-1101-0</t>
  </si>
  <si>
    <t>Environmental Sciences; Oceanography</t>
  </si>
  <si>
    <t>Environmental Sciences &amp; Ecology; Oceanography</t>
  </si>
  <si>
    <t>BM7KM</t>
  </si>
  <si>
    <t>WOS:000468016700002</t>
  </si>
  <si>
    <t>Braun, C</t>
  </si>
  <si>
    <t>Braun, Carsten</t>
  </si>
  <si>
    <t>The Surface Mass Balance of the Ward Hunt Ice Shelf and Ward Hunt Ice Rise, Ellesmere Island, Nunavut, Canada</t>
  </si>
  <si>
    <t>Arctic; Ice shelf; Ice rise; Mass balance; Climate change; Glacier</t>
  </si>
  <si>
    <t>QUEEN-ELIZABETH ISLANDS; AXEL-HEIBERG ISLAND; SEA-ICE; BREAK-UP; ANTARCTIC PENINSULA; JAKOBSHAVN ISBRAE; CLIMATIC-CHANGE; MELT SEASON; GLACIER; GREENLAND</t>
  </si>
  <si>
    <t>This chapter chronicles the mass balance and thickness of the Ward Hunt Ice Shelf and Ward Hunt Ice Rise, Ellesmere Island, Canada (1952-2008). The surface mass balance of the ice shelf and ice rise followed the mass balance changes of other monitored Canadian Arctic glaciers, but their overall mass losses have been comparatively low due to their proximity to the Arctic Ocean. Nevertheless, thinning of the Ward Hunt Ice Shelf via surface and basal melting has reduced its structural integrity as evidenced by the large-scale breakup of its eastern section between 2008 and 2011. In this context basal melting is considerably more significant in terms of overall ice shelf thickness and stability than the associated surface mass losses. The Ward Hunt Ice Shelf cannot readily reform again unless climatic conditions deteriorate for a prolonged period of time. The other remaining Canadian Arctic ice shelves appear to be in a similar situation as open water conditions on the Arctic Ocean become more prevalent and the dynamic stresses on the ice shelves related to wind, wave, and tidal action increase. This will eventually leave the Ward Hunt Ice Rise as one of the last remnants of Peary's 'Glacial Fringe' along the northern coast of Ellesmere Island, although its long-term survival is also threatened by current and predicted climatic change. A comprehensive measurement and modeling program is urgently needed to document and better understand the behaviour of these unique ice masses.</t>
  </si>
  <si>
    <t>[Braun, Carsten] Westfield State Univ, Geog &amp; Reg Planning Dept, Westfield, MA 01086 USA</t>
  </si>
  <si>
    <t>Massachusetts System of Public Higher Education; Westfield State University</t>
  </si>
  <si>
    <t>Braun, C (corresponding author), Westfield State Univ, Geog &amp; Reg Planning Dept, Westfield, MA 01086 USA.</t>
  </si>
  <si>
    <t>cbraun@westfield.ma.edu</t>
  </si>
  <si>
    <t>10.1007/978-94-024-1101-0_6</t>
  </si>
  <si>
    <t>WOS:000468016700007</t>
  </si>
  <si>
    <t>Antoniades, D</t>
  </si>
  <si>
    <t>Antoniades, Dermot</t>
  </si>
  <si>
    <t>An Overview of Paleoenvironmental Techniques for the Reconstruction of Past Arctic Ice Shelf Dynamics</t>
  </si>
  <si>
    <t>Paleoenvironmental techniques; Epishelf lake; Proxy indicators; Arctic fiords; Sediment cores</t>
  </si>
  <si>
    <t>NORTHERN ELLESMERE-ISLAND; ANTARCTIC PENINSULA; HOLOCENE HISTORY; CHLOROPHYLL-A; EPISHELF LAKE; SEDIMENTARY PROCESSES; WESTERN SPITSBERGEN; GEOMAGNETIC-FIELD; LAST GLACIATION; FORMER LARSEN</t>
  </si>
  <si>
    <t>Information about the long-term responses of Arctic ice shelves to changes in climate is critical for understanding the significance of their recent declines. However, the history of these systems is poorly understood, and few methods exist to reconstruct these missing datasets. Paleoenvironmental studies of sediment cores can provide valuable information about past ice shelf fluctuations and provide the context in which to evaluate recent changes. This chapter discusses the methods available for the reconstruction of ice shelf dynamics from sediment cores. It reviews the proxy indicators that provide insights into different ice shelf characteristics and their effects on sedimentation and water column properties, and gives examples where these have been applied in studies of ice shelves from both polar regions.</t>
  </si>
  <si>
    <t>[Antoniades, Dermot] Univ Laval, Dept Geog, Quebec City, PQ, Canada; [Antoniades, Dermot] Univ Laval, Ctr Northern Studies, Quebec City, PQ, Canada</t>
  </si>
  <si>
    <t>Laval University; Laval University</t>
  </si>
  <si>
    <t>Antoniades, D (corresponding author), Univ Laval, Dept Geog, Quebec City, PQ, Canada.;Antoniades, D (corresponding author), Univ Laval, Ctr Northern Studies, Quebec City, PQ, Canada.</t>
  </si>
  <si>
    <t>dermot.antoniades@cen.ulaval.ca</t>
  </si>
  <si>
    <t>10.1007/978-94-024-1101-0_8</t>
  </si>
  <si>
    <t>WOS:000468016700009</t>
  </si>
  <si>
    <t>Jungblut, AD; Mueller, D; Vincent, WF</t>
  </si>
  <si>
    <t>Jungblut, Anne D.; Mueller, Derek; Vincent, Warwick F.</t>
  </si>
  <si>
    <t>Arctic Ice Shelf Ecosystems</t>
  </si>
  <si>
    <t>Arctic ecosystems; Benthic; Biological production; Cryosphere; Ice shelf; Microbial biodiversity</t>
  </si>
  <si>
    <t>MICROBIAL MAT COMMUNITIES; ELLESMERE-ISLAND; BRATINA ISLAND; EPISHELF LAKE; CYANOBACTERIAL ASSEMBLAGES; ANTARCTIC CYANOBACTERIA; TEMPERATURE-DEPENDENCE; PIGMENT STRUCTURE; CRYOCONITE HOLES; MELTWATER PONDS</t>
  </si>
  <si>
    <t>Arctic ice shelves are microbial ecosystems with a rich biodiversity. Until recently, polar ice shelves were seen as mostly abiotic glaciological features, however they are oases for life, with snow, meltwater pools and sediments providing cryohabitats for microbiota. The biological communities are composed of diverse forms of microscopic life, including cyanobacteria, heterotrophic bacteria, viruses, algae, other protists and microfauna, and occupy a variety of habitats: supraglacial meltwater lakes, englacial microhabitats within the ice and snow and planktonic environments in ice-dammed, epishelf lakes. These habitats are defined by seasonal light availability, cold temperatures and nutrient poor conditions. In the supraglacial pools, production is dominated by benthic microbial mat assemblages that have diverse stress adaptation systems and that use internal nutrient recycling and scavenging strategies. Despite short growth periods and perennial low temperatures, biomass accumulations are considerable, with a striking diversity of light-harvesting, UV-protection and other accessory pigments. The chemical characteristics such as conductivity and origin of salts are defined by the underlying ice types, and microbial mat studies from adjacent habitats show a high resilience to solute concentration during freeze-up. The structural integrity of these cryoecosystems is dependent on ice, and they are therefore vulnerable to climate change. Many of these unique Arctic ecosystems have been lost by ice shelf collapse over the last two decades, and they are now on the brink of complete extinction.</t>
  </si>
  <si>
    <t>[Jungblut, Anne D.] Laval Univ, Ctr Etud Nord CEN, Inst Biol Integrat &amp; Syst IBIS, Quebec City, PQ, Canada; [Jungblut, Anne D.; Vincent, Warwick F.] Laval Univ, Dept Biol, Quebec City, PQ, Canada; [Jungblut, Anne D.] Nat Hist Museum, Dept Life Sci, London, England; [Mueller, Derek] Carleton Univ, Dept Geog &amp; Environm Studies, Ottawa, ON, Canada; [Vincent, Warwick F.] Laval Univ, Ctr Etud Nord CEN, Takuvik Joint Int Lab, Quebec City, PQ, Canada</t>
  </si>
  <si>
    <t>Laval University; Laval University; Natural History Museum London; Carleton University; Laval University</t>
  </si>
  <si>
    <t>Jungblut, AD (corresponding author), Laval Univ, Ctr Etud Nord CEN, Inst Biol Integrat &amp; Syst IBIS, Quebec City, PQ, Canada.;Jungblut, AD (corresponding author), Laval Univ, Dept Biol, Quebec City, PQ, Canada.;Jungblut, AD (corresponding author), Nat Hist Museum, Dept Life Sci, London, England.</t>
  </si>
  <si>
    <t>a.jungblut@nhm.ac.uk; derek.mueller@carleton.ca; warwick.vincent@bio.ulaval.ca</t>
  </si>
  <si>
    <t>Vincent, Warwick/AAH-6152-2019</t>
  </si>
  <si>
    <t>Vincent, Warwick/0000-0001-9055-1938</t>
  </si>
  <si>
    <t>10.1007/978-94-024-1101-0_9</t>
  </si>
  <si>
    <t>WOS:000468016700010</t>
  </si>
  <si>
    <t>Belkin, IM; Kessel, SA</t>
  </si>
  <si>
    <t>Belkin, Igor M.; Kessel, Sergey A.</t>
  </si>
  <si>
    <t>Russian Drifting Stations on Arctic Ice Islands</t>
  </si>
  <si>
    <t>Ice island; Arctic Ocean; Ice shelf; Canada Basin; North Pole drifting stations; NP-22</t>
  </si>
  <si>
    <t>CANADA BASIN; OCEAN; RADIOLARIANS; POLYCHAETA; REVISION; ABYSSAL; GENUS</t>
  </si>
  <si>
    <t>A summary of Russian discoveries of Arctic ice islands - peculiar tabular icebergs - is presented, complete with a chronological account of drifting stations installed on ice islands. Of 40 'North Pole' drifting stations established from 1937 through 2013, six were set up on five ice islands: North Pole-6, 18/19 (same ice island), 22, 23, and 24. These ice islands served as reliable long-term research platforms as evidenced by the extensive bibliography of scientific publications based on observations made from manned ice island stations. Studies were conducted of structure and morphology of ice islands; under-ice biota; deep Arctic Ocean benthos; meteorology and climate; and oceanography. Biological collections from these ice islands are still being analyzed.</t>
  </si>
  <si>
    <t>[Belkin, Igor M.] Univ Rhode Isl, Grad Sch Oceanog, Narragansett, RI 02882 USA; [Kessel, Sergey A.] Arctic &amp; Antarctic Res Inst, St Petersburg, Russia</t>
  </si>
  <si>
    <t>University of Rhode Island; Arctic &amp; Antarctic Research Institute</t>
  </si>
  <si>
    <t>Belkin, IM (corresponding author), Univ Rhode Isl, Grad Sch Oceanog, Narragansett, RI 02882 USA.</t>
  </si>
  <si>
    <t>igormbelkin@gmail.com</t>
  </si>
  <si>
    <t>Belkin, Igor/ABA-9466-2021</t>
  </si>
  <si>
    <t>10.1007/978-94-024-1101-0_14</t>
  </si>
  <si>
    <t>WOS:000468016700015</t>
  </si>
  <si>
    <t>Venn, S; Kirkpatrick, J; McDougall, K; Walsh, N; Whinam, J; Williams, RJ</t>
  </si>
  <si>
    <t>Keith, DA</t>
  </si>
  <si>
    <t>Venn, Susanna; Kirkpatrick, Jamie; McDougall, Keith; Walsh, Neville; Whinam, Jennie; Williams, Richard J.</t>
  </si>
  <si>
    <t>Alpine, Sub-alpine and Sub-Antarctic Vegetation of Australia</t>
  </si>
  <si>
    <t>AUSTRALIAN VEGETATION, 3RD EDITION</t>
  </si>
  <si>
    <t>KOSCIUSZKO NATIONAL-PARK; EASTERN CENTRAL PLATEAU; CLIMATE-CHANGE; TREELESS VEGETATION; MOUNTAIN; DYNAMICS; IMPACTS; HISTORY; PLANTS; FIRE</t>
  </si>
  <si>
    <t>The alpine and sub-alpine vegetation of Australia occupies habitat islands from Namadgi National Park in the Australian Capital Territory to the Southern Range of Tasmania. Macquarie and Heard Islands support Australia's sub-Antarctic vegetation. The high mountain environments on the mainland experience a continental climate, often accompanied by winter snow; whereas, the sub-Antarctic islands and the Tasmanian highlands have maritime climates in which prolonged snow cover on vegetation is restricted. The distributions of plant communities are influenced by water, snow, wind exposure and topography, soils, biotic factors and disturbance. Many plant species are endemic to Tasmania and the Australian mainland and a few endemic to the Australian sub-Antarctic islands. Many species are scleromorphic, hairy, or have cushion, rosette or tussock forms; characteristics that aid in cold climate survival. Some mainland Australian species have fast phenological cycles to make the most of short growing seasons. Cyclical and dynamic vegetation change, plant-plant interactions, recruitment biology and post-fire vegetation responses are well-documented. Current monitoring and research is focused on climate change, alien plant invasions, feral animals and fire.</t>
  </si>
  <si>
    <t>[Venn, Susanna] Australian Natl Univ, Res Sch Biol, Evolut Ecol &amp; Genet, Canberra, ACT, Australia; [Kirkpatrick, Jamie; Whinam, Jennie] Univ Tasmania, Sch Land &amp; Food, Discipline Geog &amp; Spatial Sci, Hobart, Tas, Australia; [McDougall, Keith] La Trobe Univ, Dept Ecol Environm &amp; Evolut, Bundoora, Vic, Australia; [Walsh, Neville] Royal Bot Gardens Victoria, South Yarra, Vic, Australia; [Williams, Richard J.] CSIRO Land &amp; Water, Winnellie, NT, Australia; [Williams, Richard J.] Terr Ecosyst Res Network, Long Term Ecol Res Network, Canberra, ACT, Australia</t>
  </si>
  <si>
    <t>Australian National University; University of Tasmania; La Trobe University; Commonwealth Scientific &amp; Industrial Research Organisation (CSIRO)</t>
  </si>
  <si>
    <t>Venn, S (corresponding author), Australian Natl Univ, Res Sch Biol, Evolut Ecol &amp; Genet, Canberra, ACT, Australia.</t>
  </si>
  <si>
    <t>Venn, Susanna/0000-0002-7433-0120</t>
  </si>
  <si>
    <t>978-1-107-11843-0</t>
  </si>
  <si>
    <t>10.1017/9781316339701</t>
  </si>
  <si>
    <t>Plant Sciences; Geography, Physical</t>
  </si>
  <si>
    <t>Plant Sciences; Physical Geography</t>
  </si>
  <si>
    <t>BM7IY</t>
  </si>
  <si>
    <t>WOS:000467950600020</t>
  </si>
  <si>
    <t>Klimpel, Sven; Kuhn, Thomas; Mehlhorn, Heinz</t>
  </si>
  <si>
    <t>Introduction: Biodiversity and Evolution of Parasitic Life in the Southern Ocean</t>
  </si>
  <si>
    <t>ANTARCTIC ICEFISHES CHANNICHTHYIDAE; WEDDELL SEA; SHETLAND ISLANDS; NOTOTHENIA-CORIICEPS; CLIMATE-CHANGE; CONTRACAECUM-RADIATUM; ELEPHANT ISLAND; UNIQUE FAMILY; ADMIRALTY BAY; ICE SHELF</t>
  </si>
  <si>
    <t>[Klimpel, Sven; Kuhn, Thomas] Goethe Univ, Inst Ecol Evolut &amp; Divers, Senckenberg Gesell Nat Forsch, Senckenberg Biodivers &amp; Climate Res Ctr, Max von Laue Str 13, D-60439 Frankfurt, Germany; [Mehlhorn, Heinz] Heinrich Heine Univ, Inst Parasitol, Univ Str 1, D-40225 Dusseldorf, Germany</t>
  </si>
  <si>
    <t>Senckenberg Gesellschaft fur Naturforschung (SGN); Senckenberg Biodiversitat &amp; Klima- Forschungszentrum (BiK-F); Goethe University Frankfurt; Heinrich Heine University Dusseldorf</t>
  </si>
  <si>
    <t>Klimpel, S (corresponding author), Goethe Univ, Inst Ecol Evolut &amp; Divers, Senckenberg Gesell Nat Forsch, Senckenberg Biodivers &amp; Climate Res Ctr, Max von Laue Str 13, D-60439 Frankfurt, Germany.</t>
  </si>
  <si>
    <t>klimpel@bio.uni-frankfurt.de; t.kuhn@bio.uni-frankfurt.de; mehlhorn@uni-duesseldorf.de</t>
  </si>
  <si>
    <t>10.1007/978-3-319-46343-8_1</t>
  </si>
  <si>
    <t>WOS:000416895300002</t>
  </si>
  <si>
    <t>Gianuca, D; Phillips, RA; Townley, S; Votier, SC</t>
  </si>
  <si>
    <t>Gianuca, Dimas; Phillips, Richard A.; Townley, Stuart; Votier, Stephen C.</t>
  </si>
  <si>
    <t>Global patterns of sex- and age-specific variation in seabird bycatch</t>
  </si>
  <si>
    <t>BIOLOGICAL CONSERVATION</t>
  </si>
  <si>
    <t>Age ratio; Incidental mortality; Seabirds; Fisheries management; Sex ratio</t>
  </si>
  <si>
    <t>TOOTHFISH LONGLINE FISHERY; ALBATROSSES DIOMEDEA-EXULANS; NEW-ZEALAND; WANDERING ALBATROSS; BY-CATCH; POPULATION-DYNAMICS; GILLNET FISHERIES; SOUTHERN-OCEAN; D-CHRYSOSTOMA; INDIAN-OCEAN</t>
  </si>
  <si>
    <t>Fisheries bycatch is a major threat to seabird populations, and understanding sex- and age-biases in bycatch rates is important for assessing population-level impacts. We analysed 44 studies to provide the first global assessment of seabird bycatch by sex and age, and used generalised models to investigate the effects of region and fishing method. Bycatch was highly biased by sex (65% of 123 samples) and age (92% of 114 samples), with the majority of samples skewed towards males and adults. Bycatch of adults and males was higher in subpolar regions, whereas there was a tendency for more immatures and females to be killed in subtropical waters. Fishing method influenced sex- and age-ratios only in subpolar regions. Sex- and age-biases are therefore common features of seabird bycatch in global fisheries that appear to be associated largely with differences in at-sea distributions. This unbalanced mortality influences the extent to which populations are impacted by fisheries, which is a key consideration for at-risk species. We recommend that researchers track individuals of different sex and age classes to improve knowledge of their distribution, relative overlap with vessels, and hence susceptibility to bycatch. This information should then be incorporated in ecological risk assessments of effects of fisheries on vulnerable species. Additionally, data on sex, age and provenance of bycaught birds should be collected by fisheries observers in order to identify regions and fleets where bycatch is more likely to result in population-level impacts, and to improve targeting of bycatch mitigation and monitoring of compliance. Crown Copyright (C) 2016 Published by Elsevier Ltd. All rights reserved.</t>
  </si>
  <si>
    <t>[Gianuca, Dimas; Townley, Stuart; Votier, Stephen C.] Univ Exeter, Environm &amp; Sustainabil Inst, Cornwall Campus, Penryn TR10 9EF, England; [Gianuca, Dimas; Phillips, Richard A.] British Antarctic Survey, NERC, Madingley Rd, Cambridge CB3 0ET, England</t>
  </si>
  <si>
    <t>University of Exeter; UK Research &amp; Innovation (UKRI); Natural Environment Research Council (NERC); NERC British Antarctic Survey</t>
  </si>
  <si>
    <t>Gianuca, D (corresponding author), Univ Exeter, Environm &amp; Sustainabil Inst, Cornwall Campus, Penryn TR10 9EF, England.</t>
  </si>
  <si>
    <t>dg286@exeter.ac.uk; raphil@bas.ac.uk; s.b.townley@exeter.ac.uk; s.c.votier@exeter.ac.uk</t>
  </si>
  <si>
    <t>Votier, Stephen/IUO-0154-2023</t>
  </si>
  <si>
    <t>Votier, Stephen/0000-0002-0976-0167; Gianuca, Dimas/0000-0002-7810-9482</t>
  </si>
  <si>
    <t>Sciences Without Borders Program (CNPq/Brazil) [246619/2012-0]; Natural Environment Research Council; Natural Environment Research Council [bas0100025, bas0100035] Funding Source: researchfish; NERC [bas0100025, bas0100035] Funding Source: UKRI</t>
  </si>
  <si>
    <t>Sciences Without Borders Program (CNPq/Brazil);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</si>
  <si>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Stuart Bearhop for providing constructive comments on the manuscript, and Hanna Nevins and Peter Ryan for providing valuable literature. We also thank Fabio Olmos for providing pictures of some of the birds composing our figures, and the three anonymous referees for their helpfull suggestions for improvements to the paper. This work is part funded via a scholarship to DG from the Sciences Without Borders Program (CNPq/Brazil, Proc. 246619/2012-0). The study represents a contribution to the Ecosystems component of the British Antarctic Survey Polar Science for Planet Earth Programme, funded by the Natural Environment Research Council.</t>
  </si>
  <si>
    <t>0006-3207</t>
  </si>
  <si>
    <t>1873-2917</t>
  </si>
  <si>
    <t>BIOL CONSERV</t>
  </si>
  <si>
    <t>Biol. Conserv.</t>
  </si>
  <si>
    <t>10.1016/j.biocon.2016.11.028</t>
  </si>
  <si>
    <t>Biodiversity Conservation; Ecology; Environmental Sciences</t>
  </si>
  <si>
    <t>EI8PH</t>
  </si>
  <si>
    <t>WOS:000392769300008</t>
  </si>
  <si>
    <t>Pearce, M</t>
  </si>
  <si>
    <t>Pearce, Michael</t>
  </si>
  <si>
    <t>AFRICAN AMERICAN MYTHS, MUSIC, ICONS IN MOJISOLA ADEBAYO'S MOJ OF THE ANTARCTIC AND MUHAMMAD ALI AND ME</t>
  </si>
  <si>
    <t>BLACK BRITISH DRAMA: A TRANSNATIONAL STORY</t>
  </si>
  <si>
    <t>[Pearce, Michael] Univ Exeter, Socially Engaged Theatre, Exeter, Devon, England</t>
  </si>
  <si>
    <t>Pearce, M (corresponding author), Univ Exeter, Socially Engaged Theatre, Exeter, Devon, England.</t>
  </si>
  <si>
    <t>ROUTLEDGE</t>
  </si>
  <si>
    <t>2 PARK SQ, MILTON PARK, ABINGDON OX14 4RN, OXFORD, ENGLAND</t>
  </si>
  <si>
    <t>978-1-138-91786-6; 978-1-315-68878-7; 978-1-138-91785-9</t>
  </si>
  <si>
    <t>10.4324/9781315688787</t>
  </si>
  <si>
    <t>Literature, British Isles; Sociology; Theater</t>
  </si>
  <si>
    <t>Literature; Sociology; Theater</t>
  </si>
  <si>
    <t>BL7DL</t>
  </si>
  <si>
    <t>WOS:000454856100005</t>
  </si>
  <si>
    <t>Chenoli, SN; Mazuki, MYA; Turner, J; Abu Samah, A</t>
  </si>
  <si>
    <t>Chenoli, Sheeba Nettukandy; Mazuki, Muhammad Yunus Ahmad; Turner, John; Abu Samah, Azizan</t>
  </si>
  <si>
    <t>Historical and projected changes in the Southern Hemisphere Sub-tropical Jet during winter from the CMIP5 models</t>
  </si>
  <si>
    <t>Subtropical Jet Stream; CMIP5 models; El Nino Southern Oscillations; Poleward shift; Jet core; Historical run; Future projection; Sea surface temperature; ERA Interim</t>
  </si>
  <si>
    <t>ANTARCTIC SEA-ICE; HADLEY-CELL; EL-NINO; SPLIT JET; VARIABILITY; STREAM; ENSO; TRENDS; CLIMATOLOGY; TEMPERATURE</t>
  </si>
  <si>
    <t>We present projected changes in the speed and meridional location of the Subtropical Jet (STJ) during winter using output of the Coupled Model Intercomparison Project Phase 5 (CMIP5) models. We use the ERA-Interim reanalysis dataset to evaluate the historical simulations of the STJ by 18 of the CMIP5 models for the period 1979-2012. Based on the climatology of the STJ from ERA-Interim, we selected the area of study as 70A degrees E-290A degrees E and 20A degrees S-40A degrees S, which is over the Indian and Southern Pacific Oceans, and 300-100 hPa to reduce altitude-related bias. An assessment of the ability of the CMIP5 models in simulating ENSO effects on the jet stream were carried out using standardized zonal wind anomalies at 300-100 hPa. Results show that 47 % of the CMIP5 models used in this study were able to simulate ENSO impacts realistically. In addition, it is more difficult for the models to reproduce the observed intensity of ENSO impacts than the patterns. The historical simulations of the CMIP5 models show a wide range of trends in meridional movement and jet strength, with a multi-model mean of 0.04A degrees A decade(-1) equatorward and 0.42 ms(-1) decade(-1) respectively. In contrast to the ERA-Interim analysis, 94 % of the CMIP5 models show a strengthening of the jet in the historical runs. Variability of the jet strength is significantly (5 %) linked to the sea surface temperature changes over the eastern tropical Pacific. The CMIP5 model projections with Representative Concentration Pathways (RCPs) 4.5 and 8.5 were used for analysis of changes of the STJ for the period 2011-2099. Based on the RCP 4.5 (RCP 8.5) scenario the multi-model mean trend of the 18 CMIP5 models project a statistically significant (5 % level) increase in jet strength by the end of the century of 0.29 ms(-1) decade(-1) (0.60 ms(-1) decade(-1)). Also, the mean meridional location of the jet is projected to shift poleward by 0.006A degrees A decade(-1) (0.042A degrees A decade(-1)) in 2099 during winter, with the only significant (5 %) trend being with RCP 8.5.</t>
  </si>
  <si>
    <t>[Chenoli, Sheeba Nettukandy; Mazuki, Muhammad Yunus Ahmad; Abu Samah, Azizan] Univ Malaya, Inst Postgrad Studies, Natl Antarct Res Ctr, Kuala Lumpur 50603, Malaysia; [Turner, John] British Antarctic Survey, Cambridge, England</t>
  </si>
  <si>
    <t>Universiti Malaya; UK Research &amp; Innovation (UKRI); Natural Environment Research Council (NERC); NERC British Antarctic Survey</t>
  </si>
  <si>
    <t>Chenoli, SN (corresponding author), Univ Malaya, Inst Postgrad Studies, Natl Antarct Res Ctr, Kuala Lumpur 50603, Malaysia.</t>
  </si>
  <si>
    <t>sheeba@um.edu.my</t>
  </si>
  <si>
    <t>/AFT-6420-2022; ABU SAMAH, AZIZAN HJ/B-8295-2010; Chenoli, Sheeba Nettukandy/G-6726-2012</t>
  </si>
  <si>
    <t>/0000-0001-5640-2963</t>
  </si>
  <si>
    <t>University Malaya Research Grant [UMRG RG176-12SUS]; Ministry of Science Technology and Innovation (Malaysia) [GA007-2014FL]; NERC [bas0100032] Funding Source: UKRI; Natural Environment Research Council [bas0100032] Funding Source: researchfish</t>
  </si>
  <si>
    <t>University Malaya Research Grant; Ministry of Science Technology and Innovation (Malaysia)(Ministry of Energy, Science, Technology, Environment and Climate Change (MESTECC), Malaysia); NERC(UK Research &amp; Innovation (UKRI)Natural Environment Research Council (NERC)); Natural Environment Research Council(UK Research &amp; Innovation (UKRI)Natural Environment Research Council (NERC))</t>
  </si>
  <si>
    <t>This study was funded by University Malaya Research Grant (UMRG RG176-12SUS) and Ministry of Science Technology and Innovation (Malaysia) Grant Flag Ship (GA007-2014FL). We acknowledge the World Climate Research Programme's Working Group on Coupled Modelling, which is responsible for CMIP, and we thank the climate modelling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European Centre for Medium Range Weather Forecasting is thanked for providing the ERA-Interim datasets. Authors would also like to thank Mr Ooi See Hai, National Antarctic Research Center for his constructive suggestions and comments.</t>
  </si>
  <si>
    <t>10.1007/s00382-016-3102-y</t>
  </si>
  <si>
    <t>WOS:000392307300038</t>
  </si>
  <si>
    <t>Lei, RB; Tian-Kunze, X; Li, BR; Heil, P; Wang, J; Zeng, JB; Tian, ZX</t>
  </si>
  <si>
    <t>Lei, Ruibo; Tian-Kunze, Xiangshan; Li, Bingrui; Heil, Petra; Wang, Jia; Zeng, Junbao; Tian, Zhongxiang</t>
  </si>
  <si>
    <t>Characterization of summer Arctic sea ice morphology in the 135°-175°W sector using multi-scale methods</t>
  </si>
  <si>
    <t>COLD REGIONS SCIENCE AND TECHNOLOGY</t>
  </si>
  <si>
    <t>Sea ice; Concentration; Thickness; Melt pond; Morphology; Arctic</t>
  </si>
  <si>
    <t>PHYSICAL-CHARACTERISTICS; PACIFIC SECTOR; OCEAN; THICKNESS; COVER</t>
  </si>
  <si>
    <t>In summer 2014, sea ice morphological characteristics were investigated in the 135 degrees-175 degrees W sector of the Arctic Ocean using in situ, shipborne, and remote sensing measurements. Sea ice in this sector was deformed and compact compared to previous observations. The average ice area in the region (70 degrees-82.5 degrees N, 135 degrees-175 degrees W) was 7.6 x 10(5) km(2) for 29 July through 6 September 2014, the fourth largest record between 2003 and 2014. This can be attributed to the enhanced multiyear sea ice inflow from north of the Canadian Arctic Archipelago from September 2013 to August 2014. Multiyear ice coverage in the study region on 30 April 2014 was 55%, which was larger than the values in 2005-2013. During the melt season of 2014, the Arctic Dipole had a positive anomaly, associated with enhanced southerly wind. In summer 2014 the marginal ice zone exhibited a distinct ice retreat, whereas the pack ice zone (PIZ) showed strong persistence due to the large coverage of multiyear ice. The northward retreat of the PIZ boundary was &lt;100 km from late July through early September 2014. In the PIZ of 76-80.5 degrees N, average ice thickness weighted by ice concentration, obtained by shipborne measurements in August 2014 was 0.54m thicker than that obtained in August 2010 due to enhanced ice deformation and less open waters in 2014. At 81 degrees N, sea ice with modal thickness of 1.48 m reached thermodynamic balance by late August 2014, which was much earlier than that in 2010. (C) 2016 Elsevier B.V. All rights reserved.</t>
  </si>
  <si>
    <t>[Lei, Ruibo; Li, Bingrui] State Ocean Adm, Key Lab Polar Sci, Polar Res Inst China, Shanghai 200136, Peoples R China; [Tian-Kunze, Xiangshan] Univ Hamburg, Inst Oceanog, D-20146 Hamburg, Germany; [Heil, Petra] Australian Antarctic Div, Kingston, Tas 7050, Australia; [Heil, Petra] Univ Tasmania, Antarctic Climate &amp; Ecosyst Cooperat Res Ctr, Private Bag 80, Hobart, Tas 7001, Australia; [Wang, Jia] NOAA, Great Lakes Environm Res Lab, Ann Arbor, MI 48108 USA; [Zeng, Junbao] Chinese Acad Sci, Shenyang Inst Automat, Shenyang 110016, Liaoning, Peoples R China; [Tian, Zhongxiang] Natl Marine Environm Forecasting Ctr, Beijing 100081, Peoples R China</t>
  </si>
  <si>
    <t>Polar Research Institute of China; University of Hamburg; Australian Antarctic Division; University of Tasmania; Antarctic Climate &amp; Ecosystems Cooperative Research Centre (ACE CRC); National Oceanic Atmospheric Admin (NOAA) - USA; Chinese Academy of Sciences; Shenyang Institute of Automation, CAS; National Marine Environmental Forecasting Center</t>
  </si>
  <si>
    <t>Lei, RB (corresponding author), State Ocean Adm, Key Lab Polar Sci, Polar Res Inst China, Shanghai 200136, Peoples R China.</t>
  </si>
  <si>
    <t>leiruibo@pric.org.cn</t>
  </si>
  <si>
    <t>Heil, Petra/0000-0003-2078-0342; Tian-Kunze, Xiangshan/0000-0001-8270-1924</t>
  </si>
  <si>
    <t>National Natural Science Foundation of China [41476170]; Chinese Polar Environment Comprehensive Investigation and Assessment Programs [CHINARE2015-03-01/04-03/04-04]; NOAA CPO Office of Arctic Research through RUSALCA project [1837]; Antarctic Climate and Ecosystems CRC program; Australian Antarctic Science project [4301]</t>
  </si>
  <si>
    <t>National Natural Science Foundation of China(National Natural Science Foundation of China (NSFC)); Chinese Polar Environment Comprehensive Investigation and Assessment Programs; NOAA CPO Office of Arctic Research through RUSALCA project(National Oceanic Atmospheric Admin (NOAA) - USA); Antarctic Climate and Ecosystems CRC program(Australian GovernmentDepartment of Industry, Innovation and ScienceCooperative Research Centres (CRC) Programme); Australian Antarctic Science project</t>
  </si>
  <si>
    <t>This work was financially supported by the National Natural Science Foundation of China (No. 41476170) and Chinese Polar Environment Comprehensive Investigation and Assessment Programs (Nos. CHINARE2015-03-01/04-03/04-04). JW was supported by the NOAA CPO Office of Arctic Research through RUSALCA project, which was GLERL Contribution (No. 1837). PH was supported by the Antarctic Climate and Ecosystems CRC program. This work contributes to Australian Antarctic Science project (No. 4301).</t>
  </si>
  <si>
    <t>0165-232X</t>
  </si>
  <si>
    <t>1872-7441</t>
  </si>
  <si>
    <t>COLD REG SCI TECHNOL</t>
  </si>
  <si>
    <t>Cold Reg. Sci. Tech.</t>
  </si>
  <si>
    <t>10.1016/j.coldregions.2016.10.009</t>
  </si>
  <si>
    <t>Engineering, Environmental; Engineering, Civil; Geosciences, Multidisciplinary</t>
  </si>
  <si>
    <t>Engineering; Geology</t>
  </si>
  <si>
    <t>EC4OR</t>
  </si>
  <si>
    <t>WOS:000388113000012</t>
  </si>
  <si>
    <t>Chou, Y; Lee, DJ; Zhang, D</t>
  </si>
  <si>
    <t>Liu, M; Chen, H; Vincze, M</t>
  </si>
  <si>
    <t>Chou, Yao; Lee, Dah Jye; Zhang, Dong</t>
  </si>
  <si>
    <t>Edge Detection Using Convolutional Neural Networks for Nematode Development and Adaptation Analysis</t>
  </si>
  <si>
    <t>COMPUTER VISION SYSTEMS, ICVS 2017</t>
  </si>
  <si>
    <t>11th International Conference on Computer Vision Systems (ICVS)</t>
  </si>
  <si>
    <t>JUL 10-13, 2017</t>
  </si>
  <si>
    <t>Shenzhen, PEOPLES R CHINA</t>
  </si>
  <si>
    <t>Edge detection; Convolutional Neural Networks; Deep learning; Regression</t>
  </si>
  <si>
    <t>The Antarctic nematode Plectus Murrayi is an excellent model organism for the study of stress and molecular mechanisms. Biologists analyze its development and adaptation by measuring the body length and volume. This work proposes an edge detection algorithm to automate this labor-intensive task. Traditional edge detection techniques use predefined filters to calculate the edge strength and apply a threshold to it to identify edge pixels. These classic edge detection techniques work independently of the image data and their results are sometimes inconsistent when edge contrast varies. Convolutional Neural Networks (CNNs) are regarded as powerful visual models that yield hierarchies of features learned from image data, and perform well for edge detection. Most CNNs based edge detection methods rely on classification networks to determine if an edge point exists at the center of a small image patch. This patch-by-patch classification approach is slow and inconsistent. In this paper, we propose an efficient CNN-based regression network that is able to produce accurate edge detection result. This network learns a direct end-to-end mapping between the original image and the desired edge image. This image-to-edge mapping is represented as a CNN that takes the original image as the input and outputs its edge map. The feature-based mapping rules of the network are learned directly from the training images and their accompanying ground truth. Experimental results show that this architecture achieves accurate edge detection and is faster than other CNN-based methods.</t>
  </si>
  <si>
    <t>[Chou, Yao; Lee, Dah Jye] Brigham Young Univ, Elect &amp; Comp Engn, Provo, UT 84602 USA; [Zhang, Dong] Sun Yat Sen Univ, Sch Elect &amp; Informat Technol, Guangzhou, Guangdong, Peoples R China; [Zhang, Dong] SYSU CMU Shunde Int Joint Res Inst, Shunde, Guangdong, Peoples R China</t>
  </si>
  <si>
    <t>Brigham Young University; Sun Yat Sen University</t>
  </si>
  <si>
    <t>Lee, DJ (corresponding author), Brigham Young Univ, Elect &amp; Comp Engn, Provo, UT 84602 USA.</t>
  </si>
  <si>
    <t>yaochou@byu.edu; djlee@byu.edu; zhangd@mail.sysu.edu.cn</t>
  </si>
  <si>
    <t>Chou, Yao/ABH-5192-2020</t>
  </si>
  <si>
    <t>NVIDIA</t>
  </si>
  <si>
    <t>NVIDIA(Nvidia Corporation)</t>
  </si>
  <si>
    <t>We would like to thank Ms. Xia Xue and the Biology Department at Brigham Young University for preparing and allowing us to use the nematode images for our experiments and NVIDIA for supporting our research by donating GPU.</t>
  </si>
  <si>
    <t>978-3-319-68345-4; 978-3-319-68344-7</t>
  </si>
  <si>
    <t>10.1007/978-3-319-68345-4_21</t>
  </si>
  <si>
    <t>Computer Science, Theory &amp; Methods</t>
  </si>
  <si>
    <t>BM4IC</t>
  </si>
  <si>
    <t>WOS:000463352600021</t>
  </si>
  <si>
    <t>Pelorosso, B; Bonadiman, C; Coltorti, M; Melchiorre, M; Giacomoni, PP; Ntaflos, T; Gregoire, M; Benoit, M</t>
  </si>
  <si>
    <t>Bianchini, G; Bodinier, JL; Braga, R; Wilson, M</t>
  </si>
  <si>
    <t>Pelorosso, Beatrice; Bonadiman, Costanza; Coltorti, Massimo; Melchiorre, Massimiliano; Giacomoni, Pier Paolo; Ntaflos, Theodoros; Gregoire, Michel; Benoit, Mathieu</t>
  </si>
  <si>
    <t>Role of percolating melts in Antarctic subcontinental lithospheric mantle: New insights from Handler Ridge mantle xenoliths (northern Victoria Land, Antarctica)</t>
  </si>
  <si>
    <t>CRUST-MANTLE AND LITHOSPHERE-ASTHENOSPHERE BOUNDARIES: INSIGHTS FROM XENOLITHS, OROGENIC DEEP SECTIONS, AND GEOPHYSICAL STUDIES</t>
  </si>
  <si>
    <t>Geological Society of America Special Papers</t>
  </si>
  <si>
    <t>SPINEL OXYGEN GEOBAROMETER; TRACE-ELEMENT COMPOSITION; PERIDOTITE XENOLITHS; ORTHO-PYROXENE; TRANSANTARCTIC MOUNTAINS; EXPERIMENTAL CALIBRATION; METASOMATIC PROCESSES; COMPUTER-PROGRAM; PACIFIC MARGIN; BASALTIC MELTS</t>
  </si>
  <si>
    <t>The petrology of anhydrous peridotite xenoliths hosted in the Cenozoic alkaline volcanic rocks from Handler Ridge (northern Victoria Land, Antarctica) provides new constraints on the characterization of the subcontinental lithospheric mantle beneath the West Antarctic Rift. For most samples, the temperature of equilibration was calculated on the basis of Fe/Mg partitioning among olivine, orthopyroxene, and spinel, at a pressure of 15 kbar. These results revealed a temperature of similar to 1030 degrees C and fO(2) ranging from -0.26 to +0.39 with respect to fayalite-magnetite-quartz buffer (Delta FMQ). Compared with other anhydrous and hydrated mantle xenolith suites occurring in northern and southern Victoria Land, these xenoliths represent the highest-temperature and most-oxidized conditions. On the basis of major-element modeling, we suggest that this portion of the mantle represents a residuum after 7%-18% partial melting. Geochemical and isotopic compositional evidence is indicative of significant metasomatism caused by an alkaline melt almost entirely overprinting the residual peridotite composition within a period of 10(2)-10(3) yr.</t>
  </si>
  <si>
    <t>[Pelorosso, Beatrice; Bonadiman, Costanza; Coltorti, Massimo; Giacomoni, Pier Paolo] Univ Ferrara, Dipartimento Fis &amp; Sci Terra, I-44122 Ferrara, FE, Italy; [Melchiorre, Massimiliano] CSIC, Inst Earth Sci Jaume Almera ICTJA, Grp Dynam Lithosphere, Luis Sole &amp; Sabaris S-N, Barcelona 08028, Spain; [Ntaflos, Theodoros] Univ Vienna, Dept Lithospher Res, A-1090 Vienna, Austria; [Gregoire, Michel; Benoit, Mathieu] Univ Paul Sabatier, Inst Rech Dev IRD, Ctr Natl Rech Sci, Geosci Environm Toulouse GET, F-31400 Toulouse, France</t>
  </si>
  <si>
    <t>University of Ferrara; Consejo Superior de Investigaciones Cientificas (CSIC); CSIC - Geociencias Barcelona (GEO3BCN); University of Vienna; Institut de Recherche pour le Developpement (IRD); Centre National de la Recherche Scientifique (CNRS); Universite de Toulouse; Universite Toulouse III - Paul Sabatier</t>
  </si>
  <si>
    <t>Pelorosso, B (corresponding author), Univ Ferrara, Dipartimento Fis &amp; Sci Terra, I-44122 Ferrara, FE, Italy.</t>
  </si>
  <si>
    <t>Gregoire, Michel/B-5738-2008</t>
  </si>
  <si>
    <t>Gregoire, Michel/0000-0001-9196-876X</t>
  </si>
  <si>
    <t>Programma Nazionale Ricerche in Antartide (PNRA)</t>
  </si>
  <si>
    <t>This work was funded by Programma Nazionale Ricerche in Antartide (PNRA) projects; in particular, the samples were collected during the XXVII Italian expedition in Antarctica. Analyses were possible thanks to the PNRA project 2013-2015, Hydrous Phase Stability in the Lithospheric Mantle of Large Continental Rift Systems: A Petrological/Experimental Study of the Mantle Xenoliths and Lavas of the Northern Victoria Land, coordinator of the project: Costanza Bonadiman. We are grateful to Olivier Bruguier for his assistance during laser ablation-inductively coupled plasma-mass spectrometry analysis. Constructive reviews of this manuscript by Hannah Hughes, Maurizio Mazzucchelli, and an anonymous reviewer are gratefully acknowledged. We thank the Geological Society of America Special Paper Editors Marjorie Wilson and JeanLouis Bodinier for their insightful comments and criticism, which dramatically improved the original manuscript.</t>
  </si>
  <si>
    <t>GEOLOGICAL SOC AMER INC</t>
  </si>
  <si>
    <t>3300 PENROSE PL, PO BOX 9140, BOULDER, CO 80301 USA</t>
  </si>
  <si>
    <t>0072-1077</t>
  </si>
  <si>
    <t>978-0-8137-2526-0</t>
  </si>
  <si>
    <t>GEOL SOC AM SPEC PAP</t>
  </si>
  <si>
    <t>10.1130/2017.2526(07)</t>
  </si>
  <si>
    <t>Geochemistry &amp; Geophysics; Geology</t>
  </si>
  <si>
    <t>BP1MI</t>
  </si>
  <si>
    <t>WOS:000540369200007</t>
  </si>
  <si>
    <t>VanDeVijver, B; Tudesque, L; Ector, L</t>
  </si>
  <si>
    <t>Diatom Taxonomy and Ecology: From France to the Sub-Antarctic Islands</t>
  </si>
  <si>
    <t>DIATOM TAXONOMY AND ECOLOGY: FROM FRANCE TO THE SUB-ANTARCTIC ISLANDS</t>
  </si>
  <si>
    <t>Nova Hedwigia Beihefte</t>
  </si>
  <si>
    <t>J CRAMER</t>
  </si>
  <si>
    <t>1438-9134</t>
  </si>
  <si>
    <t>978-3-443-51068-8</t>
  </si>
  <si>
    <t>NOVA HEDWIG BEIH</t>
  </si>
  <si>
    <t>Plant Sciences; Ecology; Marine &amp; Freshwater Biology</t>
  </si>
  <si>
    <t>Plant Sciences; Environmental Sciences &amp; Ecology; Marine &amp; Freshwater Biology</t>
  </si>
  <si>
    <t>BN0RQ</t>
  </si>
  <si>
    <t>WOS:000473347500024</t>
  </si>
  <si>
    <t>Ector, L; Van de Vijver, B</t>
  </si>
  <si>
    <t>Ector, Luc; Van de Vijver, Bart</t>
  </si>
  <si>
    <t>Tribute to Prof. Dr. Rene Le Cohu: from Brittany to the Pyrenees passing by the Kerguelen Islands</t>
  </si>
  <si>
    <t>Biographical-Item; Book Chapter</t>
  </si>
  <si>
    <t>[Ector, Luc] Luxembourg Inst Sci &amp; Technol LIST, Environm Res &amp; Innovat Dept ERIN, 41 Rue Brill, L-4422 Luxembourg, Luxembourg; [Van de Vijver, Bart] Bot Garden Meise, Res Dept, Nieuwelaan 38, B-1860 Meise, Belgium; [Van de Vijver, Bart] Univ Antwerp, Dept Biol, ECOBE, Univ Pl 1, B-2610 Antwerp, Belgium</t>
  </si>
  <si>
    <t>Luxembourg Institute of Science &amp; Technology; University of Antwerp</t>
  </si>
  <si>
    <t>Ector, L (corresponding author), Luxembourg Inst Sci &amp; Technol LIST, Environm Res &amp; Innovat Dept ERIN, 41 Rue Brill, L-4422 Luxembourg, Luxembourg.</t>
  </si>
  <si>
    <t>luc.ector@list.lu</t>
  </si>
  <si>
    <t>10.1127/1438-9134/2017/003</t>
  </si>
  <si>
    <t>WOS:000473347500001</t>
  </si>
  <si>
    <t>Beauger, A; Wetzel, CE; Voldoire, O; Garreau, A; Ector, L</t>
  </si>
  <si>
    <t>Beauger, Aude; Wetzel, Carlos E.; Voldoire, Olivier; Garreau, Alexandre; Ector, Luc</t>
  </si>
  <si>
    <t>Morphology and ecology of Craticula lecohui sp. nov. (Bacillariophyceae) from hydrothermal springs (Puy-de-Dome, Massif Central, France) and comparison with similar Craticula species</t>
  </si>
  <si>
    <t>Epilithic diatoms; hot springs; naviculoid diatom; scanning electron microscopy; ultrastructure</t>
  </si>
  <si>
    <t>DIATOM ASSEMBLAGES; SELLAPHORACEAE; COMBINATIONS; PLANT</t>
  </si>
  <si>
    <t>Light ( LM) and scanning electron microscope ( SEM) observations on a new species of the diatom genus Craticula from springs of the Massif Central ( France) are presented. The new species shows some similarities with species of Craticula previously described from other parts of Europe. However, based on morphology, the new species shows particular features that have not been described previously in the genus as, for example, the observed areolae pattern: clusters of 2 to 4, sometimes separated by a single areola. Thus, this species is apparently not closely related to the other Craticula taxa. It was present in two springs, 150 km apart. The ecological preferences of the species are also briefly discussed. The Hustedt type material of Navicula buderi was also investigated and illustrated using SEM.</t>
  </si>
  <si>
    <t>[Beauger, Aude; Voldoire, Olivier; Garreau, Alexandre] Univ Clermont Auvergne, CNRS, GEOLAB, F-63000 Clermont Ferrand, France; [Wetzel, Carlos E.; Ector, Luc] Luxembourg Inst Sci &amp; Technol LIST, Dept Environm Res &amp; Innovat ERIN, 41 Rue Brill, L-4422 Belvaux, Luxembourg</t>
  </si>
  <si>
    <t>Centre National de la Recherche Scientifique (CNRS); Universite Clermont Auvergne (UCA); Universite de Limoges; Luxembourg Institute of Science &amp; Technology</t>
  </si>
  <si>
    <t>Beauger, A (corresponding author), Univ Clermont Auvergne, CNRS, GEOLAB, F-63000 Clermont Ferrand, France.</t>
  </si>
  <si>
    <t>aude.beauger@univ-bpclermont.fr</t>
  </si>
  <si>
    <t>10.1127/1438-9134/2017/007</t>
  </si>
  <si>
    <t>WOS:000473347500002</t>
  </si>
  <si>
    <t>Majewska, R; De Stefano, M; Van de Vijver, B</t>
  </si>
  <si>
    <t>Majewska, Roksana; De Stefano, Mario; Van de Vijver, Bart</t>
  </si>
  <si>
    <t>Labellicula lecohuiana, a new epizoic diatom species living on green turtles in Costa Rica</t>
  </si>
  <si>
    <t>Bacillariophyta; epizoic diatoms; Labelllicula; new species; Olifantiella; sea turtles</t>
  </si>
  <si>
    <t>GENUS OLIFANTIELLA BACILLARIOPHYTA; CHELONIA-MYDAS; SP-NOV.; GENERA; ISLAND</t>
  </si>
  <si>
    <t>A new Labellicula species, L. lecohuiana Majewska &amp; Van de Vijver sp. nov., was observed living epizoically on the carapaces of green sea turtles in Costa Rican coastal waters. The new species, showing a narrowly lanceolate valve outline, is characterized by uniseriate striae composed of one large macroareola, a rather simple raphe structure with hooked terminal raphe fissures, the presence of two globular structures in the valve interior covering the isolated pore and a cingulum composed of several open, doubly perforated copulae. The new taxon can be distinguished from the only other Labellicula species known to date, the sub-Antarctic L. subantarctica, by differences in raphe structure and valve outline. Labellicula lecohuiana lacks both the distinct bucinoportula and the marginal canal typical of the genus Olifantiella and thus, the latter is excluded as the host genus for the new taxon.</t>
  </si>
  <si>
    <t>[Majewska, Roksana] North West Univ, Sch Biol Sci, Unit Environm Sci &amp; Management, Private Bag X6001, ZA-2520 Potchefstroom, South Africa; [Majewska, Roksana] South African Inst Aquat Biodivers SAIAB, Private Bag 1015, ZA-6140 Grahamstown, South Africa; [De Stefano, Mario] Univ Campania Luigi Vanvitelli, Dept Environm Biol &amp; Pharmaceut Sci &amp; Technol, Via Vivaldi 43, I-81100 Caserta, Italy; [Van de Vijver, Bart] Bot Garden Meise, Dept Bryophyta &amp; Thallophyta, Nieuwelaan 38, B-1860 Meise, Belgium; [Van de Vijver, Bart] Univ Antwerp, Dept Biol, ECOBE, Univ Pl 1, B-2610 Antwerp, Belgium</t>
  </si>
  <si>
    <t>North West University - South Africa; National Research Foundation - South Africa; South African Institute for Aquatic Biodiversity; Universita della Campania Vanvitelli; University of Antwerp</t>
  </si>
  <si>
    <t>Majewska, R (corresponding author), North West Univ, Sch Biol Sci, Unit Environm Sci &amp; Management, Private Bag X6001, ZA-2520 Potchefstroom, South Africa.;Majewska, R (corresponding author), South African Inst Aquat Biodivers SAIAB, Private Bag 1015, ZA-6140 Grahamstown, South Africa.</t>
  </si>
  <si>
    <t>roksana.majewska@nwu.ac.za</t>
  </si>
  <si>
    <t>Majewska, Roksana/P-1280-2015</t>
  </si>
  <si>
    <t>Majewska, Roksana/0000-0003-2681-4304</t>
  </si>
  <si>
    <t>10.1127/1438-9134/2017/023</t>
  </si>
  <si>
    <t>WOS:000473347500003</t>
  </si>
  <si>
    <t>Lange-Bertalot, H; Fuhrmann, A</t>
  </si>
  <si>
    <t>Lange-Bertalot, Horst; Fuhrmann, Andre</t>
  </si>
  <si>
    <t>Diploneis lecohuiana sp. n., D. fereparma sp. n., and D. parma Cleve: Rare diatoms (Bacillariophyta) in Central European freshwater</t>
  </si>
  <si>
    <t>Freshwater; Diploneis; species-diversity; rarity; frequency; abundance; Europe; Alps</t>
  </si>
  <si>
    <t>Numerous freshwater Diploneis species have been misidentified in the past, thus masking the high species-richness of populations by inadequately few species names. A striking example is Diploneis parma Cleve. D. parma sensu stricto is in fact a rare species known from Finland and Japan. It has recently also been encountered in a pond in a Central European region of medium altitude mountains of volcanic origin. Presumably equally rare are the similar taxa D. lecohuiana and D. fereparma, both originating from oligotrophic Alpine lakes. They are proposed here as species new to science.</t>
  </si>
  <si>
    <t>[Lange-Bertalot, Horst] Goethe Univ Frankfurt, Inst Ecol Evolut Divers, D-60439 Frankfurt, Germany; [Fuhrmann, Andre] Goethe Univ Frankfurt, Fachbereich 8, D-60629 Frankfurt, Germany</t>
  </si>
  <si>
    <t>Goethe University Frankfurt; Goethe University Frankfurt</t>
  </si>
  <si>
    <t>Fuhrmann, A (corresponding author), Goethe Univ Frankfurt, Fachbereich 8, D-60629 Frankfurt, Germany.</t>
  </si>
  <si>
    <t>fuhrmann@em.uni-frankfurt.de</t>
  </si>
  <si>
    <t>10.1127/1438-9134/2017/033</t>
  </si>
  <si>
    <t>WOS:000473347500004</t>
  </si>
  <si>
    <t>Riaux-Gobin, C; Compere, P; Straub, F; Ector, L; Taxböck, L</t>
  </si>
  <si>
    <t>Riaux-Gobin, Catherine; Compere, Pierre; Straub, Francois; Ector, Luc; Taxbock, Lukas</t>
  </si>
  <si>
    <t>Cocconeis voigtii F.Meister (Bacillariophyta) and other species from Meister's and Voigt's Nagasaki (Japan) material</t>
  </si>
  <si>
    <t>Benthic marine diatoms; Cocconeis; Meister; Voigt; Japan material</t>
  </si>
  <si>
    <t>SOUTH-PACIFIC</t>
  </si>
  <si>
    <t>Meister ( 1935, 1937) described from a marine sample ('Nagasaki, on shell' from Nagasaki, Japan, collected by Manfred Voigt in 1933-1934) numerous new diatoms ( Bacillariophyta), among which were nine species pertaining to the genus Cocconeis. Several of these taxa were originally succinctly described and often only illustrated by their sternum valve ( SV). Afterwards, most of these new taxa were never cited again in the literature. Cocconeis voigtii is typified here, its original diagnosis amended with the description of its raphe valve ( RV) and possible synonymies considered. A taxon from which the SV shows similarities with Cocconeis callosa, except for its stria density, is discussed and its relationships with C. sigmoradians envisaged. Cocconeis delicata, originally described by A. W. F. Schmidt, is reinvestigated. Several other taxa, present in the material from Nagasaki, and rarely mentioned in the literature, were noticed neither by Meister nor by Voigt in spite of their unique features, i.e., Cocconeis cyclophora var. decora and a new variety, Cocconeis cyclophora var. meisteri var. nov. described herein.</t>
  </si>
  <si>
    <t>[Riaux-Gobin, Catherine] UPVD, CNRS, EPHE, PSL,CRIOBE,USR 3278, F-66000 Perpignan, France; [Riaux-Gobin, Catherine] Lab Excellence CORAIL, F-66000 Perpignan, France; [Compere, Pierre] Bot Garden Meise, B-1860 Meise, Belgium; [Straub, Francois] PhycoEco, CH-2300 La Chaux De Fonds, Switzerland; [Ector, Luc] Luxembourg Inst Sci &amp; Technol LIST, Environm Res &amp; Innovat Dept ERIN, L-4422 Belvaux, Luxembourg; [Taxbock, Lukas] Univ Zurich, Inst Systemat Bot, CH-8000 Zurich, Switzerland; [Straub, Francois; Taxbock, Lukas] Assoc Suisse Etud Microflore ASEM, Schweizer Arbeitsgemeinschaft Mikroflora SAM, Geneva, Switzerland</t>
  </si>
  <si>
    <t>Centre National de la Recherche Scientifique (CNRS); CNRS - Institute of Ecology &amp; Environment (INEE); Universite PSL; Ecole Pratique des Hautes Etudes (EPHE); Luxembourg Institute of Science &amp; Technology; University of Zurich</t>
  </si>
  <si>
    <t>Riaux-Gobin, C (corresponding author), UPVD, CNRS, EPHE, PSL,CRIOBE,USR 3278, F-66000 Perpignan, France.;Riaux-Gobin, C (corresponding author), Lab Excellence CORAIL, F-66000 Perpignan, France.</t>
  </si>
  <si>
    <t>catherine.gobin@univ-perp.fr</t>
  </si>
  <si>
    <t>10.1127/1438-9134/2017/043</t>
  </si>
  <si>
    <t>WOS:000473347500005</t>
  </si>
  <si>
    <t>Maidana, NI; Morales, EA; Bradbury, JP; Schäbitz, F; Houk, V</t>
  </si>
  <si>
    <t>Maidana, Nora I.; Morales, Eduardo A.; Bradbury, J. Platt; Schabitz, Frank; Houk, Vaclav</t>
  </si>
  <si>
    <t>A new order and family of diatoms: Arcanodiscales, Arcanodiscaceae (Bacillariophyta) to accommodate Arcanodiscus platti gen. nov. et sp. nov. from the Argentinian Patagonia</t>
  </si>
  <si>
    <t>Bacillariophyceae; centric diatoms; lakes; maar lake; Paleolimnology; sediments; South America</t>
  </si>
  <si>
    <t>A new diatom, Arcanodiscus platti gen. nov. et sp. nov., is described from the Argentinian Patagonia with a novel combination of features. Frustules are robust, strongly silicified, with large and thick central hyaline area and thick valve mantle, under the valve edge often with external parallel undulations. Valves without labiate or strutted processes, the valve mantle areolae internally with rotae; a combination of features that has not been described before. The new taxon is morphologically closely related to several representatives of the genus Melosira C. A. Agardh, e. g., M. robusta Hustedt ( Houk comm.). However, it differs from them by the discoid frustules solitary or forming short filaments, non-loculate, tubular areolae occluded internally by rotae, lacking of processes, but having a single special round apperture, herein termed the portula. Therefore, a new order and family, Arcanodiscales ord. nov. and Arcanodiscaceae fam. nov., are here described to allocate the genus Arcanodiscus gen. nov. Morphological details of the new species, based on a combined light ( LM) and scanning electron ( SEM) microscopy, as well as ecological aspects, are discussed in the light of available information.</t>
  </si>
  <si>
    <t>[Maidana, Nora I.] Univ Buenos Aires, Fac Ciencias Exactas &amp; Nat, Dept Biodiversidad &amp; Biol Expt, Buenos Aires, DF, Argentina; [Maidana, Nora I.] UBA, CONICET, IBBEA, Buenos Aires, DF, Argentina; [Morales, Eduardo A.] Univ Evora, Inst Ciencias Terra, Lab Agua, Rua Barba Rala 1,Parque Ind Tecnol Evora, P-7005345 Evora, Portugal; [Schabitz, Frank] Univ Cologne, Seminar Geog &amp; Ihre Didakt, Gronewaldstr 2, D-50931 Cologne, Germany; [Houk, Vaclav] Czech Acad Sci, Inst Bot, Trebon, Czech Republic</t>
  </si>
  <si>
    <t>University of Buenos Aires; University of Buenos Aires; Consejo Nacional de Investigaciones Cientificas y Tecnicas (CONICET); University of Evora; University of Cologne; Czech Academy of Sciences; Institute of Botany of the Czech Academy of Sciences</t>
  </si>
  <si>
    <t>Maidana, NI (corresponding author), Univ Buenos Aires, Fac Ciencias Exactas &amp; Nat, Dept Biodiversidad &amp; Biol Expt, Buenos Aires, DF, Argentina.;Maidana, NI (corresponding author), UBA, CONICET, IBBEA, Buenos Aires, DF, Argentina.</t>
  </si>
  <si>
    <t>noramaidana@gmail.com</t>
  </si>
  <si>
    <t>Houk, Václav/H-1592-2014; Schäbitz, Frank/ABE-5116-2020; Morales, Eduardo A./AAE-9304-2021</t>
  </si>
  <si>
    <t>Schäbitz, Frank/0000-0003-3879-9308; Morales, Eduardo A./0000-0001-5998-4831</t>
  </si>
  <si>
    <t>10.1127/1438-9134/2017/063</t>
  </si>
  <si>
    <t>WOS:000473347500006</t>
  </si>
  <si>
    <t>Morales, EA; Rivera, SF; Wetzel, CE; Hamilton, PB; Houk, V; Ector, L</t>
  </si>
  <si>
    <t>Morales, Eduardo A.; Rivera, Sinziana F.; Wetzel, Carlos E.; Hamilton, Paul B.; Houk, Vaclav; Ector, Luc</t>
  </si>
  <si>
    <t>A new centric diatom belonging to the Cyclotella meneghiniana Kutz. species complex (Bacillariophyta): Cyclotella longirimoportulata from Alalay Pond, Cochabamba, Bolivia</t>
  </si>
  <si>
    <t>Bacillariophyceae; contaminated urban water body; diatom; new species; shallow eutrophic pond; South America</t>
  </si>
  <si>
    <t>CARAJAS NATIONAL FOREST; NOV BACILLARIOPHYCEAE; ALPINE STREAMS; LAKE TITICACA; SOUTH-AMERICA; CLOUD FOREST; ALTIPLANO; COSCINODISCOPHYCEAE; AMAZONIA</t>
  </si>
  <si>
    <t>A new centric diatom, Cyclotella longirimoportulata sp. nov., is described from Alalay Pond, a shallow, eutrophic, urban ecosystem in the city of Cochabamba, Bolivia. Following the morphological species concept, this diatom is very similar to species in the Cyclotella meneghiniana species complex, but differs in its epiphytic habit and, more characteristically, in the morphological appearance and length of the rimoportula. The latter structure is long-stalked, cylindrical and the terminal slit opens obliquely or perpendicularly on the side, rather than having a flat stalk and opening at the top as in other species of the C. meneghiniana complex. The length of the rimoportula in the new taxon is variable, but it is longer than that of C. meneghiniana of the type or some other populations depicted in the literature. The restricted range of variation in the rimoportulae in the new taxon has also been reported for other members of the C. meneghiniana species complex and, thus, it seems to be a stable and good separating character among morphologically closely related species within this group. Morphological characteristics, as well as the ecological preference of the new taxon are discussed based on published and newly collected data.</t>
  </si>
  <si>
    <t>[Morales, Eduardo A.; Rivera, Sinziana F.] Univ Evora, Inst Ciencias Terra, Lab Agua, Rua Barba Rala 1,Parque Ind Tecnol Evora, P-7005345 Evora, Portugal; [Wetzel, Carlos E.; Ector, Luc] Luxembourg Inst Sci &amp; Technol LIST, Environm Res &amp; Innovat Dept ERIN, 41 Rue Brill, L-4422 Belvaux, Luxembourg; [Hamilton, Paul B.] Canadian Museum Nat, Div Res, POB 3443, Ottawa, ON K1P 6P4, Canada; [Houk, Vaclav] Czech Acad Sci, Inst Bot, Vvi, Dukelska 135, Trebon 37982, Czech Republic</t>
  </si>
  <si>
    <t>University of Evora; Luxembourg Institute of Science &amp; Technology; Czech Academy of Sciences; Institute of Botany of the Czech Academy of Sciences</t>
  </si>
  <si>
    <t>Morales, EA (corresponding author), Univ Evora, Inst Ciencias Terra, Lab Agua, Rua Barba Rala 1,Parque Ind Tecnol Evora, P-7005345 Evora, Portugal.</t>
  </si>
  <si>
    <t>edu_mora123@outlook.com</t>
  </si>
  <si>
    <t>Morales, Eduardo A./AAE-9304-2021; Houk, Václav/H-1592-2014</t>
  </si>
  <si>
    <t>Morales, Eduardo A./0000-0001-5998-4831;</t>
  </si>
  <si>
    <t>10.1127/1438-9134/2017/073</t>
  </si>
  <si>
    <t>WOS:000473347500007</t>
  </si>
  <si>
    <t>Maidana, NI; Aponte, GA; Fey, M; Schäbitz, F; Morales, EA</t>
  </si>
  <si>
    <t>Maidana, Nora I.; Aponte, Gustavo A.; Fey, Michael; Schaebitz, Frank; Morales, Eduardo A.</t>
  </si>
  <si>
    <t>Cyclostephanos salsae and Placoneis patagonica, two new diatoms (Bacillariophyta) from Laguna Chaltel in southern Patagonia, Argentina</t>
  </si>
  <si>
    <t>Bacillariophyta; centric diatoms; crater lake; Holocene; Paleolimnology; sediments; pennate diatoms; Santa Cruz Province; South America</t>
  </si>
  <si>
    <t>POTROK-AIKE; SANTA-CRUZ; PHYTOPLANKTON; LAKES; SEDIMENTS; AMERICA; HISTORY; GENUS; KEY</t>
  </si>
  <si>
    <t>Two new diatom species, Cyclostephanos salsae and Placoneis patagonica found in plankton, superficial sediments and quaternary lacustrine sediment samples from Laguna Chaltel, Southern Argentina, are described. The detailed morphology of these two taxa is examined using both light ( LM) and scanning electron microscopy ( SEM). The main morphological features that distinguish C. salsae sp. nov. are the raised central area without fultoportulae and with scattered areolae, and the presence of some interstriae bifurcated on the valve mantle, bearing one fultoportulae in one of the forks. The variable, sometimes asymmetrical outline and the irregularly spaced central striae are the main morphological features of P. patagonica sp. nov. The relationships of these two new taxa with morphologically similar species and their ecological affinities are discussed.</t>
  </si>
  <si>
    <t>[Maidana, Nora I.; Aponte, Gustavo A.] UBA, FCEyN, Dept Biodiversidad &amp; Biol Expt, C Univ,Pab 2 C1428EHA, Buenos Aires, DF, Argentina; [Maidana, Nora I.; Aponte, Gustavo A.] UBA, CONICET, IBBEA, C Univ,Pab 2 C1428EHA, Buenos Aires, DF, Argentina; [Fey, Michael] Univ Bremen, Inst Geog GEOPOLAR Geomorphol &amp; Polarforsch, FVG M, Celsiusstr, D-28359 Bremen, Germany; [Schaebitz, Frank] Univ Cologne, Seminar Geog &amp; Ihre Didakt, Gronewaldstr 2, D-50931 Cologne, Germany; [Morales, Eduardo A.] Univ Evora, Inst Ciencias Terra, Lab Agua, Rua Barba Rala 1,Parque Ind Tecnol Evora, P-7005345 Evora, Portugal</t>
  </si>
  <si>
    <t>University of Buenos Aires; Consejo Nacional de Investigaciones Cientificas y Tecnicas (CONICET); University of Buenos Aires; University of Bremen; University of Cologne; University of Evora</t>
  </si>
  <si>
    <t>Maidana, NI (corresponding author), UBA, FCEyN, Dept Biodiversidad &amp; Biol Expt, C Univ,Pab 2 C1428EHA, Buenos Aires, DF, Argentina.;Maidana, NI (corresponding author), UBA, CONICET, IBBEA, C Univ,Pab 2 C1428EHA, Buenos Aires, DF, Argentina.</t>
  </si>
  <si>
    <t>Morales, Eduardo A./AAE-9304-2021; Schäbitz, Frank/ABE-5116-2020</t>
  </si>
  <si>
    <t>Morales, Eduardo A./0000-0001-5998-4831; Schäbitz, Frank/0000-0003-3879-9308</t>
  </si>
  <si>
    <t>10.1127/1438-9134/2017/089</t>
  </si>
  <si>
    <t>WOS:000473347500008</t>
  </si>
  <si>
    <t>García, ML; Maidana, NI; Ector, L; Morales, EA</t>
  </si>
  <si>
    <t>Lujan Garcia, M.; Maidana, Nora I.; Ector, Luc; Morales, Eduardo A.</t>
  </si>
  <si>
    <t>Staurosira patagonica sp. nov., a new diatom (Bacillariophyta) from southern Argentina, with a discussion on the genus Staurosira Ehrenberg</t>
  </si>
  <si>
    <t>Araphid diatoms; biodiversity; Fragilariaceae; freshwater; Patagonia; small fragilarioids; taxonomy</t>
  </si>
  <si>
    <t>ARAPHID DIATOMS; BOLIVIAN ALTIPLANO; LANGE-BERTALOT; FRESH-WATER; TAXA; EVOLUTION; ISLANDS; HUSTEDT; RIVERS; FLORA</t>
  </si>
  <si>
    <t>We present a detailed morphological analysis by light and scanning electron microscopy of Staurosira patagonica sp. nov. from quaternary sediments of Maar Magallanes and recent sediments of the shallow lake Laguna Toro, both in Santa Cruz Province, Argentinian Patagonia. While the valve outline of this new taxon resembles Staurosira incerta, S. construens and Pseudostaurosira pseudoconstruens, it presents features ( e.g., flat valve surface, bifurcate volae and radiate striae) that set it apart from them. Staurosira patagonica sp. nov. is smaller than other small fragilarioids species. We also discuss the main characteristics of Staurosira, we provide a list of species currently included in it, and we propose several new combinations accordingly with current concepts of araphid diatom genera.</t>
  </si>
  <si>
    <t>[Lujan Garcia, M.; Maidana, Nora I.] UBA, CONICET, Inst Biodiversidad &amp; Biol Expt &amp; Aplicada, Ciudad Univ,Pab 2,C1428EHA, Buenos Aires, DF, Argentina; [Maidana, Nora I.] UBA, FCEyN, Dept Biodiversidad &amp; Biol Expt, Buenos Aires, DF, Argentina; [Ector, Luc] Luxembourg Inst Sci &amp; Technol LIST, Environm Res &amp; Innovat Dept ERIN, L-4422 Belvaux, Luxembourg; [Morales, Eduardo A.] Univ Evora, Inst Ciencias Terra, Lab Agua, Rua Barba Rala 1,Parque Ind Tecnol Evora, P-7005345 Evora, Portugal</t>
  </si>
  <si>
    <t>Consejo Nacional de Investigaciones Cientificas y Tecnicas (CONICET); University of Buenos Aires; University of Buenos Aires; Luxembourg Institute of Science &amp; Technology; University of Evora</t>
  </si>
  <si>
    <t>García, ML (corresponding author), UBA, CONICET, Inst Biodiversidad &amp; Biol Expt &amp; Aplicada, Ciudad Univ,Pab 2,C1428EHA, Buenos Aires, DF, Argentina.</t>
  </si>
  <si>
    <t>mlgarcia@bg.fcen.uba.ar</t>
  </si>
  <si>
    <t>Garcia, Maria Lujan/ABE-3783-2021; Morales, Eduardo A./AAE-9304-2021</t>
  </si>
  <si>
    <t>Garcia, Maria Lujan/0000-0002-2658-2753; Morales, Eduardo A./0000-0001-5998-4831</t>
  </si>
  <si>
    <t>10.1127/1438-9134/2017/123</t>
  </si>
  <si>
    <t>WOS:000473347500009</t>
  </si>
  <si>
    <t>Van de Vijver, B; Lange-Bertalot, H; Wetzel, CE; Ector, L</t>
  </si>
  <si>
    <t>Van de Vijver, Bart; Lange-Bertalot, Horst; Wetzel, Carlos E.; Ector, Luc</t>
  </si>
  <si>
    <t>Michelcostea, a new diatom genus (Bacillariophyta) from the sub-Antarctic Region</t>
  </si>
  <si>
    <t>Bacillariophyta; morphology; new genus; sub-Antarctica</t>
  </si>
  <si>
    <t>FRESH-WATER; SP-NOV.; COMMUNITIES; DIVERSITY; SUBANTARCTICA; ECOLOGY; ISLAND; ILE</t>
  </si>
  <si>
    <t>The genus Michelcostea gen. nov. is described as a new genus based on light and scanning electron microscopy observations made on valves formerly identified under the name of Navicula bryophiloides var. linearis, a taxon invalidly described by Maillard from Iles Kerguelen. The new genus is characterized in having a deep mantle, uniseriate to biseriate striae, located in deep grooves, interrupted at the valve face/ mantle junction by a hyaline zone, composed of small, rounded areolae, occluded externally by clearly perforated hymenes, a curved raphe with unilaterally deflected external distal raphe endings and straight indistinct internal proximal raphe endings. Michelcostea lecohuiana sp. nov. is described as its typus generis. The new genus is compared to similar genera. Notes on its ecology are added.</t>
  </si>
  <si>
    <t>[Van de Vijver, Bart] Bot Garden Meise, Res Dept, Nieuwelaan 38, B-1860 Meise, Belgium; [Van de Vijver, Bart] Univ Antwerp, Dept Biol, ECOBE, Univ Pl 1, B-2610 Antwerp, Belgium; [Lange-Bertalot, Horst] Goethe Univ Frankfurt, Senckenberganlage 31-33, D-60054 Frankfurt, Germany; [Lange-Bertalot, Horst] Senckenberg Museum, Senckenberganlage 31-33, D-60054 Frankfurt, Germany; [Wetzel, Carlos E.; Ector, Luc] Luxembourg Inst Sci &amp; Technol LIST, Environm Res &amp; Innovat Dept ERIN, 41 Rue Brill, L-4422 Belvaux, Luxembourg</t>
  </si>
  <si>
    <t>University of Antwerp; Goethe University Frankfurt; Senckenberg Gesellschaft fur Naturforschung (SGN); Luxembourg Institute of Science &amp; Technology</t>
  </si>
  <si>
    <t>Van de Vijver, B (corresponding author), Bot Garden Meise, Res Dept, Nieuwelaan 38, B-1860 Meise, Belgium.;Van de Vijver, B (corresponding author), Univ Antwerp, Dept Biol, ECOBE, Univ Pl 1, B-2610 Antwerp, Belgium.</t>
  </si>
  <si>
    <t>bart.vandevijver@plantentuinmeise.be</t>
  </si>
  <si>
    <t>10.1127/1438-9134/2017/125</t>
  </si>
  <si>
    <t>WOS:000473347500010</t>
  </si>
  <si>
    <t>Dobosz, S; Lange-Bertalot, H; Bak, M; Witkowski, A; Hofmann, G</t>
  </si>
  <si>
    <t>Dobosz, Slawomir; Lange-Bertalot, Horst; Bak, Malgorzata; Witkowski, Andrzej; Hofmann, Gabriele</t>
  </si>
  <si>
    <t>Navicula paracari sp. nov. - a new and neglected diatom species abundant in calcareous lakes of Central Europe</t>
  </si>
  <si>
    <t>Navicula; Poland; new description</t>
  </si>
  <si>
    <t>GENUS NAVICULA; MARINE DIATOM; BACILLARIOPHYCEAE; TAXONOMY; TAXA</t>
  </si>
  <si>
    <t>This paper presents several Navicula sensu stricto species identified during a palaeocological study of a sediment core from Lake Miedwie in the vicinity of Szczecin, north-western Poland. Light microscopic examination of 91 samples revealed Navicula cari to be abundant as well as an unidentified diatom species corresponding to Navicula paracari, published by Lange-Bertalot as a manuscript name but not properly validated. A formal description of Navicula paracari is provided with a comparison to similar species including N. cari. Navicula cari is distinguished from N. paracari in having longer valves on average, lower stria density ( distinguished with scanning electron microscopy) and by the presence of a prominent external sternum. Navicula microcari is mainly distinguished by distinctly narrower valves and a higher areola density.</t>
  </si>
  <si>
    <t>[Dobosz, Slawomir; Lange-Bertalot, Horst; Bak, Malgorzata; Witkowski, Andrzej] Univ Szczecin, Fac Geosci, Nat Sci Educ &amp; Res Ctr, Palaeoceanol Unit, Mickiewicza 16a, PL-70383 Szczecin, Poland; [Hofmann, Gabriele] Hirtenstr 19, D-61479 Glashutten, Germany</t>
  </si>
  <si>
    <t>University of Szczecin</t>
  </si>
  <si>
    <t>Bak, M (corresponding author), Univ Szczecin, Fac Geosci, Nat Sci Educ &amp; Res Ctr, Palaeoceanol Unit, Mickiewicza 16a, PL-70383 Szczecin, Poland.</t>
  </si>
  <si>
    <t>mabak@univ.szczecin.pl</t>
  </si>
  <si>
    <t>10.1127/1438-9134/2017/137</t>
  </si>
  <si>
    <t>WOS:000473347500011</t>
  </si>
  <si>
    <t>Kapustin, DA; Kulikovskiy, M; Kociolek, JP</t>
  </si>
  <si>
    <t>Kapustin, Dmitry A.; Kulikovskiy, Maxim; Kociolek, John P.</t>
  </si>
  <si>
    <t>Celebesia gen. nov., a new cymbelloid diatom genus from the ancient Lake Matano (Sulawesi Island, Indonesia)</t>
  </si>
  <si>
    <t>Southeast Asia; Cymbella distinguenda; Indonesia; new genus; Celebesia</t>
  </si>
  <si>
    <t>FRESH-WATER; GOMPHONEMOID DIATOMS; MOLECULAR PHYLOGENY; LANGE-BERTALOT; BAIKAL. I.; BACILLARIOPHYCEAE; MORPHOLOGY; EHRENBERG; ORICYMBA; POSITION</t>
  </si>
  <si>
    <t>Cymbella distinguenda Hustedt is a rare endemic species of the ancient Lake Matano, Sulawesi, Indonesia. Krammer transferred this species in 2003 to the genus Cymbopleura without any additional observations. We encountered this species for the second time since its description from the type locality and studied its valve morphology in detail using both LM and SEM. Cymbella distinguenda is only slightly asymmetrical to the apical axis; the raphe is distinctly undulate with external distal raphe ends deflected dorsally and external proximal ends deflected ventrally. A small round or elongate stigma is evident on the ventral side of the axial area and striae are composed of double rows of small round and unoccluded areolae; at the poles there are apical pore fields that are not clearly differentiated from the areolae. The valve face is separated from the mantle by a marginal ridge and the whole valve ( except the striae) can be covered with an extra silica layer and numerous silica granules between areolae and along the marginal ridge. Cymbella distinguenda shares features of the three genera, Cymbella, Cymbopleura and Oricymba, but it cannot be placed into any of them with certainty. Therefore, to accommodate this extraordinary taxon we propose to establish a new genus, Celebesia.</t>
  </si>
  <si>
    <t>[Kapustin, Dmitry A.; Kulikovskiy, Maxim] Russian Acad Sci, ID Papanin Inst Biol Inland Waters, Borok 152742, Russia; [Kociolek, John P.] Univ Colorado, Museum Nat Hist, Boulder, CO 80309 USA; [Kociolek, John P.] Univ Colorado, Dept Ecol &amp; Evolutionary Biol, Boulder, CO 80309 USA</t>
  </si>
  <si>
    <t>Russian Academy of Sciences; Papanin Institute for Biology of Inland Waters; University of Colorado System; University of Colorado Boulder; University of Colorado System; University of Colorado Boulder</t>
  </si>
  <si>
    <t>Kulikovskiy, M (corresponding author), Russian Acad Sci, ID Papanin Inst Biol Inland Waters, Borok 152742, Russia.</t>
  </si>
  <si>
    <t>max-kulikovsky@yandex.ru</t>
  </si>
  <si>
    <t>Kulikovskiy, Maxim S/B-3575-2017; Kapustin, Dmitry/I-9003-2016</t>
  </si>
  <si>
    <t>Kapustin, Dmitry/0000-0003-3256-7776</t>
  </si>
  <si>
    <t>10.1127/1438-9134/2017/147</t>
  </si>
  <si>
    <t>WOS:000473347500012</t>
  </si>
  <si>
    <t>Glushchenko, AM; Kulikovskiy, MS; Kociolek, JP</t>
  </si>
  <si>
    <t>Glushchenko, Anton M.; Kulikovskiy, Maxim S.; Kociolek, John Patrick</t>
  </si>
  <si>
    <t>New and interesting species from the genus Luticola (Bacillariophyceae) in waterbodies of Southeastern Asia</t>
  </si>
  <si>
    <t>Bacillariophyceae; Luticola; new species; morphology; distribution; Southeast Asia; Vietnam; Laos; Cambodia</t>
  </si>
  <si>
    <t>CENTRIC DIATOMS; VIETNAM</t>
  </si>
  <si>
    <t>Eleven Luticola species were observed in different water ecosystems of Laos, Cambodia and Vietnam. Of those described previously we have recorded L. belawanensis, L. tropica, L. inserata, L. intermedia, L. tujii and L. taylorii. Description of morphology and measurements of these species are presented and compared with previous records. Five species new to science were found and their formal descriptions are presented, these are: L. laosica Glushchenko, Kulikovskiy &amp; Kociolek sp. nov., L. bolavenensis Glushchenko, Kulikovskiy &amp; Kociolek sp. nov., L. robustaformis Glushchenko, Kulikovskiy &amp; Kociolek sp. nov., L. renelecohui Glushchenko, Kulikovskiy &amp; Kociolek sp. nov., and L. pseudodistinguenda Glushchenko, Kulikovskiy &amp; Kociolek sp. nov. All new species are illustrated by light and scanning electron micrographs. The distribution of certain tropical Luticola species is discussed.</t>
  </si>
  <si>
    <t>[Glushchenko, Anton M.; Kulikovskiy, Maxim S.] Russian Acad Sci, ID Papanin Inst Biol Inland Waters, Dept Water Plants Taxon &amp; Geog, Borok 152742, Russia; [Glushchenko, Anton M.] Kaluga State Univ, Stepan Rasin St 26, Kaluga Dist 248023, Russia; [Kociolek, John Patrick] Univ Colorado, Museum Nat Hist, Boulder, CO 80309 USA; [Kociolek, John Patrick] Univ Colorado, Dept Ecol &amp; Evolutionary Biol, Boulder, CO 80309 USA</t>
  </si>
  <si>
    <t>Papanin Institute for Biology of Inland Waters; Russian Academy of Sciences; University of Colorado System; University of Colorado Boulder; University of Colorado System; University of Colorado Boulder</t>
  </si>
  <si>
    <t>Kulikovskiy, MS (corresponding author), Russian Acad Sci, ID Papanin Inst Biol Inland Waters, Dept Water Plants Taxon &amp; Geog, Borok 152742, Russia.</t>
  </si>
  <si>
    <t>Glushchenko, Anton/AAE-8320-2019; Kulikovskiy, Maxim S/B-3575-2017</t>
  </si>
  <si>
    <t>Glushchenko, Anton/0000-0002-3876-3455;</t>
  </si>
  <si>
    <t>10.1127/1438-9134/2017/157</t>
  </si>
  <si>
    <t>WOS:000473347500013</t>
  </si>
  <si>
    <t>Levkov, Z; Tofilovska, S; Wetzel, CE; Mitic-Kopanja, D; Ector, L</t>
  </si>
  <si>
    <t>Levkov, Zlatko; Tofilovska, Slavica; Wetzel, Carlos E.; Mitic-Kopanja, Danijela; Ector, Luc</t>
  </si>
  <si>
    <t>Diversity of Luticola DG Mann (Bacillariophyceae) species on halomorphic soils from Gladno Pole, Central Macedonia</t>
  </si>
  <si>
    <t>Luticola; Gladno Pole; Macedonia; new species; halomorphic soils; extreme environments</t>
  </si>
  <si>
    <t>JAMES-ROSS-ISLAND; SOUTH SHETLAND ISLANDS; TAXA BACILLARIOPHYTA; DIATOM; REGION; ALGAE; LAKES</t>
  </si>
  <si>
    <t>Halomorphic soils are present only on a few localities in the Republic of Macedonia, and have been infrequently investigated for diatom composition. In the last two years, special attention has been paid to these habitats and observations revealed the existence of a high diversity in diatoms. One of the genera that showed considerable diversity was Luticola, with the presence of seven species, including four described as new. The new species were observed using light and scanning electron microscopy and compared to other morphologically similar species. Luticola lecohui sp. nov. is characterized by distinctly triundulate valves and subcapitate and broady rounded apices. Valves of L. blancoi sp. nov. are linear-lanceolate with slightly undulated margins and distinctly protracted and subcapitate apices. Luticola dubia sp. nov. appears similar to L. ventricosa, but both taxa can be easily differentiated by the shape of the valve apices ( rostrate in L. dubia). Luticola obscura sp. nov. has similar valve shape ( linear-lanceolate with rostrate apices), as L. imbricata, but both species can be differentiated from one another by the shape of the valve apices and external proximal and distal raphe endings.</t>
  </si>
  <si>
    <t>[Levkov, Zlatko; Tofilovska, Slavica; Mitic-Kopanja, Danijela] Inst Biol, Fac Nat Sci, Arhimedova 3, Skopje, Macedonia; [Levkov, Zlatko] Macedonian Ecol Soc, Arhimedova 3, Skopje, Macedonia; [Wetzel, Carlos E.; Ector, Luc] Luxembourg Inst Sci &amp; Technol LIST, Environm Res &amp; Innovat ERIN Dept, 41 Rue Brill, L-4422 Belvaux, Luxembourg</t>
  </si>
  <si>
    <t>Luxembourg Institute of Science &amp; Technology</t>
  </si>
  <si>
    <t>Levkov, Z (corresponding author), Inst Biol, Fac Nat Sci, Arhimedova 3, Skopje, Macedonia.;Levkov, Z (corresponding author), Macedonian Ecol Soc, Arhimedova 3, Skopje, Macedonia.</t>
  </si>
  <si>
    <t>zlevkov@pmf.ukim.mk</t>
  </si>
  <si>
    <t>Mitic-Kopanja, Danijela/AAK-2975-2021</t>
  </si>
  <si>
    <t>Mitic-Kopanja, Danijela/0000-0001-5187-5892; Tofilovska, Slavica/0000-0002-0092-4487</t>
  </si>
  <si>
    <t>10.1127/1438-9134/2017/175</t>
  </si>
  <si>
    <t>WOS:000473347500014</t>
  </si>
  <si>
    <t>Liu, B; Williams, DM; Blanco, S; Jiang, XY</t>
  </si>
  <si>
    <t>Liu, Bing; Williams, David M.; Blanco, Saul; Jiang, Xiaoyan</t>
  </si>
  <si>
    <t>Two new species of Luticola (Bacillariophyta) from the Wuling Mountains Area, China</t>
  </si>
  <si>
    <t>Epilithon; Hunan; lanceolate; National Nature Reserve; new diatom species</t>
  </si>
  <si>
    <t>DIATOM; BIODIVERSITY; NOV.</t>
  </si>
  <si>
    <t>Two new species of Luticola are described, both from the Wuling Mountains Area, central China, based on light and scanning electron microscopy observations. Both new species have relatively small valve dimensions for the genus. Luticola hunanensis sp. nov. possesses slightly protracted subrostrate ends only in larger specimens; its slit-like stigma is always coupled with a tiny marginal pore; its proximal and terminal raphe fissures are complex, both hooked towards the stigma-bearing side. In L. hunanensis the number of areolae in each stria on the primary side is always greater than, or equal to, that on the secondary side, and there is a row of rounded pores located on the mantle interrupted by the terminal raphe fissures at the apices. Luticola wulingensis sp. nov. has produced rostrate ends and often exhibits a slightly dorsiventral valve outline, its proximal raphe endings bend away from the stigma and its terminal raphe fissures hook towards the stigma-bearing side; it has double rows of rounded pores located on the mantle whereas at the apices the double rows become a single row interrupted by the terminal raphe fissures at the apices. Both new taxa are epilithic and lives in freshwater habitats.</t>
  </si>
  <si>
    <t>[Liu, Bing; Jiang, Xiaoyan] Jishou Univ, Coll Hunan Prov, Key Lab Plant Resources Conservat &amp; Utilizat, Jishou 416000, Peoples R China; [Liu, Bing; Jiang, Xiaoyan] Jishou Univ, Coll Biol &amp; Environm Sci, Jishou 416000, Peoples R China; [Williams, David M.] Nat Hist Museum, Dept Life Sci, Cromwell Rd, London SW7 5BD, England; [Blanco, Saul] Inst Environm, La Serna 58, Leon 24007, Spain</t>
  </si>
  <si>
    <t>Jishou University; Jishou University; Natural History Museum London</t>
  </si>
  <si>
    <t>Liu, B (corresponding author), Jishou Univ, Coll Hunan Prov, Key Lab Plant Resources Conservat &amp; Utilizat, Jishou 416000, Peoples R China.;Liu, B (corresponding author), Jishou Univ, Coll Biol &amp; Environm Sci, Jishou 416000, Peoples R China.</t>
  </si>
  <si>
    <t>jsulb@outlook.com</t>
  </si>
  <si>
    <t>Blanco, Saúl/C-5529-2009</t>
  </si>
  <si>
    <t>Blanco, Saúl/0000-0002-9015-2512; Liu, Bing/0000-0002-8516-325X</t>
  </si>
  <si>
    <t>10.1127/1438-9134/2017/197</t>
  </si>
  <si>
    <t>WOS:000473347500015</t>
  </si>
  <si>
    <t>Wetzel, CE; Lange-Bertalot, H; Ector, L</t>
  </si>
  <si>
    <t>Wetzel, Carlos E.; Lange-Bertalot, Horst; Ector, Luc</t>
  </si>
  <si>
    <t>Type analysis of Achnanthes oblongella Ostrup and resurrection of Achnanthes saxonica Krasske (Bacillariophyta)</t>
  </si>
  <si>
    <t>Bacillariophyta; Krasske; monoraphids; Ostrup; Platessa; type materials</t>
  </si>
  <si>
    <t>FAMILY ACHNANTHIDIACEAE; LANGE-BERTALOT; BUKHTIYAROVA; BELGIUM; ARDENNE; DIATOMS; RIVERS</t>
  </si>
  <si>
    <t>Achnanthes oblongella Ostrup and Achnanthes saxonica Krasske have long been regarded as taxonomic synonyms by many diatomists around the world. Here we investigated the original material of A. oblongella originally described from Thailand and considered to be a cosmopolitan species, and compared it with twenty-five freshwater epilithic populations collected in several rivers in France on a biomonitoring framework ( collections made between 2008 and 2015) and primarily identified as Achnanthes oblongella. We also investigated for the first time the original slide of Achnanthes saxonica from Germany. We found both taxa to be independent species. Besides differences in morphometric characters ( i.e. valve width), a distinct way of areolae formation distinguish both species. While the rapheless valve of A. saxonica always has the striae composed of two rows of rounded areolae, the SEM observations of A. oblongella reveal that the striae of this species are composed of 1-2 rows of areolae often occluded externally by branched volae, while internally areola occlusions are larger, merged and reniform. Each stria is usually composed of one areola near the axial area, but by two rows of areolae towards the valve margin. On the valve mantle A. saxonica always has two areolae, while A. oblongella has one. Both species are transferred here to the genus Platessa Lange-Bertalot, which we consider to be the most appropriate for accommodating these two taxa.</t>
  </si>
  <si>
    <t>[Wetzel, Carlos E.; Ector, Luc] Luxembourg Inst Sci &amp; Technol LIST, Dept Environm Res &amp; Innovat ERIN, 41 Rue Brill, L-4422 Belvaux, Luxembourg; [Lange-Bertalot, Horst] Goethe Univ Frankfurt, Inst Ecol Evolut &amp; Divers, Biologicum, Max von Laue Str 13, D-60439 Frankfurt, Germany</t>
  </si>
  <si>
    <t>Luxembourg Institute of Science &amp; Technology; Goethe University Frankfurt</t>
  </si>
  <si>
    <t>Wetzel, CE (corresponding author), Luxembourg Inst Sci &amp; Technol LIST, Dept Environm Res &amp; Innovat ERIN, 41 Rue Brill, L-4422 Belvaux, Luxembourg.</t>
  </si>
  <si>
    <t>carlos.wetzel@list.lu</t>
  </si>
  <si>
    <t>10.1127/1438-9134/2017/209</t>
  </si>
  <si>
    <t>WOS:000473347500016</t>
  </si>
  <si>
    <t>Lobo, EA; Wetzel, CE; Heinrich, CG; Schuch, M; Taques, F; Ector, L</t>
  </si>
  <si>
    <t>Lobo, Eduardo A.; Wetzel, Carlos E.; Heinrich, Carla Giselda; Schuch, Marilia; Taques, Francisco; Ector, Luc</t>
  </si>
  <si>
    <t>Occurrence of a poorly known small-sized Nitzschia species in headwaters streams from southern Brazil</t>
  </si>
  <si>
    <t>frustule ultrastructure; Nitzschia; taxonomy; subtropical rivers</t>
  </si>
  <si>
    <t>DIATOMS BACILLARIOPHYCEAE; EPILITHIC DIATOMS; IDENTIFICATION</t>
  </si>
  <si>
    <t>Nitzschia Hassall is a widely distributed diatom genus with a large number of species. The genus is known for its taxonomic difficulty, especially in the section lanceolatae, such as the Nitzschia inconspicua species complex, because most species have small cells and a delicate structure. Thus, in headwaters located in the Andreas stream, State of Rio Grande do Sul, Brazil, a number of specimens belonging to the genus Nitzschia with similar shape, size, stria and fibula density are being classified as N. inconspicua, although no clear identification has been established by using only LM. In this context, the aim of this research was to analyze samples of epilithic diatoms collected from this stream, during 2012 and 2015, in order to clarify the correct taxonomic identity of the Nitzschia specimens using SEM, and their correspondent ecological tolerances based on physical and chemical data. The results indicated that the specimens identified in our samples show average morphometric measurements in LM ( valve length, valve width, stria density and fibula density) very similar to those of several small-sized Nitzschia species such as N. abbreviata, N. annewillemsiana, N. inconspicua, N. invisitata, N. kahlii, N. kociolekii, N. tripudio and N. soratensis. Based on SEM results, however, we concluded that the correct taxonomic identity of the specimens from Andreas stream is N. kahlii, considering the continuous raphe with semi-occluded and irregularly shaped areolae on the raphe canal. According to the physical and chemical data, we also concluded that sampling sites S1 and S2 correspond to headwater areas from subtropical and temperate Brazilian lotic ecosystems showing good water quality, and characterized the environment where the occurrence of N. kahlii was registered. This is the first record of this species outside its type locality, in the Chilean Andes ( South America).</t>
  </si>
  <si>
    <t>[Lobo, Eduardo A.; Heinrich, Carla Giselda; Schuch, Marilia; Taques, Francisco] Univ Santa Cruz do Sul, Lab Limnol, Santa Cruz Do Sul, RS, Brazil; [Wetzel, Carlos E.; Ector, Luc] Luxembourg Inst Sci &amp; Technol LIST, Dept Environm Res &amp; Innovat ERIN, 41 Rue Brill, L-4422 Belvaux, Luxembourg</t>
  </si>
  <si>
    <t>Universidade de Santa Cruz do Sul; Luxembourg Institute of Science &amp; Technology</t>
  </si>
  <si>
    <t>Lobo, EA (corresponding author), Univ Santa Cruz do Sul, Lab Limnol, Santa Cruz Do Sul, RS, Brazil.</t>
  </si>
  <si>
    <t>lobo@unisc.br</t>
  </si>
  <si>
    <t>Heinrich, Carla/0000-0003-2053-8919</t>
  </si>
  <si>
    <t>10.1127/1438-9134/2017/229</t>
  </si>
  <si>
    <t>WOS:000473347500017</t>
  </si>
  <si>
    <t>Maltsev, Y; Andreeva, S; Kulikovskiy, M; Podunaj, J; Kociolek, JP</t>
  </si>
  <si>
    <t>Maltsev, Yevhen; Andreeva, Svetlana; Kulikovskiy, Maxim; Podunaj, Julia; Kociolek, John Patrick</t>
  </si>
  <si>
    <t>Molecular phylogeny of the diatom genus Envekadea (Bacillariophyceae, Naviculales)</t>
  </si>
  <si>
    <t>diatoms; ecology; Envekadea; morphology; phylogeny; Indonesia</t>
  </si>
  <si>
    <t>POSITION; GENERA; SEA</t>
  </si>
  <si>
    <t>Envekadea is a new genus of diatoms recently split off from the catch-all genus Navicula. This new genus is distinct, being biraphid, symmetrical to both the apical and transapical axes, having a sigmoid raphe and uniseriate striae composed of rounded to angular areoale that possess external hymenate occlusions. There are six known species in the genus, and they together occupy a wide ecological breadth. However, phylogenetic position of this new genus is uncertain. In this paper the morphology and ultrastructure of two new Envekadea pseudocrassirostris strains are presented and discussed. Studied samples were collected from a brackish lake in Indonesia. In the present report we off er new data based on a molecular investigation of Envekadea and remarks on its systematic position within the raphid diatom phylogenetic tree. In a two-gene ( 18S rDNA fragments and partial rbcL gene) phylogenetic analysis, Envekadea was most closely related to members of the genera Pinnularia and Caloneis. We propose to place Envekadea in the family Pinnulariaceae. We discuss these results in the context of the morphological similarities and differences between Envekadea and its closest phylogenetic allies.</t>
  </si>
  <si>
    <t>[Maltsev, Yevhen; Andreeva, Svetlana; Kulikovskiy, Maxim] Russian Acad Sci, Papanins Inst Biol Inland Waters, Yaroslavl 152742, Russia; [Podunaj, Julia] Russian Acad Sci, Karadag Sci Stn Nat Reserve, Nauki 24, Feodosiya 298188, Crimea, Russia; [Kociolek, John Patrick] Univ Colorado, Museum Nat Hist, Boulder, CO 80309 USA; [Kociolek, John Patrick] Univ Colorado, Dept Ecol &amp; Evolutionary Biol, Boulder, CO 80309 USA</t>
  </si>
  <si>
    <t>Russian Academy of Sciences; Papanin Institute for Biology of Inland Waters; Russian Academy of Sciences; T.I. Vyazemsky Karadag Scientific Station Nature Reserve of the RAS; University of Colorado System; University of Colorado Boulder; University of Colorado System; University of Colorado Boulder</t>
  </si>
  <si>
    <t>Kulikovskiy, M (corresponding author), Russian Acad Sci, Papanins Inst Biol Inland Waters, Yaroslavl 152742, Russia.</t>
  </si>
  <si>
    <t>Maltsev, Yevhen/A-9300-2017; Andreeva, Svetlana A./Q-5440-2016; Kulikovskiy, Maxim S/B-3575-2017; Podunay, Yuliia/B-2577-2017</t>
  </si>
  <si>
    <t>Maltsev, Yevhen/0000-0003-4710-319X; Podunay, Yuliia/0000-0002-0519-2908</t>
  </si>
  <si>
    <t>10.1127/1438-9134/2017/241</t>
  </si>
  <si>
    <t>WOS:000473347500018</t>
  </si>
  <si>
    <t>Heudre, D; Wetzel, CE; Moreau, L; Ector, L</t>
  </si>
  <si>
    <t>Heudre, David; Wetzel, Carlos E.; Moreau, Laura; Ector, Luc</t>
  </si>
  <si>
    <t>Diatoms of Gerardmer Lake (Vosges, France)</t>
  </si>
  <si>
    <t>Bacillariophyta; East of France; Hustedt type material; lake; scanning electron microscopy</t>
  </si>
  <si>
    <t>BACILLARIOPHYCEAE; QUALITY; ASSEMBLAGES; RIVERS; ISLAND; TAXA; LATO</t>
  </si>
  <si>
    <t>The Gerardmer Lake is a glacial lake on granitic substratum located in North-Eastern France, in the Vosges Mountains ( altitude 660 m). It is situated in the upper part of the Vologne River basin, a right bank tributary of the Moselle River. It has a surface area of 115.5 ha, a maximum depth of 36.3 m and a mean retention time of one year. An experimental protocol has been setup since 2015 for the survey of benthic diatoms in French lakes. The Gerardmer Lake was studied according to this protocol for the French part of the Rhine-Meuse river basin. In this study, 105 taxa belonging to 36 genera were found. The Achnanthidiaceae and the Fragilariaceae are the two families with the highest species richness: 24 species were found in both families. However, the genera Eunotia and Psammothidium are the most species-rich with 11 species each. Large populations of poorly known species such as Psammothidium levanderi, Sellaphora chistiakovae, Staurosira opacolineata and Stauroforma inermis have been studied under scanning electron microscopy ( SEM). The Hustedt type material of Achnanthes levanderi and var. helvetica was also illustrated by SEM.</t>
  </si>
  <si>
    <t>[Heudre, David; Moreau, Laura] Direct Reg Environm Amenagement &amp; Logement Grand, 2 Rue Augustin Fresnel,CS 95038, F-57071 Metz 03, France; [Wetzel, Carlos E.; Ector, Luc] Luxembourg Inst Sci &amp; Technol LIST, Environm Res &amp; Innovat ERIN Dept, 41 Rue Brill, L-4422 Belvaux, Luxembourg</t>
  </si>
  <si>
    <t>Heudre, D (corresponding author), Direct Reg Environm Amenagement &amp; Logement Grand, 2 Rue Augustin Fresnel,CS 95038, F-57071 Metz 03, France.</t>
  </si>
  <si>
    <t>david.heudre@developpement-durable.gouv.fr</t>
  </si>
  <si>
    <t>10.1127/1438-9134/2017/253</t>
  </si>
  <si>
    <t>WOS:000473347500019</t>
  </si>
  <si>
    <t>Khan-Bureau, DA; Ector, L; Morales, EA; Wade, EJ; Lewis, LA</t>
  </si>
  <si>
    <t>Khan-Bureau, Diba A.; Ector, Luc; Morales, Eduardo A.; Wade, Elizabeth J.; Lewis, Louise A.</t>
  </si>
  <si>
    <t>Contrasting morphological and DNA barcoding methods for diatom (Bacillariophyta) identification from environmental samples in the Eightmile River in Connecticut, USA</t>
  </si>
  <si>
    <t>18S; biological monitoring; diatoms; DNA barcoding; environmental assessment; GMYC; lotic water bodies; microalgae</t>
  </si>
  <si>
    <t>MODELS; COMMUNITIES; DIVERSITY; WATER; RDNA; 18S; EUTROPHICATION; DIDYMOSPHENIA; BIODIVERSITY; INVENTORY</t>
  </si>
  <si>
    <t>The dominant and traditional approach used to identify diatom species is morphological characterization with light ( LM) and scanning electron microscopy ( SEM). However, using morphology alone to distinguish diatom species can be challenging because the phenotype of a species is often influenced by the life cycle stage and the environment. There is an increasing use of DNA barcoding for biodiversity studies and water quality monitoring, although a comparison of DNA barcoding and morphology necessitates more comprehensive investigations. This study contrasted the performance of morphology and molecular data to distinguish diatom taxa from a single sample of the Eightmile River in Connecticut. Using a portion of the sample for morphological analysis with LM and SEM, the number of species, genera, and their taxonomic identities were evaluated. Three approaches for analysis of DNA barcode data were compared. In total, the morphological approach yielded 60 taxa, and the molecular approaches yielded from 23 to 92 taxa, depending on method of scoring species, from BLASTn comparisons, p-distances, GMYC, and phylogenetic analysis. Some taxa detected with morphology were not revealed by molecular means, and some molecularly determined species were not detected morphologically. Using DNA barcoding and morphological methods simultaneously provides more complete information on species diversity within an environmental sample.</t>
  </si>
  <si>
    <t>[Khan-Bureau, Diba A.] Univ Connecticut, Dept Nat Resources &amp; Environm, 75 North Eagleville Rd, Storrs, CT 06269 USA; [Khan-Bureau, Diba A.] Three Rivers Community Coll, 574 New London Turnpike, Norwich, CT 06360 USA; [Ector, Luc] Luxembourg Inst Sci &amp; Technol LIST, Environm Res &amp; Innovat ERIN Dept, 41 Rue Brill, L-4422 Belvaux, Luxembourg; [Morales, Eduardo A.] Univ Evora, Inst Ciencias Terra, Lab Agua, Rua Barba Rala 1,Parque Ind Tecnol Evora, P-7005345 Evora, Portugal; [Wade, Elizabeth J.] ARS, USDA, Ctr Med Agr &amp; Vet Entomol, 1600-1700 Southwest 23rd Dr, Gainesville, FL USA; [Lewis, Louise A.] Univ Connecticut, Dept Ecol &amp; Evolutionary Biol, 75 North Eagleville Rd, Storrs, CT 06269 USA</t>
  </si>
  <si>
    <t>University of Connecticut; Luxembourg Institute of Science &amp; Technology; University of Evora; United States Department of Agriculture (USDA); University of Connecticut</t>
  </si>
  <si>
    <t>Khan-Bureau, DA (corresponding author), Univ Connecticut, Dept Nat Resources &amp; Environm, 75 North Eagleville Rd, Storrs, CT 06269 USA.;Khan-Bureau, DA (corresponding author), Three Rivers Community Coll, 574 New London Turnpike, Norwich, CT 06360 USA.</t>
  </si>
  <si>
    <t>profenviro@yahoo.com</t>
  </si>
  <si>
    <t>Morales, Eduardo A./AAE-9304-2021</t>
  </si>
  <si>
    <t>Morales, Eduardo A./0000-0001-5998-4831; Lewis, Louise/0000-0003-0695-5134</t>
  </si>
  <si>
    <t>10.1127/1438-9134/2017/279</t>
  </si>
  <si>
    <t>WOS:000473347500020</t>
  </si>
  <si>
    <t>Foets, J; Cocquyt, C; Van de Vijver, B</t>
  </si>
  <si>
    <t>Foets, Jasper; Cocquyt, Christine; Van de Vijver, Bart</t>
  </si>
  <si>
    <t>Diatom succession during the last few decades in a small pond at the Botanic Garden Meise, Belgium, based on paleolimnological analyses</t>
  </si>
  <si>
    <t>Bacillariophyta; paleoecology; regime shift; restoration</t>
  </si>
  <si>
    <t>WATER CENTRIC DIATOMS; BRIEF KEY; LAKE; SHALLOW; BIOMANIPULATION; FISH; STEPHANODISCACEAE; EUTROPHICATION; NETHERLANDS; REDUCTION</t>
  </si>
  <si>
    <t>Over the last two decades, the Orangery pond in the Botanic Garden Meise ( Belgium) became, due to several causes, more eutrophic and turbid leading eventually to the disappearance of macrophytes. Sediment cores were taken to reconstruct how water quality changed, so to know whether this pond can be restored to its former ecological condition. Diatom stratigraphy revealed clear stratigraphic changes into three distinct zones. The lowest zone is characterized by benthic species such as Amphora lange-bertalotii, Surirella terricola and Cocconeis placentula indicating clear water with the presence of macrophytes. A peak in Aulacoseira aff. muzzanensis, observed at 1 m depth, can be linked with dated photographs recording the disappearance of macrophytes around the year 2000. The second zone suggests an eutrophic period with Cyclostephanos dubius being very abundant. In the most recent zone, Aulacoseira granulata and Aulacoseira subarctica were dominant, indicating turbid, nutrient-rich, pond conditions. Furthermore, species diversity decreased to its lowest values. Regarding the restoration, it is recommended that both waterfowl and excessive fish populations must be restricted before, ideally, 1 m of sediment should be removed.</t>
  </si>
  <si>
    <t>[Foets, Jasper; Van de Vijver, Bart] Univ Antwerp, Dept Biol, ECOBE, Univ Pl 1, B-2610 Antwerp, Belgium; [Cocquyt, Christine; Van de Vijver, Bart] Bot Garden Meise, Res Dept, Nieuwelaan 38, B-1860 Meise, Belgium</t>
  </si>
  <si>
    <t>University of Antwerp</t>
  </si>
  <si>
    <t>Foets, J (corresponding author), Univ Antwerp, Dept Biol, ECOBE, Univ Pl 1, B-2610 Antwerp, Belgium.</t>
  </si>
  <si>
    <t>jasper.foets@list.lu</t>
  </si>
  <si>
    <t>Cocquyt, Christine/0000-0002-0047-4180; Foets, Jasper/0000-0001-7805-5018</t>
  </si>
  <si>
    <t>10.1127/1438-9134/2017/303</t>
  </si>
  <si>
    <t>WOS:000473347500021</t>
  </si>
  <si>
    <t>Bibliographic and taxonomic data related to the career of Prof. Dr. Rene Le Cohu</t>
  </si>
  <si>
    <t>Bibliography; Book Chapter</t>
  </si>
  <si>
    <t>[Ector, Luc] Luxembourg Inst Sci &amp; Technol LIST, Environm Res &amp; Innovat Dept ERIN, 41 Rue Brill, L-4422 Belvaux, Luxembourg; [Van de Vijver, Bart] Bot Garden Meise, Res Dept, Nieuwelaan 38, B-1860 Meise, Belgium; [Van de Vijver, Bart] Univ Antwerp, Dept Biol, ECOBE, Univ Pl 1, B-2610 Antwerp, Belgium</t>
  </si>
  <si>
    <t>Ector, L (corresponding author), Luxembourg Inst Sci &amp; Technol LIST, Environm Res &amp; Innovat Dept ERIN, 41 Rue Brill, L-4422 Belvaux, Luxembourg.</t>
  </si>
  <si>
    <t>10.1127/1438-9134/2017/315</t>
  </si>
  <si>
    <t>WOS:000473347500022</t>
  </si>
  <si>
    <t>Huybers, P; Langmuir, CH</t>
  </si>
  <si>
    <t>Huybers, Peter; Langmuir, Charles H.</t>
  </si>
  <si>
    <t>Delayed CO2 emissions from mid-ocean ridge volcanism as a possible cause of late-Pleistocene glacial cycles</t>
  </si>
  <si>
    <t>Pleistocene; glacial cycles; volcanism</t>
  </si>
  <si>
    <t>EAST PACIFIC RISE; ATMOSPHERIC CO2; ANTARCTIC TEMPERATURE; SEA-LEVEL; CHEMICAL-COMPOSITION; OCEAN SURFACE; CARBON-CYCLE; ICE VOLUME; CLIMATE; MANTLE</t>
  </si>
  <si>
    <t>The coupled 100,000 year variations in ice volume, temperature, and atmospheric CO2 during the late Pleistocene are generally considered to arise from a combination of orbital forcing, ice dynamics, and ocean circulation. Also previously argued is that changes in glaciation influence atmospheric CO2 concentrations through modifying subaerial volcanic eruptions and CO2 emissions. Building on recent evidence that ocean ridge volcanism responds to changes in sea level, here it is suggested that ocean ridges may play an important role in generating late-Pleistocene 100 ky glacial cycles. If all volcanic CO2 emissions responded immediately to changes in pressure, subaerial and ocean-ridge volcanic emissions anomalies would oppose one another. At ocean ridges, however, the egress of CO2 from the mantle is likely to be delayed by tens-of-thousands of years, or longer, owing to ascent time. A simple model involving temperature, ice, and CO2 is presented that oscillates at 100 ky time scales when incorporating a delayed CO2 contribution from ocean ridge volcanism, even if the feedback accounts for only a small fraction of total changes in CO2. Oscillations readily become phase-locked with insolation forcing associated with changes in Earth's orbit. Under certain parameterizations, a transition from similar to 40 ky to larger similar to 100 ky oscillations occurs during the middle Pleistocene in response to modulations in orbital forcing. This novel description of Pleistocene glaciation should be testable through ongoing advances in understanding the circulation of carbon through the solid earth. (C) 2016 The Authors. Published by Elsevier B.V.</t>
  </si>
  <si>
    <t>[Huybers, Peter; Langmuir, Charles H.] Harvard Univ, 20 Oxford St, Cambridge, MA 02138 USA</t>
  </si>
  <si>
    <t>Harvard University</t>
  </si>
  <si>
    <t>Huybers, P (corresponding author), Harvard Univ, 20 Oxford St, Cambridge, MA 02138 USA.</t>
  </si>
  <si>
    <t>phuybers@fas.harvard.edu</t>
  </si>
  <si>
    <t>langmuir, charles/ISV-3278-2023</t>
  </si>
  <si>
    <t>Huybers, Peter/0000-0002-3734-8145</t>
  </si>
  <si>
    <t>NSF [1338832]; Div Atmospheric &amp; Geospace Sciences; Directorate For Geosciences [1338832] Funding Source: National Science Foundation</t>
  </si>
  <si>
    <t>NSF(National Science Foundation (NSF)); Div Atmospheric &amp; Geospace Sciences; Directorate For Geosciences(National Science Foundation (NSF)NSF - Directorate for Geosciences (GEO))</t>
  </si>
  <si>
    <t>We benefited from discussions with Jonathan Burley, Richard Katz, Michael Manga, Cristian Proistosescu, and Jeff Severinghaus in writing this manuscript. Reviews by Michel Crucifix and an anonymous reviewer also led to improvements, as did editing by Tamsin Mather. Funding was provided by NSF award 1338832.</t>
  </si>
  <si>
    <t>10.1016/j.epsl.2016.09.021</t>
  </si>
  <si>
    <t>WOS:000389398000022</t>
  </si>
  <si>
    <t>Bring, A; Shiklomanov, A; Lammers, RB</t>
  </si>
  <si>
    <t>Bring, Arvid; Shiklomanov, Alexander; Lammers, Richard B.</t>
  </si>
  <si>
    <t>Pan-Arctic river discharge: Prioritizing monitoring of future climate change hot spots</t>
  </si>
  <si>
    <t>EARTHS FUTURE</t>
  </si>
  <si>
    <t>Pan-Arctic river discharge; Climate projections; Pan-Arctic Drainage Basin; Hydrological monitoring</t>
  </si>
  <si>
    <t>GLOBAL CLIMATE; WATER SECURITY; MODEL; HYDROLOGY; FLOW; PERMAFROST; IMPACT; OCEAN; UNCERTAINTY; IRRIGATION</t>
  </si>
  <si>
    <t>The Arctic freshwater cycle is changing rapidly, which will require adequate monitoring of river flows to detect, observe, and understand changes and provide adaptation information. There has, however, been little detail about where the greatest flow changes are projected, and where monitoring therefore may need to be strengthened. In this study, we used a set of recent climate model runs and an advanced macro-scale hydrological model to analyze how flows across the continental pan-Arctic are projected to change and where the climate models agree on significant changes. We also developed a method to identify where monitoring stations should be placed to observe these significant changes, and compared this set of suggested locations with the existing network of monitoring stations. Overall, our results reinforce earlier indications of large increases in flow over much of the Arctic, but we also identify some areas where projections agree on significant changes but disagree on the sign of change. For monitoring, central and eastern Siberia, Alaska, and central Canada are hot spots for the highest changes. To take advantage of existing networks, a number of stations across central Canada and western and central Siberia could form a prioritized set. Further development of model representation of high-latitude hydrology would improve confidence in the areas we identify here. Nevertheless, ongoing observation programs may consider these suggested locations in efforts to improve monitoring of the rapidly changing Arctic freshwater cycle.</t>
  </si>
  <si>
    <t>[Bring, Arvid] Stockholm Univ, Dept Phys Geog, Stockholm, Sweden; [Bring, Arvid] Stockholm Univ, Bolin Ctr Climate Res, Stockholm, Sweden; [Bring, Arvid; Shiklomanov, Alexander; Lammers, Richard B.] Univ New Hampshire, Inst Study Earth Oceans &amp; Space, Durham, NH 03824 USA; [Shiklomanov, Alexander] Arctic &amp; Antarctic Res Inst, St Petersburg, Russia</t>
  </si>
  <si>
    <t>Stockholm University; University System Of New Hampshire; University of New Hampshire; Arctic &amp; Antarctic Research Institute</t>
  </si>
  <si>
    <t>Bring, A (corresponding author), Stockholm Univ, Dept Phys Geog, Stockholm, Sweden.;Bring, A (corresponding author), Stockholm Univ, Bolin Ctr Climate Res, Stockholm, Sweden.;Bring, A (corresponding author), Univ New Hampshire, Inst Study Earth Oceans &amp; Space, Durham, NH 03824 USA.</t>
  </si>
  <si>
    <t>arvid.bring@natgeo.su.se</t>
  </si>
  <si>
    <t>; Bring, Arvid/I-4549-2013</t>
  </si>
  <si>
    <t>Lammers, Richard/0000-0002-7980-5834; Bring, Arvid/0000-0002-9258-6162; Shiklomanov, Alexander/0000-0001-9790-3510</t>
  </si>
  <si>
    <t>Swedish Research Council VR [2013-7448]; Environment and Climate Change Canada; NSF [ARC1204070]; Russian Ministry of Education and Science [14.B25.31.0026]; Directorate For Geosciences; Office of Polar Programs (OPP) [1603149] Funding Source: National Science Foundation; Office of Polar Programs (OPP); Directorate For Geosciences [1602680, 1602879, 1602615] Funding Source: National Science Foundation; Office Of The Director; EPSCoR [1101245] Funding Source: National Science Foundation</t>
  </si>
  <si>
    <t>Swedish Research Council VR(Swedish Research Council); Environment and Climate Change Canada; NSF(National Science Foundation (NSF)); Russian Ministry of Education and Science(Ministry of Education and Science, Russian Federation); Directorate For Geosciences; Office of Polar Programs (OPP)(National Science Foundation (NSF)NSF - Directorate for Geosciences (GEO)); Office of Polar Programs (OPP); Directorate For Geosciences(National Science Foundation (NSF)NSF - Directorate for Geosciences (GEO)); Office Of The Director; EPSCoR(National Science Foundation (NSF)NSF - Office of the Director (OD)NSF - Office of Integrative Activities (OIA))</t>
  </si>
  <si>
    <t>Authors wish to acknowledge the Swedish Research Council VR for supporting the post-doctoral visit of A.B. to the University of New Hampshire (project 2013-7448), Environment and Climate Change Canada for supporting the creation of the pan-Arctic station lists, and NSF (ARC1204070) and the Russian Ministry of Education and Science (contract 14.B25.31.0026) for supporting data updates. They also wish to thank the following people for assisting with river monitoring station data collection: Ulrich Looser, Global Runoff Data Centre, Germany; Jeff Conway, United States Geological Survey; Alain Pietroniro, Meteorological Service of Canada; Jorunn Hardardottir, Icelandic Meteorological Office; Morten Johnsrud, Norwegian Water Resources and Energy Directorate; Johanna Korhonen, Finnish Environment Institute; and Valery Vuglinski, State Hydrological Institute, Russia. Authors acknowledge the World Climate Research Program's Working Group on Coupled Modeling, which is responsible for CMIP, and thank the climate modeling groups for producing and making available their model output. For CMIP the U.S. Department of Energy's Program for Climate Model Diagnosis and Intercomparison provided coordinating support and led development of software infrastructure in partnership with the Global Organization for Earth System Science Portals. The monitoring station data used in this paper are available from R-ArcticNet v.4.0 and other data sets developed at the University of New Hampshire [Lammers et al., 2001; Shiklomanov et al., 2002, 2007; Shiklomanov and Lammers, 2009, 2011, 2013], the Global Runoff Data Centre (http://grdc.bafg.de), and national agencies responsible for water data collection: U.S. Geological Survey, Environment and Climate Change Canada, Norwegian Water Resources and Energy Directorate, Finnish Environment Institute, and Russian RosHydromet. Climate model data are available from the CMIP5 data portal (http://cmip-pcmdi.llnl.gov/cmip5/data_portal.html).</t>
  </si>
  <si>
    <t>2328-4277</t>
  </si>
  <si>
    <t>Earth Future</t>
  </si>
  <si>
    <t>10.1002/2016EF000434</t>
  </si>
  <si>
    <t>Environmental Sciences; Geosciences, Multidisciplinary; Meteorology &amp; Atmospheric Sciences</t>
  </si>
  <si>
    <t>Environmental Sciences &amp; Ecology; Geology; Meteorology &amp; Atmospheric Sciences</t>
  </si>
  <si>
    <t>EM0IK</t>
  </si>
  <si>
    <t>WOS:000395001800008</t>
  </si>
  <si>
    <t>Fraser, CI; Kay, GM; du Plessis, M; Ryan, PG</t>
  </si>
  <si>
    <t>Fraser, Ceridwen I.; Kay, Geoffrey M.; du Plessis, Marcel; Ryan, Peter G.</t>
  </si>
  <si>
    <t>Breaking down the barrier: dispersal across the Antarctic Polar Front</t>
  </si>
  <si>
    <t>ECOGRAPHY</t>
  </si>
  <si>
    <t>SOUTHERN-OCEAN; EDDIES</t>
  </si>
  <si>
    <t>Our view of the Antarctic Polar Front (APF) as a circumpolar biogeographic barrier is changing (Chown et al. 2015). The APF marks the convergent boundary between cold Antarctic water and warmer sub-Antarctic water, and has long been considered to prevent north-south dispersal in the Southern Ocean (reviewed by Clarke et al. 2005, Fraser et al. 2012). Our multi-year survey data provides evidence that rafting organisms readily cross the APF.</t>
  </si>
  <si>
    <t>[Fraser, Ceridwen I.; Kay, Geoffrey M.] Australian Natl Univ, Fenner Sch Environm &amp; Soc, Acton, ACT, Australia; [du Plessis, Marcel] Univ Cape Town, Dept Oceanog, Marine Res Inst, Rondebosch, South Africa; [Ryan, Peter G.] Univ Cape Town, DST NRF Ctr Excellence, Percy FitzPatrick Inst, Rondebosch, South Africa</t>
  </si>
  <si>
    <t>Australian National University; University of Cape Town; National Research Foundation - South Africa; University of Cape Town</t>
  </si>
  <si>
    <t>Fraser, CI (corresponding author), Australian Natl Univ, Fenner Sch Environm &amp; Soc, Acton, ACT, Australia.</t>
  </si>
  <si>
    <t>ceridwen.fraser@gmail.com</t>
  </si>
  <si>
    <t>Fraser, Ceridwen/0000-0002-6918-8959</t>
  </si>
  <si>
    <t>0906-7590</t>
  </si>
  <si>
    <t>1600-0587</t>
  </si>
  <si>
    <t>Ecography</t>
  </si>
  <si>
    <t>10.1111/ecog.02449</t>
  </si>
  <si>
    <t>EL5OO</t>
  </si>
  <si>
    <t>WOS:000394670600021</t>
  </si>
  <si>
    <t>Galaska, MP; Sands, CJ; Santos, SR; Mahon, AR; Halanych, KM</t>
  </si>
  <si>
    <t>Galaska, Matthew P.; Sands, Chester J.; Santos, Scott R.; Mahon, Andrew R.; Halanych, Kenneth M.</t>
  </si>
  <si>
    <t>Geographic structure in the Southern Ocean circumpolar brittle star Ophionotus victoriae (Ophiuridae) revealed from mtDNA and single-nucleotide polymorphism data</t>
  </si>
  <si>
    <t>Antarctica; cytochrome c oxidase subunit I; ophiuroid; phylogeography; population genetics; restriction-associated DNA; single-nucleotide polymorphism</t>
  </si>
  <si>
    <t>APPROXIMATE BAYESIAN COMPUTATION; MITOCHONDRIAL LINEAGES; PROMACHOCRINUS-KERGUELENSIS; MARINE-INVERTEBRATES; POPULATION-STRUCTURE; ANTARCTIC PENINSULA; CRYPTIC SPECIATION; ATLANTIC SECTOR; SEQUENCE DATA; WATER MASSES</t>
  </si>
  <si>
    <t>Marine systems have traditionally been thought of as open with few barriers to gene flow. In particular, many marine organisms in the Southern Ocean purportedly possess circumpolar distributions that have rarely been well verified. Here, we use the highly abundant and endemic Southern Ocean brittle star Ophionotus victoriae to examine genetic structure and determine whether barriers to gene flow have existed around the Antarctic continent. Ophionotus victoriae possesses feeding planktotrophic larvae with presumed high dispersal capability, but a previous study revealed genetic structure along the Antarctic Peninsula. To test the extent of genetic differentiation within O. victoriae, we sampled from the Ross Sea through the eastern Weddell Sea. Whereas two mitochondrial DNA markers (16S rDNA and COI) were employed to allow comparison to earlier work, a 2b-RAD single-nucleotide polymorphism (SNP) approach allowed sampling of loci across the genome. Mitochondrial data from 414 individuals suggested three major lineages, but 2b-RAD data generated 1,999 biallelic loci that identified four geographically distinct groups from 89 samples. Given the greater resolution by SNP data, O. victoriae can be divided into geographically distinct populations likely representing multiple species. Specific historical scenarios that explain current population structure were examined with approximate Bayesian computation (ABC) analyses. Although the Bransfield Strait region shows high diversity possibly due to mixing, our results suggest that within the recent past, dispersal processes due to strong currents such as the Antarctic Circumpolar Current have not overcome genetic subdivision presumably due to historical isolation, questioning the idea of large open circumpolar populations in the Southern Ocean.</t>
  </si>
  <si>
    <t>[Galaska, Matthew P.; Santos, Scott R.; Halanych, Kenneth M.] Auburn Univ, Dept Biol Sci, Auburn, AL 36849 USA; [Sands, Chester J.] British Antarctic Survey, Nat Environm Res Council, Cambridge, England; [Mahon, Andrew R.] Cent Michigan Univ, Dept Biol, Mt Pleasant, MI 48859 USA</t>
  </si>
  <si>
    <t>Auburn University System; Auburn University; UK Research &amp; Innovation (UKRI); Natural Environment Research Council (NERC); NERC British Antarctic Survey; Central Michigan University</t>
  </si>
  <si>
    <t>Galaska, MP (corresponding author), Auburn Univ, Dept Biol Sci, Auburn, AL 36849 USA.</t>
  </si>
  <si>
    <t>mpg0009@auburn.edu; ken@auburn.edu</t>
  </si>
  <si>
    <t>Halanych, Ken M/A-9480-2009; Santos, Scott R/A-7472-2009; Galaska, Mathew/L-3948-2019</t>
  </si>
  <si>
    <t>Galaska, Mathew/0000-0002-4257-0170; Mahon, Andrew/0000-0002-5074-8725; Sands, Chester/0000-0003-1028-0328</t>
  </si>
  <si>
    <t>Office of Polar Programs [0132032]; Division of Antarctic Sciences [1043670, 1043745]; National Science Foundation [NSF ANT-1043670, NSF ANT-1043745, OPP-0132032]; British Antarctic Survey (BAS); NERC [bas0100036] Funding Source: UKRI; Natural Environment Research Council [bas0100036] Funding Source: researchfish; Office of Polar Programs (OPP); Directorate For Geosciences [0132032] Funding Source: National Science Foundation</t>
  </si>
  <si>
    <t>Office of Polar Programs(National Science Foundation (NSF)NSF - Directorate for Geosciences (GEO)); Division of Antarctic Sciences; National Science Foundation(National Science Foundation (NSF)); British Antarctic Survey (BAS);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</si>
  <si>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Office of Polar Programs, Grant/Award Number: 0132032; Division of Antarctic Sciences, Grant/Award Number: 1043670 and 1043745; National Science Foundation, Grant/Award Number: NSF ANT-1043670, NSF ANT-1043745 and OPP-0132032; British Antarctic Survey (BAS)</t>
  </si>
  <si>
    <t>10.1002/ece3.2617</t>
  </si>
  <si>
    <t>gold, Green Published, Green Accepted</t>
  </si>
  <si>
    <t>WOS:000392075300001</t>
  </si>
  <si>
    <t>Alder, V; Azzaro, M; Hucke-Gaete, R; Marschoff, ER; Mosetti, R; Orgeira, JL; Quartino, L; Rey, AR; Schejter, L; Vecchione, M</t>
  </si>
  <si>
    <t>Alder, Viviana; Azzaro, Maurizio; Hucke-Gaete, Rodrigo; Marschoff, Enrique R.; Mosetti, Renzo; Orgeira, Jose Luis; Quartino, Liliana; Rey, Andrea Raya; Schejter, Laura; Vecchione, Michael</t>
  </si>
  <si>
    <t>Southern Ocean</t>
  </si>
  <si>
    <t>ANTARCTIC FUR-SEAL; BAY ROSS SEA; SHETLAND ISLANDS; CLIMATE-CHANGE; ORKNEY ISLANDS; LAURIE ISLAND; REPRODUCTIVE SUCCESS; POPULATION-CHANGES; METABOLIC-ACTIVITY; BENTHIC COMMUNITY</t>
  </si>
  <si>
    <t>Schejter, Laura/AAR-1106-2020; azzaro, Maurizio/AAE-6784-2019</t>
  </si>
  <si>
    <t>azzaro, Maurizio/0000-0001-7885-2340</t>
  </si>
  <si>
    <t>WOS:000425033100046</t>
  </si>
  <si>
    <t>Hinojosa, IA; Gardner, C; Green, BS; Jeffs, A; Leon, R; Linnane, A</t>
  </si>
  <si>
    <t>Hinojosa, Ivan A.; Gardner, Caleb; Green, Bridget S.; Jeffs, Andrew; Leon, Rafael; Linnane, Adrian</t>
  </si>
  <si>
    <t>Differing environmental drivers of settlement across the range of southern rock lobster (Jasus edwardsii) suggest resilience of the fishery to climate change</t>
  </si>
  <si>
    <t>FISHERIES OCEANOGRAPHY</t>
  </si>
  <si>
    <t>climate change; environmental drivers; Jasus edwardsii; puerulus; recruitment; rock lobster; settlement</t>
  </si>
  <si>
    <t>EAST AUSTRALIAN CURRENT; OCEAN DIPOLE EVENTS; SPINY LOBSTER; PUERULUS SETTLEMENT; PANULIRUS-ARGUS; TEMPORAL PATTERNS; CONTINENTAL-SHELF; SPATIAL SYNCHRONY; COMMON TRENDS; NORTH-ISLAND</t>
  </si>
  <si>
    <t>Temporal and spatial trends in settlement of the southern rock lobster, Jasus edwardsii, were examined to identify the influence of environmental variables over different spatial scales. Settlement data were collected from 1994 to 2011 along the Southern Australian and New Zealand coasts. We identified common settlement trends at a regional scale (100500 km): the magnitude of settlement at sites from South Australia (SA) and Victoria (VIC) were similar, but different to sites in Tasmania (TAS). In New Zealand, three spatial regions were identified: northern (NNZ), middle (MNZ) and southern regions (SNZ). Higher settlement in SA, VIC and MNZ occurred in years with higher rainfall and storms in spring and El Nino conditions. In TAS and SNZ, higher settlement occurred during La Nina conditions. These results suggest that settlement over regional scales is modulated by oceanic processes, but outcomes vary between regions. At a local scale, a higher wave period and wind relaxation were relatively more important than the sea surface temperature (SST) in SA and VIC. In TAS, the current velocity also influenced the strength of settlement. However, much of the local settlement variability was not explained by the models suggesting that settlement in J. edwardsii is a complex process where larval behaviour, biological factors and oceanographic processes interact over different scales. The apparently complex processes affecting settlement showed that environmental conditions that reduced settlement strength in one region of the fishery often increased settlement strength in other regions. This could provide resilience to climate change at the stock level.</t>
  </si>
  <si>
    <t>[Hinojosa, Ivan A.; Gardner, Caleb; Green, Bridget S.; Leon, Rafael] Univ Tasmania, Inst Marine &amp; Antarctic Studies, Taroona, Tas 7053, Australia; [Hinojosa, Ivan A.] Univ Catolica Norte, Fac Ciencias Mar, Dept Biol Marina, Coquimbo, Chile; [Hinojosa, Ivan A.] Millennium Nucleus Ecol &amp; Sustainable Management, Coquimbo, Chile; [Jeffs, Andrew] Univ Auckland, Leigh Marine Lab, Inst Marine Sci, POB 349, Warkworth, New Zealand; [Linnane, Adrian] South Autralian Res &amp; Dev Inst Aquat Sci, POB 120, Henley Beach, SA 5022, Australia</t>
  </si>
  <si>
    <t>University of Tasmania; Universidad Catolica del Norte; University of Auckland</t>
  </si>
  <si>
    <t>Hinojosa, IA (corresponding author), Univ Tasmania, Inst Marine &amp; Antarctic Studies, Taroona, Tas 7053, Australia.;Hinojosa, IA (corresponding author), Univ Catolica Norte, Fac Ciencias Mar, Dept Biol Marina, Coquimbo, Chile.;Hinojosa, IA (corresponding author), Millennium Nucleus Ecol &amp; Sustainable Management, Coquimbo, Chile.</t>
  </si>
  <si>
    <t>ivanht@ucn.cl</t>
  </si>
  <si>
    <t>Jeffs, Andrew G/D-9474-2012; Hinojosa, Ivan/ABC-8915-2021; Hinojosa, Ivan Andres/AAQ-7445-2020; León, Rafael I/N-6510-2014; Gardner, Caleb/I-7086-2013</t>
  </si>
  <si>
    <t>Hinojosa, Ivan/0000-0002-9752-4374; Hinojosa, Ivan Andres/0000-0002-9752-4374; Gardner, Caleb/0000-0003-0324-4337; Jeffs, Andrew/0000-0002-8504-1949</t>
  </si>
  <si>
    <t>BECAS-Chile; Australian Research Council [LP120200164, LP150100064]; ANZ Trustees Programme 'Holsworth Wildlife Research Endowment'; Australian Research Council's Industrial Transformation Research Hub [IH 120100032]; [NC120030]; Australian Research Council [LP120200164] Funding Source: Australian Research Council</t>
  </si>
  <si>
    <t>BECAS-Chile; Australian Research Council(Australian Research Council); ANZ Trustees Programme 'Holsworth Wildlife Research Endowment'; Australian Research Council's Industrial Transformation Research Hub(Australian Research Council); ; Australian Research Council(Australian Research Council)</t>
  </si>
  <si>
    <t>We are grateful to Klass Hartmann and Craig Mundy who provided the wave and SST satellite data. We also thank Eric Oliver who extracted the current transport data from around Tasmania. Funding for this research has been provided by the PhD scholarship BECAS-Chile Programme to I.A.H., the Australian Research Council Linkage Projects (Project No. LP120200164) from B.S.G. and C.G. and (Project No. LP150100064) from A.J., the ANZ Trustees Programme 'Holsworth Wildlife Research Endowment', the Australian Research Council's Industrial Transformation Research Hub funding scheme (Project number IH 120100032) to A.J, and government funded lobster fishery research programs in South Australia, Victoria, Tasmania and New Zealand. We also thank the funding during the preparation of the final manuscript to the Millennium Nucleus for Ecology and Sustainable Management of Oceanic Islands (ESMOI) which is a Millennium Nucleus (NC120030) supported the Millenium Scientific Initiative of the Ministry of Economy, Development and Tourism (Chile).</t>
  </si>
  <si>
    <t>1054-6006</t>
  </si>
  <si>
    <t>1365-2419</t>
  </si>
  <si>
    <t>FISH OCEANOGR</t>
  </si>
  <si>
    <t>Fish Oceanogr.</t>
  </si>
  <si>
    <t>10.1111/fog.12185</t>
  </si>
  <si>
    <t>Fisheries; Oceanography</t>
  </si>
  <si>
    <t>EE1GP</t>
  </si>
  <si>
    <t>WOS:000389329300004</t>
  </si>
  <si>
    <t>Kow, F; Liu, JR</t>
  </si>
  <si>
    <t>Jen, JJ; Chen, J</t>
  </si>
  <si>
    <t>Kow, Felicia; Liu, Junrong</t>
  </si>
  <si>
    <t>Food Safety Aspects of Aquatic Products in China</t>
  </si>
  <si>
    <t>FOOD SAFETY IN CHINA: SCIENCE, TECHNOLOGY, MANAGEMENT AND REGULATION</t>
  </si>
  <si>
    <t>[Kow, Felicia] Univ Tasmania, Inst Marine &amp; Antarctic Sci, Launceston, Tas, Australia; [Liu, Junrong] Dalian Ocean Univ, Coll Food Sci &amp; Engn, Seafood Technol Qual &amp; Safety, Dalian, Liaoning, Peoples R China</t>
  </si>
  <si>
    <t>University of Tasmania; Dalian Ocean University</t>
  </si>
  <si>
    <t>Kow, F (corresponding author), Univ Tasmania, Inst Marine &amp; Antarctic Sci, Launceston, Tas, Australia.</t>
  </si>
  <si>
    <t>JOHN WILEY &amp; SONS LTD</t>
  </si>
  <si>
    <t>CHICHESTER</t>
  </si>
  <si>
    <t>THE ATRIUM, SOUTHERN GATE, CHICHESTER PO19 8SQ, WEST SUSSEX, ENGLAND</t>
  </si>
  <si>
    <t>978-1-119-23810-2; 978-1-119-23796-9</t>
  </si>
  <si>
    <t>10.1002/9781119238102</t>
  </si>
  <si>
    <t>BM7TZ</t>
  </si>
  <si>
    <t>WOS:000468401500033</t>
  </si>
  <si>
    <t>Brasier, MJ; Harle, J; Wiklund, H; Jeffreys, RM; Linse, K; Ruhl, HA; Glover, AG</t>
  </si>
  <si>
    <t>Brasier, Madeleine J.; Harle, James; Wiklund, Helena; Jeffreys, Rachel M.; Linse, Katrin; Ruhl, Henry A.; Glover, Adrian G.</t>
  </si>
  <si>
    <t>Distributional Patterns of Polychaetes Across the West Antarctic Based on DNA Barcoding and Particle Tracking Analyses</t>
  </si>
  <si>
    <t>FRONTIERS IN MARINE SCIENCE</t>
  </si>
  <si>
    <t>circumpolar; biogeography; deep-sea; cryptic species; Southern Ocean; benthos</t>
  </si>
  <si>
    <t>LONG-DISTANCE DISPERSAL; PELAGIC LARVAL DURATION; SOUTHERN-OCEAN; PROMACHOCRINUS-KERGUELENSIS; MARINE-INVERTEBRATES; CRYPTIC SPECIATION; ENERGY-METABOLISM; ROSS SEA; POPULATIONS; TRANSPORT</t>
  </si>
  <si>
    <t>Recent genetic investigations have uncovered a high proportion of cryptic species within Antarctic polychaetes. It is likely that these evolved in isolation during periods of glaciation, and it is possible that cryptic populations would have remained geographically restricted from one another occupying different regions of Antarctica. By analysing the distributions of nine morphospecies, (six of which contained potential cryptic species), we find evidence for widespread distributions within the West Antarctic. Around 60% of the cryptic species exhibited sympatric distributions, and at least one cryptic Glade was found to be widespread. Additional DNA barcodes from GenBank and morphological records extended the observed range of three species studied here, and indicate potential circum-Antarctic traits. Particle tracking analyses were used to model theoretical dispersal ranges of pelagic larvae. Data from these models suggest that the observed species distributions inferred from genetic similarity could have been established and maintained through the regional oceanographic currents, including the Antarctic Circumpolar Current (ACC) and its coastal counter current. Improved understanding of the distribution of Antarctic fauna is essential for predicting the impacts of environmental change and determining management strategies for the region.</t>
  </si>
  <si>
    <t>[Brasier, Madeleine J.; Jeffreys, Rachel M.] Univ Liverpool, Sch Environm Sci, Liverpool, Merseyside, England; [Brasier, Madeleine J.; Wiklund, Helena; Glover, Adrian G.] Nat Hist Museum, Life Sci, London, England; [Harle, James; Ruhl, Henry A.] Univ Southampton, Natl Oceanog Ctr, Southampton, Hants, England; [Linse, Katrin] British Antarctic Survey, BioSci, Cambridge, England</t>
  </si>
  <si>
    <t>University of Liverpool; Natural History Museum London; NERC National Oceanography Centre; University of Southampton; UK Research &amp; Innovation (UKRI); Natural Environment Research Council (NERC); NERC British Antarctic Survey</t>
  </si>
  <si>
    <t>Brasier, MJ (corresponding author), Univ Liverpool, Sch Environm Sci, Liverpool, Merseyside, England.;Brasier, MJ (corresponding author), Nat Hist Museum, Life Sci, London, England.</t>
  </si>
  <si>
    <t>m.brasier@liverpool.ac.uk</t>
  </si>
  <si>
    <t>Jeffreys, Rachel M/J-5645-2013</t>
  </si>
  <si>
    <t>Brasier, Madeleine/0000-0003-2844-655X; Wiklund, Helena/0000-0002-8252-3504</t>
  </si>
  <si>
    <t>University of Liverpool; National Oceanography Centre; Natural Environment Research Council; NERC [noc010009, noc010010, bas0100036] Funding Source: UKRI; Natural Environment Research Council [bas0100036, noc010010, noc010009] Funding Source: researchfish</t>
  </si>
  <si>
    <t>University of Liverpool; National Oceanography Centre;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</si>
  <si>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All DNA barcoding was supported by MB's PhD research training grant received from the University of Liverpool and the National Oceanography Centre. The expeditions JR144, JR179 (BIOPEARL I and II) and JR275 were part of the British Antarctic Survey core programmes Global Science in the Antarctic Context and Polar Science for Planet Earth funded by The Natural Environment Research Council.</t>
  </si>
  <si>
    <t>2296-7745</t>
  </si>
  <si>
    <t>FRONT MAR SCI</t>
  </si>
  <si>
    <t>Front. Mar. Sci.</t>
  </si>
  <si>
    <t>10.3389/fmars.2017.00356</t>
  </si>
  <si>
    <t>VH8ZJ</t>
  </si>
  <si>
    <t>WOS:000457690600354</t>
  </si>
  <si>
    <t>Carrasco, C; Karstensen, J; Farias, L</t>
  </si>
  <si>
    <t>Carrasco, Cristina; Karstensen, Johannes; Farias, Laura</t>
  </si>
  <si>
    <t>On the Nitrous Oxide Accumulation in Intermediate Waters of the Eastern South Pacific Ocean</t>
  </si>
  <si>
    <t>N2O accumulation; nitrification; denitrification; eastern South Pacific Ocean; water mass analysis; intermediate waters</t>
  </si>
  <si>
    <t>OXYGEN-MINIMUM-ZONE; N2O; MASSES; COASTAL; CYCLE; DENITRIFICATION; CHLOROPHYLL; CIRCULATION; SOLUBILITY; SIGNATURE</t>
  </si>
  <si>
    <t>Nitrous oxide (N2O) is a powerful greenhouse gas principally produced by nitrification and denitrification in the marine environment. Observations were made in the eastern South Pacific (ESP), between 10 degrees and 60'degrees S, and similar to 75 degrees-88 degrees W, from intermediate waters targeting Antarctic Intermediate Water (AAIW) at potential density of 27.0-27.1 kg m(-3). Between 60 degrees and 20 degrees S, a gradual equatorward increase of N2O from 8 to 26 nmol L-1 was observed at density 27.0-27.1 kg m(-3) where AAIW penetrates. Positive correlations were found between apparent N2O production (Delta N2O) and O-2 utilization (AOU), and between Delta N2O and which suggested that local N2O production is predominantly produced by nitrification. Closer to the equator, between 20 degrees and 10 degrees S at AAIW core, a strong N2O increase up to 75 nmol L-1 was observed. Because negative correlations were found between Delta N2O vs. NO3- and Delta N2O vs. NC (a Nitrogen deficit index) and because Delta N2O and AOU do not follow a linear trend, we suspect that, in addition to nitrification, denitrification also takes place in N2O cycling. By making use of water mass mixing analyses, we show that an increase in N2O occurs in the region where high oxygen from AAIW merges with low oxygen from Equatorial Subsurface Water (ESSVV), creating favorable conditions for local N2O production. We conclude that the non-linearity in the relationship between N2O and O-2 is a result of mixing between two water masses with very different source characteristics, paired with the different time frames of nitrification and denitrification processes that impact water masses en route before they finally meet and mix in the ESP region.</t>
  </si>
  <si>
    <t>[Carrasco, Cristina; Farias, Laura] Univ Concepcion, Dept Oceanog, Programa Postgrad Oceanog, Concepcion, Chile; [Karstensen, Johannes; Farias, Laura] GEOMAR Helmholtz Ctr Ocean Res Kiel, Kiel, Germany; Univ Concepcion, Dept Oceanog, Concepcion, Chile; Ctr Climate Resilience &amp; Res, Concepcion, Chile</t>
  </si>
  <si>
    <t>Universidad de Concepcion; Helmholtz Association; GEOMAR Helmholtz Center for Ocean Research Kiel; Universidad de Concepcion</t>
  </si>
  <si>
    <t>Farias, L (corresponding author), Univ Concepcion, Dept Oceanog, Programa Postgrad Oceanog, Concepcion, Chile.;Farias, L (corresponding author), GEOMAR Helmholtz Ctr Ocean Res Kiel, Kiel, Germany.</t>
  </si>
  <si>
    <t>laura.farias@udec.cl</t>
  </si>
  <si>
    <t>Karstensen, Johannes/A-8534-2013</t>
  </si>
  <si>
    <t>Karstensen, Johannes/0000-0001-5044-7079</t>
  </si>
  <si>
    <t>Institute Antartico Chileno (INACH) from the Graduate Thesis Support Program [M_07-10]; German Academic Exchange Service (DAAD); German Science Foundation as part of the Sonderforschungshereich 754 Climate-Biogeochemistry Interactions in the Tropical Ocean; FONDAP program [1501007, 1511009]; IMO [ICM 120019]</t>
  </si>
  <si>
    <t>Institute Antartico Chileno (INACH) from the Graduate Thesis Support Program; German Academic Exchange Service (DAAD)(Deutscher Akademischer Austausch Dienst (DAAD)); German Science Foundation as part of the Sonderforschungshereich 754 Climate-Biogeochemistry Interactions in the Tropical Ocean; FONDAP program(Comision Nacional de Investigacion Cientifica y Tecnologica (CONICYT)CONICYT FONDAP); IMO</t>
  </si>
  <si>
    <t>The first author wishes to acknowledge the Institute Antartico Chileno (INACH) for the grant received from the Graduate Thesis Support Program (Project M_07-10) and also wishes to thank the German Academic Exchange Service (DAAD) for the research grant received (scholarships of short duration). JK acknowledges funding from the German Science Foundation as part of the Sonderforschungshereich 754 Climate-Biogeochemistry Interactions in the Tropical Ocean. This research is a contribution by the FONDAP (grant 1501007 and 1511009) program. Additionally, IT was supported by ICM 120019 project (IMO). All authors thank Drs. Hermann W. Bange and Annette Kock who kindly provided N2O data from cruise M77-4 (SFB 754). We thank Lynne D. Talley for the invitation to participate in the SAMFLOC cruise and we appreciate the comments and corrections done by Dr. Caitlin Frame to the final version of this manuscript.</t>
  </si>
  <si>
    <t>10.3389/fmars.2017.00024</t>
  </si>
  <si>
    <t>WOS:000457690600024</t>
  </si>
  <si>
    <t>Cavanagh, RD; Murphy, EJ; Bracegirdle, TJ; Turner, J; Knowland, CA; Corney, SP; Smith, WO; Waluda, CM; Johnston, NM; Bellerby, RGJ; Constable, AJ; Costa, DP; Hofmann, EE; Jackson, JA; Staniland, IJ; Wolf-Gladrow, D; Xavier, JC</t>
  </si>
  <si>
    <t>Cavanagh, Rachel D.; Murphy, Eugene J.; Bracegirdle, Thomas J.; Turner, John; Knowland, Cheryl A.; Corney, Stuart P.; Smith, Walker O., Jr.; Waluda, Claire M.; Johnston, Nadine M.; Bellerby, Richard G. J.; Constable, Andrew J.; Costa, Daniel P.; Hofmann, Eileen E.; Jackson, Jennifer A.; Staniland, Iain J.; Wolf-Gladrow, Dieter; Xavier, Jose C.</t>
  </si>
  <si>
    <t>A Synergistic Approach for Evaluating Climate Model Output for Ecological Applications</t>
  </si>
  <si>
    <t>IPCC; CMIP5; climate models; Southern Ocean; marine ecosystems; climate change; sea ice</t>
  </si>
  <si>
    <t>ANTARCTIC SEA-ICE; SOUTHERN-OCEAN; ROSS SEA; MARINE ECOSYSTEM; IMPACTS; KRILL; VARIABILITY; PROJECTIONS; PENINSULA; POLAR</t>
  </si>
  <si>
    <t>Increasing concern about the impacts of climate change on ecosystems is prompting ecologists and ecosystem managers to seek reliable projections of physical drivers of change. The use of global climate models in ecology is growing, although drawing ecologically meaningful conclusions can be problematic. The expertise required to access and interpret output from climate and earth system models is hampering progress in utilizing them most effectively to determine the wider implications of climate change. To address this issue, we present a joint approach between climate scientists and ecologists that explores key challenges and opportunities for progress. As an exemplar, our focus is the Southern Ocean, notable for significant change with global implications, and on sea ice, given its crucial role in this dynamic ecosystem. We combined perspectives to evaluate the representation of sea ice in global climate models. With an emphasis on ecologically-relevant criteria (sea ice extent and seasonality) we selected a subset of eight models that reliably reproduce extant sea ice distributions. While the model subset shows a similar mean change to the full ensemble in sea ice extent (approximately 50% decline in winter and 30% decline in summer), there is a marked reduction in the range. This improved the precision of projected future sea ice distributions by approximately one third, and means they are more amenable to ecological interpretation. We conclude that careful multidisciplinary evaluation of climate models, in conjunction with ongoing modeling advances, should form an integral part of utilizing model output.</t>
  </si>
  <si>
    <t>[Cavanagh, Rachel D.; Murphy, Eugene J.; Bracegirdle, Thomas J.; Turner, John; Knowland, Cheryl A.; Waluda, Claire M.; Johnston, Nadine M.; Jackson, Jennifer A.; Staniland, Iain J.; Xavier, Jose C.] British Antarctic Survey, Cambridge, England; [Corney, Stuart P.; Constable, Andrew J.] Univ Tasmania, Antarctic Climate &amp; Ecosyst Cooperat Res Ctr, Hobart, Tas, Australia; [Smith, Walker O., Jr.] Virginia Inst Marine Sci, Coll William &amp; Mary, Gloucester Point, VA 23062 USA; [Bellerby, Richard G. J.] East China Normal Univ, NIVA Ctr Marine &amp; Coastal Res, SKLEC, Shanghai, Peoples R China; [Bellerby, Richard G. J.] Norwegian Inst Water Res, Bergen, Norway; [Constable, Andrew J.] Australian Commonwealth Dept Environm &amp; Energy, Australian Antarctic Div, Kingston, Tas, Australia; [Costa, Daniel P.] Univ Calif Santa Cruz, Dept Ecol &amp; Evolutionary Biol, Santa Cruz, CA 95064 USA; [Hofmann, Eileen E.] Old Dominion Univ, Ctr Coastal Phys Oceanog, Norfolk, VA USA; [Wolf-Gladrow, Dieter] Helmholtz Zentrum Polar &amp; Meeresforsch, Alfred Wegener Inst, Bremerhaven, Germany; [Xavier, Jose C.] Univ Coimbra, Marine &amp; Environm Sci Ctr, Dept Ciencias Vida, Coimbra, Portugal; [Knowland, Cheryl A.] Kings Coll London, Grad Sch, London, England</t>
  </si>
  <si>
    <t>UK Research &amp; Innovation (UKRI); Natural Environment Research Council (NERC); NERC British Antarctic Survey; Antarctic Climate &amp; Ecosystems Cooperative Research Centre (ACE CRC); University of Tasmania; William &amp; Mary; Virginia Institute of Marine Science; East China Normal University; Norwegian Institute for Water Research (NIVA); Australian Antarctic Division; University of California System; University of California Santa Cruz; Old Dominion University; Helmholtz Association; Alfred Wegener Institute, Helmholtz Centre for Polar &amp; Marine Research; Universidade de Coimbra; University of London; King's College London</t>
  </si>
  <si>
    <t>Cavanagh, RD (corresponding author), British Antarctic Survey, Cambridge, England.</t>
  </si>
  <si>
    <t>rcav@bas.ac.uk</t>
  </si>
  <si>
    <t>murphy, eugene/GZL-1620-2022; Jackson, Jennifer A/E-7997-2013; Staniland, Iain/I-4725-2012; Carlos, Universidade Federal de São/W-8832-2019; Xavier, José/KFB-6739-2024; Bracegirdle, Tom/AAD-6060-2020; Bellerby, Richard/ABD-6590-2021; Costa, Daniel Paul/E-2616-2013</t>
  </si>
  <si>
    <t>Staniland, Iain/0000-0003-2736-9134; Carlos, Universidade Federal de São/0000-0002-0334-3899; Bellerby, Richard/0000-0003-3598-4006; Jackson, Jennifer/0000-0003-4158-1924; Johnston, Nadine M/0000-0003-2211-1492; Costa, Daniel Paul/0000-0002-0233-5782; /0000-0002-9621-6660</t>
  </si>
  <si>
    <t>ICED under a Natural Environment Research Council (NERC) International Opportunities Fund [NE/I029943/1]; NERC core funding; Integrated Marine Biosphere Research (IMBeR); Australian Government's Cooperative Research Centres Programme through the Antarctic Climate and Ecosystems Cooperative Research Centre; Investigator FCT program [IF/00616/2013]; FCT [MARE-UID/MAR/04292/2013]; NERC [NE/I029943/1, bas0100032, bas0100035] Funding Source: UKRI</t>
  </si>
  <si>
    <t>ICED under a Natural Environment Research Council (NERC) International Opportunities Fund; NERC core funding; Integrated Marine Biosphere Research (IMBeR); Australian Government's Cooperative Research Centres Programme through the Antarctic Climate and Ecosystems Cooperative Research Centre(Australian GovernmentDepartment of Industry, Innovation and ScienceCooperative Research Centres (CRC) Programme); Investigator FCT program(Fundacao para a Ciencia e a Tecnologia (FCT)); FCT(Fundacao para a Ciencia e a Tecnologia (FCT)); NERC(UK Research &amp; Innovation (UKRI)Natural Environment Research Council (NERC))</t>
  </si>
  <si>
    <t>This paper builds on discussions that took place at a multidisciplinary workshop convened by the Integrating Climate and Ecosystem Dynamics in the Southern Ocean programme (ICED) and hosted by the British Antarctic Survey (BAS). We thank all the workshop participants. The study (and specifically RC, EM, NJ, JT, CK) was supported by ICED under a Natural Environment Research Council (NERC) International Opportunities Fund Grant NE/I029943/1, together with NERC core funding to BAS. Additional workshop funding was provided by Integrated Marine Biosphere Research (IMBeR). SC and AC were supported by the Australian Government's Cooperative Research Centres Programme through the Antarctic Climate and Ecosystems Cooperative Research Centre. JX was supported by the Investigator FCT program (IF/00616/2013) and this study benefited from the strategic program of MARE, financed by FCT (MARE-UID/MAR/04292/2013). We acknowledge Tony Philips (BAS) for downloading and managing local copies of the required CMIP5 data. We acknowledge the World Climate Research Programme's Working Group on Coupled Modelling (responsible for CMIP), and we thank the climate modelling groups (Supplementary Table 4) for producing and making their model output available. For CMIP the U.S.</t>
  </si>
  <si>
    <t>10.3389/fmars.2017.00308</t>
  </si>
  <si>
    <t>WOS:000457690600306</t>
  </si>
  <si>
    <t>Coello-Camba, A; Agusti, S</t>
  </si>
  <si>
    <t>Coello-Camba, Alexandra; Agusti, Susana</t>
  </si>
  <si>
    <t>Thermal Thresholds of Phytoplankton Growth in Polar Waters and Their Consequences for a Warming Polar Ocean</t>
  </si>
  <si>
    <t>phytoplankton; polar oceans; thermal threshold; climate change; spring bloom</t>
  </si>
  <si>
    <t>CLIMATE-CHANGE; TEMPERATURE-DEPENDENCE; MARINE; SEA; ADAPTATION; RESPONSES; PHOTOSYNTHESIS; STRAINS; DIATOMS; FLUXES</t>
  </si>
  <si>
    <t>Polar areas are experiencing the steepest warming rates on Earth, a trend expected to continue in the future. In these habitats, phytoplankton communities constitute the basis of the food web and their thermal tolerance may dictate how warming affects these delicate environments. Here, we compiled available data on thermal responses of phytoplankton growth in polar waters. We assembled 53 growth-vs. -temperature curves (25 from the Arctic, 28 from the Southern oceans), indicating the limited information available for these ecosystems. Half of the data from Arctic phytoplankton came from natural communities where low ambient concentrations could limit growth rates. Phytoplankton from polar waters grew faster under small temperature increases until reaching an optimum ((OPT)), and slowed when temperatures increased beyond this value. This left-skewed curves were characterized by higher activation energies (Ea) for phytoplankton growth above than below the T-OPT. Combining these thermal responses we obtained a community T-OPT of 6.5 degrees C (+/- 0.2) and 5.2 degrees C (+/- 0.1) for Arctic and Southern Ocean phytoplankton communities, respectively. These threshold temperatures were already exceeded at 70 degrees N during the first half of August 2013, evidenced by sea surface temperatures (SSTs, satellite data, http://www.ncdc.noaa.gov). We forecasted SSTs for the end of the twenty-first century by assuming an overall 3 degrees C increase, equivalent to a low emission scenario. Our forecasts show that SSTs at 70 degrees N are expected to exceed T-OPT during summer by 2100, and during the first half of August at 75 degrees N. While recent Arctic spring temperatures average 0.5 degrees C and 0.7 degrees C at 70 degrees N and 75 degrees N, respectively, they could increase to 2.8 degrees C at 70 degrees N and 2.2 degrees C at 75 degrees N as we approach 2100. Such temperature increases could lead to intense phytoplankton blooms, shortened by fast nutrient consumption. As SSTs increase, thermal thresholds for phytoplankton growth would be eventually exceeded during bloom development. This could lead to changes in the blooming phytoplankton community, threatening the production peak and cycles in the Arctic. Our forecasted phytoplankton responses, are constrained by the limited data set, besides uncertainties in the most plausible future Arctic temperature scenarios. To improve predictions in polar oceans, we need to increase the number of studies, in particular for a fast-changing Arctic.</t>
  </si>
  <si>
    <t>[Coello-Camba, Alexandra; Agusti, Susana] King Abdullah Univ Sci &amp; Technol, Red Sea Res Ctr, Thuwal, Saudi Arabia; [Agusti, Susana] Univ Tromso, Fac Biosci Fishery &amp; Econ, Dept Arctic &amp; Marine Biol, Tromso, Norway</t>
  </si>
  <si>
    <t>King Abdullah University of Science &amp; Technology; UiT The Arctic University of Tromso</t>
  </si>
  <si>
    <t>Coello-Camba, A (corresponding author), King Abdullah Univ Sci &amp; Technol, Red Sea Res Ctr, Thuwal, Saudi Arabia.</t>
  </si>
  <si>
    <t>alexandra.camba@kaust.edu.sa</t>
  </si>
  <si>
    <t>Agusti, Susana/G-2864-2017</t>
  </si>
  <si>
    <t>Agusti, Susana/0000-0003-0536-7293; , Alexandra/0000-0001-7419-2103</t>
  </si>
  <si>
    <t>Spanish Ministry of Science and Innovation [POL2006-00550, POL2006-11139-C02-01/CGL]; King Abdullah University of Science and Technology [BES-2007-15193]</t>
  </si>
  <si>
    <t>Spanish Ministry of Science and Innovation(Spanish Government); King Abdullah University of Science and Technology(King Abdullah University of Science &amp; Technology)</t>
  </si>
  <si>
    <t>This study is a contribution to the project ATOS (Atmospheric inputs of organic carbon and pollutants to the polar ocean: rates, significance and outlook, POL2006-00550) and ESASSI (Spanish contribution to the SASSI Synoptic Antarctic Shelf-Slope Interaction international project, RN., POL2006-11139-C02-01/CGL.) funded by the Spanish Ministry of Science and Innovation. AC was supported by grant BES-2007-15193. King Abdullah University of Science and Technology also supported this research.</t>
  </si>
  <si>
    <t>10.3389/fmars.2017.00168</t>
  </si>
  <si>
    <t>WOS:000457690600168</t>
  </si>
  <si>
    <t>D'Sa, EJ; Kim, HC</t>
  </si>
  <si>
    <t>D'Sa, Eurico J.; Kim, Hyun-cheol</t>
  </si>
  <si>
    <t>Surface Gradients in Dissolved Organic Matter Absorption and Fluorescence Properties along the New Zealand Sector of the Southern Ocean</t>
  </si>
  <si>
    <t>CDOM; DOC; EEMs; PARAFAC; chlorophyll; absorption; Southern Ocean</t>
  </si>
  <si>
    <t>PARALLEL FACTOR-ANALYSIS; LIGHT-ABSORPTION; GLOBAL DISTRIBUTION; PACIFIC SECTOR; BERING-SEA; WATERS; CARBON; VARIABILITY; MARINE; DISTRIBUTIONS</t>
  </si>
  <si>
    <t>The Southern Ocean plays a critical role in the global carbon cycle; dissolved organic matter (DOM), a component in the carbon cycling, can be characterized optically. Sea surface chromophoric dissolved organic matter (CDOM) absorption and fluorescence properties were examined in the New Zealand sector of the Southern Ocean (NZSSO) along a transect encompassing various hydrographic fronts associated with the Antarctic Circumpolar Current (ACC) during summer. Phytoplankton chlorophyll, dissolved organic carbon (DOC) and CDOM absorption were observed to be most elevated off the New Zealand shore and then decreased to low values [chlorophyll: 0.21 +/- 0.06 mg m(-3); DOC: 54.19 +/- 4.02 mu M, and CDOM absorption coefficient at 325 nm (a(g)325): 0.097 +/- 0.061 m(-1)] between the Subtropical (STF) and Antarctic Polar (APF) Fronts. Increases in phytoplankton biomass and DOC concentrations between the fronts were associated with meanders or eddies observed in satellite sea surface salinity and chlorophyll imagery. Overall, CDOM absorption was the dominant contributor to total absorption at 443 nm with implications for ocean color. Beyond the APF in the Antarctic Zone, an elevated chlorophyll band likely associated with upwelled waters transitioned to low chlorophyll in the summer ice edge zone that influenced DOM optical properties. A latitudinal increase in a(g)325 and corresponding decrease in spectral slope S (mu m(-1)) poleward from the STF could be due to a combination of factors including, decreasing CDOM photooxidation, upwelling of high-CDOM waters or bacterial CDOM production in the Antarctic Zone. Parallel factor analysis (PARAFAC) of fluorescence spectra identified two protein-like (Cl and C2) and two humic-like (C3 and C4) components common in the global ocean. a(g)325 and the humic-like C4 fluorescent component were positively correlated to chlorophyll, indicating biological control. Surface distribution of the protein like Cl and C2 and the marine humic-like C3 components showed patterns that appeared to be influenced by both physical and biological processes. This study provides insights into surface CDOM optical properties and its transformation along a complex topographically influenced sector of the Southern Ocean that could be used to trace changes linked to the meridional overturning circulation.</t>
  </si>
  <si>
    <t>[D'Sa, Eurico J.] Louisiana State Univ, Dept Oceanog &amp; Coastal Sci, Baton Rouge, LA 70803 USA; [Kim, Hyun-cheol] Korea Polar Res Inst, Incheon, South Korea</t>
  </si>
  <si>
    <t>Louisiana State University System; Louisiana State University; Korea Polar Research Institute (KOPRI)</t>
  </si>
  <si>
    <t>D'Sa, EJ (corresponding author), Louisiana State Univ, Dept Oceanog &amp; Coastal Sci, Baton Rouge, LA 70803 USA.</t>
  </si>
  <si>
    <t>ejdsa@lsu.edu</t>
  </si>
  <si>
    <t>D'Sa, Eurico/ABA-6699-2020; Kim, Hyun-Cheol/AAP-1250-2020</t>
  </si>
  <si>
    <t>Kim, Hyun-Cheol/0000-0002-6831-9291; D'Sa, Eurico/0000-0002-5262-6094</t>
  </si>
  <si>
    <t>Korea Polar Research Institute (KOPRI) [PL16040, PE17120]</t>
  </si>
  <si>
    <t>Funding for this work was provided by a Korea Polar Research Institute (KOPRI) grant PL16040 (Satellite remote sensing on west Antarctic ocean research: STAR) and partly supported by PE17120.</t>
  </si>
  <si>
    <t>10.3389/fmars.2017.00021</t>
  </si>
  <si>
    <t>WOS:000457690600021</t>
  </si>
  <si>
    <t>Dawson, SM; Bowman, MH; Leunissen, E; Sirguey, P</t>
  </si>
  <si>
    <t>Dawson, Stephen M.; Bowman, M. Hamish; Leunissen, Eva; Sirguey, Pascal</t>
  </si>
  <si>
    <t>Inexpensive Aerial Photogrammetry for Studies of Whales and Large Marine Animals</t>
  </si>
  <si>
    <t>aerial; photogrammetry; UAV; LIDAR; whale</t>
  </si>
  <si>
    <t>We describe a simple system enabling accurate measurement of swimming marine mammals and other large vertebrates from low-altitude single-frame photogrammetry via inexpensive modifications to a-prosumer unmanned aerial vehicle (UAV) equipped with gimballed micro4/3 camera and 25 mm lens. Image scale is established via an independently powered LIDAR/GPS data-logging system recording altitude and GPS location at 1 Hz. Photogrammetric calibration of the camera and lens allowed distortion parameters to be rigorously accounted for during image analysis, via a custom-programmed Graphical User Interface (GUI) running in MATLAB. The datalogger, camera calibration methods and measurement software are adaptable to a wide range of UAV platforms. Mean LIDAR accuracy, measured from 10 bridges 9-39 m above water, was 99.9%. We conducted 136 flights in New Zealand's subantarctic Auckland Islands to measure southern right whales. Mean lengths of 10 individual whales, each photographed between 7 and 15 times, had CVs (SD/mean) ranging from 0.5 to 1.8% (mean = 1.2%). Repeated measurements of a floating reference target showed a mean error of c.1%. Our system is relatively inexpensive, easily put together, produces accurate, repeatable measurements from single vertical images, and hence is applicable to a wide range of ecological questions in marine and terrestrial habitats.</t>
  </si>
  <si>
    <t>[Dawson, Stephen M.; Leunissen, Eva] Univ Otago, Dept Marine Sci, Dunedin, New Zealand; [Bowman, M. Hamish] Univ Otago, Dept Geol, Dunedin, New Zealand; [Sirguey, Pascal] Univ Otago, Sch Surveying, Dunedin, New Zealand</t>
  </si>
  <si>
    <t>University of Otago; University of Otago; University of Otago</t>
  </si>
  <si>
    <t>Dawson, SM (corresponding author), Univ Otago, Dept Marine Sci, Dunedin, New Zealand.</t>
  </si>
  <si>
    <t>steve.dawson@otago.ac.nz</t>
  </si>
  <si>
    <t>Bowman, Michael/0000-0002-0455-9421</t>
  </si>
  <si>
    <t>New Zealand Antarctic Research institute; Otago University; NZ Whale and Dolphin Trust</t>
  </si>
  <si>
    <t>This research was principally funded by the New Zealand Antarctic Research institute, with additional support from Otago University and NZ Whale and Dolphin Trust. SD is especially grateful to Colin Gans for UAV advice. Mike Paulin helped with our prototype LIDAR-datalogger. We thank the crew and expedition members on board Polaris II for the 2016 Winter season. Richard Greasley (LacIdands NZ ltd) facilitated a discounted Inspire 1 Pro. Alastair Neaves, Mike Denham and Ray McLennan advised on measuring LIDAR accuracy. We thank Chris Fitzpatrick for administrative assistance.</t>
  </si>
  <si>
    <t>10.3389/fmars.2017.00366</t>
  </si>
  <si>
    <t>WOS:000457690600364</t>
  </si>
  <si>
    <t>Deppeler, SL; Davidson, AT</t>
  </si>
  <si>
    <t>Deppeler, Stacy L.; Davidson, Andrew T.</t>
  </si>
  <si>
    <t>Southern Ocean Phytoplankton in a Changing Climate</t>
  </si>
  <si>
    <t>Southern Ocean; phytoplankton; climate change; primary productivity; Antarctica</t>
  </si>
  <si>
    <t>ANTARCTIC SEA-ICE; NATURAL IRON FERTILIZATION; ZOOPLANKTON FECAL PELLETS; NET COMMUNITY PRODUCTION; DIATOM RESTING SPORES; ROSS SEA; MARINE-PHYTOPLANKTON; EAST ANTARCTICA; CARBON EXPORT; MIXED-LAYER</t>
  </si>
  <si>
    <t>Phytoplank ton are the base of the Antarctic food web, sustain the wealth and diversity of life for which Antarctica is renowned, and play a critical role in biogeochemical cycles that mediate global climate. Over the vast expanse of the Southern Ocean (SO), the climate is variously predicted to experience increased warming, strengthening wind, acidification, shallowing mixed layer depths, increased light (and UV), changes in upwelling and nutrient replenishment, declining sea ice, reduced salinity, and the southward migration of ocean fronts. These changes are expected to alter the structure and function of phytoplankton communities in the SO. The diverse environments contained within the vast expanse of the SO will be impacted differently by climate change; causing the identity and the magnitude of environmental factors driving biotic change to vary within and among bioregions. Predicting the net effect of multiple climate-induced stressors over a range of environments is complex. Yet understanding the response of SO phytoplankton to climate change is vital if we are to predict the future states of the ecosystem, estimate the impacts on fisheries and endangered species, and accurately predict the effects of physical and biotic change in the SO on global climate. This review looks at the major environmental factors that define the structure and function of phytoplankton communities in the SO, examines the forecast changes in the SO environment, predicts the likely effect of these changes on phytoplankton, and considers the ramifications for trophodynamics and feedbacks to global climate change. Predictions strongly suggest that all regions of the SO will experience changes in phytoplankton productivity and community composition with climate change. The nature, and even the sign, of these changes varies within and among regions and will depend upon the magnitude and sequence in which these environmental changes are imposed. It is likely that predicted changes to phytoplankton communities will affect SO biogeochemistry, carbon export, and nutrition for higher trophic levels.</t>
  </si>
  <si>
    <t>[Deppeler, Stacy L.] Univ Tasmania, Inst Marine &amp; Antarctic Studies, Hobart, Tas, Australia; [Davidson, Andrew T.] Australian Antarctic Div, Environm &amp; Energy Dept, Kingston, Tas, Australia; [Davidson, Andrew T.] Univ Tasmania, ACE CRC, Hobart, Tas, Australia</t>
  </si>
  <si>
    <t>University of Tasmania; Australian Antarctic Division; University of Tasmania; Antarctic Climate &amp; Ecosystems Cooperative Research Centre (ACE CRC)</t>
  </si>
  <si>
    <t>Deppeler, SL (corresponding author), Univ Tasmania, Inst Marine &amp; Antarctic Studies, Hobart, Tas, Australia.</t>
  </si>
  <si>
    <t>stacy.deppeler@utas.edu.au</t>
  </si>
  <si>
    <t>Deppeler, Stacy/I-1546-2014</t>
  </si>
  <si>
    <t>Deppeler, Stacy/0000-0003-2213-2656</t>
  </si>
  <si>
    <t>Australian Government, Department of Environment and Energy as part of Australian Antarctic Science Project at the Australian Antarctic Division [4026]; Elite Research Scholarship - Institute for Marine and Antarctic Studies, University of Tasmania</t>
  </si>
  <si>
    <t>Australian Government, Department of Environment and Energy as part of Australian Antarctic Science Project at the Australian Antarctic Division(Australian Government); Elite Research Scholarship - Institute for Marine and Antarctic Studies, University of Tasmania</t>
  </si>
  <si>
    <t>This review was funded by the Australian Government, Department of Environment and Energy as part of Australian Antarctic Science Project 4026 at the Australian Antarctic Division and an Elite Research Scholarship awarded by the Institute for Marine and Antarctic Studies, University of Tasmania.</t>
  </si>
  <si>
    <t>10.3389/fmars.2017.00040</t>
  </si>
  <si>
    <t>WOS:000457690600040</t>
  </si>
  <si>
    <t>Hassler, CS; van den Berg, CMG; Boyd, PW</t>
  </si>
  <si>
    <t>Hassler, Christel S.; van den Berg, Constant M. G.; Boyd, Philip W.</t>
  </si>
  <si>
    <t>Toward a Regional Classification to Provide a More Inclusive Examination of the Ocean Biogeochemistry of Iron-Binding Ligands</t>
  </si>
  <si>
    <t>iron; exopolymeric substances; humics; organic ligands; oceanic distribution</t>
  </si>
  <si>
    <t>DISSOLVED ORGANIC-MATTER; CATHODIC STRIPPING VOLTAMMETRY; EXTRACELLULAR POLYMERIC SUBSTANCES; SUB-ANTARCTIC WATERS; HUMIC SUBSTANCES; COMPLEXING LIGANDS; CHEMICAL SPECIATION; NORTH PACIFIC; SURFACE OCEAN; HYDROXAMATE SIDEROPHORES</t>
  </si>
  <si>
    <t>Iron-binding ligands are paramount to understanding iron biogeochemistry and its potential to set the productivity and the magnitude of the biological pump in &gt;30% of the ocean. However, the nature of these ligands is largely uncharacterized and little is known about their sources, sensitivity to photochemistry and biological transformation, or scavenging behavior. Despite many uncertainties, there is no doubt that ligands are produced by a wide range of biotic and abiotic processes, and that the bulk ligand pool encompasses a diverse range of molecules. Despite widespread recognition of the likelihood of a continuum of ligand classes making up the bulk ligand pool, studies to date largely focused on the dominant ligand. Thus, most studies have overlooked the need to assess where these targeted molecules fit across the spectrum of ligands that comprise the bulk ligand pool. Here we summarize present knowledge to critically assess the source(s), function(s), production pathways, and loss mechanisms of three important iron-binding organic ligand groups in order to assess their distinctive characteristics and how they link with observed ligand distributions. We considered that ligands are contained in broad groupings of exopolymer substances (EPS), humic substances (HS), and siderophores; using literature data for speciation modeling suggested that this adequately described the iron speciation reported in the ocean. We hypothesize that a holistic viewpoint of the multi-faceted controls on ligands dynamics is essential to begin to understand why some ligands can be expected to dominate in particular oceanic regions, depth strata, or exhibit seasonality and/or lateral gradients. We advocate that the development of a regional classification will enhance our understanding of the changing composition of the bulk ligand pool across the global ocean and to help address to what extent seasonality influences the makeup of this pool. This classification, based on selected functional ligand classes, can act as a bridge to use future ligand datasets to fill in the gaps in the continuum.</t>
  </si>
  <si>
    <t>[Hassler, Christel S.] Univ Geneva, Dept FA Forel, Marine &amp; Lake Biogeochem, Geneva, Switzerland; [van den Berg, Constant M. G.] Univ Liverpool, Sch Environm Sci, Liverpool, Merseyside, England; [Boyd, Philip W.] Univ Tasmania, Inst Marine &amp; Antarctic Studies, Hobart, Tas, Australia</t>
  </si>
  <si>
    <t>University of Geneva; University of Liverpool; University of Tasmania</t>
  </si>
  <si>
    <t>Hassler, CS (corresponding author), Univ Geneva, Dept FA Forel, Marine &amp; Lake Biogeochem, Geneva, Switzerland.</t>
  </si>
  <si>
    <t>christel.hassler@unige.ch</t>
  </si>
  <si>
    <t>Boyd, Philip/J-7624-2014</t>
  </si>
  <si>
    <t>Boyd, Philip/0000-0001-7850-1911; Hassler, Christel/0000-0002-8976-5469</t>
  </si>
  <si>
    <t>SNF Professor Fellowship [PP00P2_138955]; Australian Research Council [FL160100131, DP130100679]; University of Liverpool</t>
  </si>
  <si>
    <t>SNF Professor Fellowship; Australian Research Council(Australian Research Council); University of Liverpool</t>
  </si>
  <si>
    <t>CH was funded by a SNF Professor Fellowship (PP00P2_138955). PB received support from an Australian Research Council Australian Laureate Fellowship project FL160100131 and Discovery Project DP130100679. CV acknowledges general support from the University of Liverpool.</t>
  </si>
  <si>
    <t>10.3389/fmars.2017.00019</t>
  </si>
  <si>
    <t>WOS:000457690600019</t>
  </si>
  <si>
    <t>Kohlbach, D; Lange, BA; Schaafsma, FL; David, C; Vortkamp, M; Graeve, M; van Franeker, JA; Krumpen, T; Flores, H</t>
  </si>
  <si>
    <t>Kohlbach, Doreen; Lange, Benjamin A.; Schaafsma, Fokje L.; David, Carmen; Vortkamp, Martina; Graeve, Martin; van Franeker, Jan A.; Krumpen, Thomas; Flores, Hauke</t>
  </si>
  <si>
    <t>Ice Algae-Produced Carbon Is Critical for Overwintering of Antarctic Krill Euphausia superba</t>
  </si>
  <si>
    <t>Antarctic krill; Euphausia superba; fisheries resources; carbon sources; ice algae; marker fatty acids; compound-specific stable isotope analysis; winter survival</t>
  </si>
  <si>
    <t>FATTY-ACID-COMPOSITION; COD BOREOGADUS-SAIDA; FOOD-WEB; SOUTHERN-OCEAN; LARVAL KRILL; PACK-ICE; BELLINGSHAUSEN SEA; ENERGY BUDGETS; LIPID STORAGE; MARINE</t>
  </si>
  <si>
    <t>Antarctic krill Euphausia superba (krill) constitute a fundamental food source for Antarctic seabirds and mammals, and a globally important fisheries resource. The future resilience of krill to climate change depends critically on the winter survival of young krill. To survive periods of extremely low production by pelagic algae during winter, krill are assumed to rely partly on carbon produced by ice algae. The true dependency on ice algae-produced carbon, however, is so far unquantified. This confounds predictions on the future resilience of krill stocks to sea ice decline. Fatty acid (FA) analysis, bulk stable isotope analysis (BSIA), and compound-specific stable isotope analysis (CSIA) of diatom- and dinoflagellate-associated marker FAs were applied to quantify the dependency of overwintering larval, juvenile, and adult krill on ice algae-produced carbon (alpha(ice)) during winter 2013 in the Weddell-Scotia Confluence Zone. Our results demonstrate that the majority of the carbon uptake of the overwintering larval and juvenile krill originated from ice algae (up to 88% of the carbon budget), and that the dependency on ice algal carbon decreased with ontogeny, reaching 56% of the carbon budget in adults. Spatio-temporal variability in the utilization of ice algal carbon was more pronounced in larvae and juvenile krill than in adults. Differences between uice estimates derived from short- vs. long-term FA-specific isotopic compositions suggested that ice algae-produced carbon gained importance as the winter progressed, and might become critical at the late winter-spring transition, before the phytoplankton bloom commences. Where the sea ice season shortens, reduced availability of ice algae might possibly not be compensated by surplus phytoplankton production during wintertime. Hence, sea ice decline could seriously endanger the winter survival of recruits, and subsequently overall biomass of krill.</t>
  </si>
  <si>
    <t>[Kohlbach, Doreen; Lange, Benjamin A.; David, Carmen; Vortkamp, Martina; Flores, Hauke] Helmholtz Ctr Polar &amp; Marine Res, Alfred Wegener Inst, Polar Biol Oceanog, Bremerhaven, Germany; [Kohlbach, Doreen; Lange, Benjamin A.; David, Carmen; Flores, Hauke] Univ Hamburg, Ctr Nat Hist CeNak, Zool Museum, Hamburg, Germany; [Schaafsma, Fokje L.; van Franeker, Jan A.] Wageningen Marine Res, Den Helder, Netherlands; [Graeve, Martin] Helmholtz Ctr Polar &amp; Marine Res, Alfred Wegener Inst, Ecol Chem, Bremerhaven, Germany; [Krumpen, Thomas] Helmholtz Ctr Polar &amp; Marine Res, Alfred Wegener Inst, Climate Sci, Bremerhaven, Germany</t>
  </si>
  <si>
    <t>Helmholtz Association; Alfred Wegener Institute, Helmholtz Centre for Polar &amp; Marine Research; University of Hamburg; Wageningen University &amp; Research; Helmholtz Association; Alfred Wegener Institute, Helmholtz Centre for Polar &amp; Marine Research; Helmholtz Association; Alfred Wegener Institute, Helmholtz Centre for Polar &amp; Marine Research</t>
  </si>
  <si>
    <t>Kohlbach, D (corresponding author), Helmholtz Ctr Polar &amp; Marine Res, Alfred Wegener Inst, Polar Biol Oceanog, Bremerhaven, Germany.;Kohlbach, D (corresponding author), Univ Hamburg, Ctr Nat Hist CeNak, Zool Museum, Hamburg, Germany.</t>
  </si>
  <si>
    <t>doreen.kohlbach@awi.de</t>
  </si>
  <si>
    <t>Lange, Benjamin/H-4733-2017; Krumpen, Thomas/D-5163-2011; Flores, Hauke/ABD-1888-2020; Graeve, Martin/B-5751-2017</t>
  </si>
  <si>
    <t>Krumpen, Thomas/0000-0001-6234-8756; Flores, Hauke/0000-0003-1617-5449; David, Carmen L/0000-0002-4241-1284; Graeve, Martin/0000-0002-2294-1915; Kohlbach, Doreen/0000-0002-9245-2500; Schaafsma, Fokje/0000-0002-8945-2868; Lange, Benjamin Allen/0000-0003-4534-8978</t>
  </si>
  <si>
    <t>Netherlands Ministry of EZ [WOT -04-009-036]; Netherlands Polar Program [ALW-NWO 866.13.009]; Helmholtz Association Young Investigators Group Iceflux: ice-ecosystem carbon flux in polar oceans [VH-NG-800]</t>
  </si>
  <si>
    <t>Netherlands Ministry of EZ; Netherlands Polar Program; Helmholtz Association Young Investigators Group Iceflux: ice-ecosystem carbon flux in polar oceans</t>
  </si>
  <si>
    <t>We thank the captain Stefan Schwarze and the crew of the RV Polarstern expedition PS81 for their support with work at sea. We thank Michiel van Dorssen and Andre Meijboom for technical support with work at sea. SUIT was developed by Wageningen Marine Research with support from the Netherlands Ministry of EZ (project WOT -04-009-036) and the Netherlands Polar Program (project ALW-NWO 866.13.009). We thank Dieter Janssen and Theresa Geissler for their help with the laboratory analyses. We thank Bettina Meyer for providing ice algae samples. Sea ice concentration data were acquired from www.meereisportal.de.This study is part of the Helmholtz Association Young Investigators Group Iceflux: ice-ecosystem carbon flux in polar oceans (VH-NG-800). We thank the editor Michael Arthur St. John, and the reviewers Shiway Wang and Eugene J. Murphy for their helpful suggestions and comments during the review process.</t>
  </si>
  <si>
    <t>10.3389/fmars.2017.00310</t>
  </si>
  <si>
    <t>WOS:000457690600308</t>
  </si>
  <si>
    <t>Longo, CS; Frazier, M; Doney, SC; Rheuban, JE; Humberstone, JM; Halpern, BS</t>
  </si>
  <si>
    <t>Longo, Catherine S.; Frazier, Melanie; Doney, Scott C.; Rheuban, Jennie E.; Humberstone, Jennifer Macy; Halpern, Benjamin S.</t>
  </si>
  <si>
    <t>Using the Ocean Health Index to Identify Opportunities and Challenges to Improving Southern Ocean Ecosystem Health</t>
  </si>
  <si>
    <t>fisheries; polar; coupled systems; integrated assessment; Antarctic Treaty System</t>
  </si>
  <si>
    <t>WASTE-WATER; MARINE ECOSYSTEMS; ADELIE PENGUINS; CLIMATE-CHANGE; DAVIS STATION; KRILL FISHERY; IMPACTS; MANAGEMENT; WHALES</t>
  </si>
  <si>
    <t>The Antarctic coast and seas are considered some of the most pristine marine systems on Earth. Their comprehensive assessment is critical because meeting ambitious conservation objectives while maintaining sustainable human uses will be increasingly challenging with growing climate change impacts, recovery from past overharvesting, and potential revision of activities permitted with future revisions of the existing governance structure. We used the Ocean Health Index (OHI) to deliver an integrated assessment of the Antarctic marine ecosystems' evolving ecological and social dimensions. The OHI provides a framework to evaluate sustainable delivery of benefits people want from healthy oceans by measuring progress toward 10 widely-held societal goals. These goals include, conservation objectives, as well as other objectives, so as to identify tradeoffs across multiple priorities. We adapted the Index to the unique aspects and data availability of Antarctica. OHI scores were calculated for each sub-region defined by the Convention for the Conservation of Antarctic Marine Living Resources (CCAMLR) as well as the region overall. OHI scores for conservation related goals (biodiversity, clean water) were generally high, though with some stressor impacts (i.e., climate-driven decline of sea-ice, and pathogen pollution). However, a sensitivity test on the sea-ice habitat indicator showed biodiversity scores might be much lower in the vicinity of the Antarctic Peninsula. Preservation of lasting special places, captured in the sense of place sub-goal, scored relatively low due to limited extent of Marine Protected Areas in the Southern Ocean. In several cases, scores are low due to under-utilization of resources, rather than environmentally unsustainable practices (e.g., food provision, natural products, tourism, and recreation). However, increased human activities would intensify the risk of pollution, pathogen contamination, and disturbance to wildlife, particularly if compounded with future climate change impacts. Therefore, scores may reflect the need to select more conservative targets for human use, articulated in international treaties, taking future risks into account. Our results highlight the need for more research on both natural and social science aspects of the Antarctic system, as well as the need to evaluate targets under different scenarios, so as to provide robust science-based advice for future decision-making in the region.</t>
  </si>
  <si>
    <t>[Longo, Catherine S.] Marine Stewardship Council, Marine House, London, England; [Frazier, Melanie; Halpern, Benjamin S.] Univ Calif Santa Barbara, Natl Ctr Ecol Anal &amp; Synth, Santa Barbara, CA 93106 USA; [Doney, Scott C.; Rheuban, Jennie E.] Woods Hole Oceanog Inst, Marine Chem &amp; Geochem, Woods Hole, MA 02543 USA; [Humberstone, Jennifer Macy] SCS Global Serv, Emeryville, CA USA; [Humberstone, Jennifer Macy; Halpern, Benjamin S.] Univ Calif Santa Barbara, Bren Sch Environm Sci &amp; Management, Santa Barbara, CA 93106 USA; [Halpern, Benjamin S.] Imperial Coll London, Dept Life Sci Sliwood Pk, Fac Nat Sci, Ascot, Berks, England</t>
  </si>
  <si>
    <t>University of California System; University of California Santa Barbara; National Center for Ecological Analysis &amp; Synthesis; Woods Hole Oceanographic Institution; University of California System; University of California Santa Barbara; Imperial College London</t>
  </si>
  <si>
    <t>Halpern, BS (corresponding author), Univ Calif Santa Barbara, Natl Ctr Ecol Anal &amp; Synth, Santa Barbara, CA 93106 USA.;Halpern, BS (corresponding author), Univ Calif Santa Barbara, Bren Sch Environm Sci &amp; Management, Santa Barbara, CA 93106 USA.;Halpern, BS (corresponding author), Imperial Coll London, Dept Life Sci Sliwood Pk, Fac Nat Sci, Ascot, Berks, England.</t>
  </si>
  <si>
    <t>halpern@nceas.ucsb.edu</t>
  </si>
  <si>
    <t>Doney, Scott/F-9247-2010; Frazier, Melanie R/A-2367-2012</t>
  </si>
  <si>
    <t>Doney, Scott/0000-0002-3683-2437;</t>
  </si>
  <si>
    <t>Thomas W. Haas Fund of the New Hampshire Charitable Foundation; Oak Foundation; Joseph S. and Diane H. Steinberg Charitable Trust; Akiko Shiraki Dynner Fund for Ocean Exploration and Conservation; Palmer LTER program from the National Science Foundation Polar Programs [NSF PLR-1440435]; Pacific Life Foundation</t>
  </si>
  <si>
    <t>Thomas W. Haas Fund of the New Hampshire Charitable Foundation; Oak Foundation; Joseph S. and Diane H. Steinberg Charitable Trust; Akiko Shiraki Dynner Fund for Ocean Exploration and Conservation; Palmer LTER program from the National Science Foundation Polar Programs; Pacific Life Foundation</t>
  </si>
  <si>
    <t>Beau and heather Wrigley and the Pacific Life Foundation generously provided the founding support to the Ocean Health Index. Financial and in-kind support has also been provided by the Thomas W. Haas Fund of the New Hampshire Charitable Foundation, Jayne and Hans Huffschmid, Oak Foundation, Joseph S. and Diane H. Steinberg Charitable Trust, and the Akiko Shiraki Dynner Fund for Ocean Exploration and Conservation. SD and JR acknowledge support from the Palmer LTER program via funding from the National Science Foundation Polar Programs (NSF PLR-1440435).</t>
  </si>
  <si>
    <t>10.3389/fmars.2017.00020</t>
  </si>
  <si>
    <t>WOS:000457690600020</t>
  </si>
  <si>
    <t>Matul, A; Mohan, R</t>
  </si>
  <si>
    <t>Matul, Alexander; Mohan, Rahul</t>
  </si>
  <si>
    <t>Distribution of Polycystine Radiolarians in Bottom Surface Sediments and Its Relation to Summer Sea Temperature in the High-Latitude North Atlantic</t>
  </si>
  <si>
    <t>biogeographic provinces; high-latitude North Atlantic; polycystine radiolarians; marine environments; summer sea temperature</t>
  </si>
  <si>
    <t>VERTICAL-DISTRIBUTION; OCEAN; GREENLAND; ICELAND; PROTISTA; PATTERNS</t>
  </si>
  <si>
    <t>An objective of the study is to get new biogeographic information on the modern polycystine radiolarians from the high-latitude North Atlantic. The quantitative radiolarian dataset was compiled from publications and own micropaleontological counts from samples of the bottom surface sediments of the North Atlantic north of 40 degrees N and Nordic Seas. Standard statistical treatment of micropaleontological data by factor analysis reveals five radiolarian assemblages which have their highest load at the specific temperature range in agreement with the oceanographic setting. An occurrence of radiolarian assemblages reflects extension and interaction of the warm North Atlantic and cold Polar/Arctic waters. Radiolarian distribution exhibits good correlation with the climatically averaged summer sea temperature on depth level of 200 m.</t>
  </si>
  <si>
    <t>[Matul, Alexander] Fed Agcy Sci Org, PP Shirshov Inst Oceanol, Moscow, Russia; [Mohan, Rahul] Natl Ctr Antarctic &amp; Ocean Res, Minist Earth Sci, Earth Syst Sci Org, Vasco Da Gama, India</t>
  </si>
  <si>
    <t>Russian Academy of Sciences; Shirshov Institute of Oceanology; Ministry of Earth Sciences (MoES) - India; National Centre for Polar and Ocean Research (NCPOR); Earth System Science Organization (ESSO)</t>
  </si>
  <si>
    <t>Matul, A (corresponding author), Fed Agcy Sci Org, PP Shirshov Inst Oceanol, Moscow, Russia.</t>
  </si>
  <si>
    <t>amatul@mail.ru</t>
  </si>
  <si>
    <t>Matul, Alexander/O-9399-2015</t>
  </si>
  <si>
    <t>Matul, Alexander/0000-0002-4321-5891</t>
  </si>
  <si>
    <t>Russian Science Foundation [16-47-02009]; Department of Science and Technology of the Ministry of Science and Technology of India [16-47-02009]; National Centre for Antarctic and Ocean Research, Goa, Ministry of Earth Sciences; Russian Science Foundation [16-47-02009] Funding Source: Russian Science Foundation</t>
  </si>
  <si>
    <t>Russian Science Foundation(Russian Science Foundation (RSF)); Department of Science and Technology of the Ministry of Science and Technology of India; National Centre for Antarctic and Ocean Research, Goa, Ministry of Earth Sciences; Russian Science Foundation(Russian Science Foundation (RSF))</t>
  </si>
  <si>
    <t>Funded primarily by Joint Project No. 16-47-02009 of the Russian Science Foundation and Department of Science and Technology of the Ministry of Science and Technology of India. The funds for the same were extended by National Centre for Antarctic and Ocean Research, Goa, Ministry of Earth Sciences.</t>
  </si>
  <si>
    <t>10.3389/fmars.2017.00330</t>
  </si>
  <si>
    <t>WOS:000457690600328</t>
  </si>
  <si>
    <t>McInnes, JC; Jarman, SN; Lea, MA; Raymond, B; Deagle, BE; Phillips, RA; Catry, P; Stanworth, A; Weimerskirch, H; Kusch, A; Gras, M; Cherel, Y; Maschette, D; Alderman, R</t>
  </si>
  <si>
    <t>McInnes, Julie C.; Jarman, Simon N.; Lea, Mary-Anne; Raymond, Ben; Deagle, Bruce E.; Phillips, Richard A.; Catry, Paulo; Stanworth, Andrew; Weimerskirch, Henri; Kusch, Alejandro; Gras, Michael; Cherel, Yves; Maschette, Dale; Alderman, Rachael</t>
  </si>
  <si>
    <t>DNA Metabarcoding as a Marine Conservation and Management Tool: A Circumpolar Examination of Fishery Discards in the Diet of Threatened Albatrosses</t>
  </si>
  <si>
    <t>scat; trawl fishery; fisheries resource management; Southern Ocean; Thalassarche melanophris; seabird-fishery interaction; fish diversity; seabirds</t>
  </si>
  <si>
    <t>BLACK-BROWED ALBATROSS; ANTARCTIC FUR SEALS; PATAGONIAN TOOTHFISH; FEEDING ECOLOGY; PROCELLARIA-AEQUINOCTIALIS; THALASSARCHE-MELANOPHRIS; DIOMEDEA-MELANOPHRIS; FORAGING SEGREGATION; COMMERCIAL FISHERIES; SEABIRD MORTALITY</t>
  </si>
  <si>
    <t>Almost all of the world's fisheries overlap spatially and temporally with foraging seabirds, with impacts that range from food supplementation (through scavenging behind vessels), to resource competition and incidental mortality. The nature and extent of interactions between seabirds and fisheries vary, as does the level and efficacy of management and mitigation. Seabird dietary studies provide information on prey diversity and often identify species that are also caught in fisheries, providing evidence of linkages which can be used to improve ecosystem based management of fisheries. However, species identification of fish can be difficult with conventional dietary techniques. The black-browed albatross (Thalassarche melanophris) has a circumpolar distribution and has suffered major population declines due primarily to incidental mortality in fisheries. We use DNA metabarcoding of black-browed albatross scats to investigate their fish prey during the breeding season at six sites across their range, over two seasons. We identify the spatial and temporal diversity of fish in their diets and overlaps with fisheries operating in adjacent waters. Across all sites, 51 fish species from 33 families were identified, with 23 species contributing &gt;10% of the proportion of samples or sequences at any site. There was extensive geographic variation but little inter-annual variability in fish species consumed. Several fish species that are not easily accessible to albatross, but are commercially harvested or by-caught, were detected in the albatross diet during the breeding season. This was particularly evident at the Falkland Islands and Iles Kerguelen where higher fishery catch amounts (or discard amounts where known) corresponded to higher occurrence of these species in diet samples. This study indicates ongoing interactions with fisheries through consumption of fishery discards, increasing the risk of seabird mortality. Breeding success was higher at sites where fisheries discards were detected in the diet, highlighting the need to minimize discarding to reduce impacts on the ecosystem. DNA metabarcoding provides a valuable non-invasive tool for assessing the fish prey of seabirds across broad geographic ranges. This provides an avenue for fishery resource managers to assess compliance of fisheries with discard policies and the level of interaction with scavenging seabirds.</t>
  </si>
  <si>
    <t>[McInnes, Julie C.; Lea, Mary-Anne; Raymond, Ben] Univ Tasmania, Inst Marine &amp; Antarctic Studies, Hobart, Tas, Australia; [McInnes, Julie C.; Raymond, Ben; Deagle, Bruce E.; Maschette, Dale] Australian Antarctic Div, Kingston, Tas, Australia; [Jarman, Simon N.] Curtin Univ, Dept Environm &amp; Agr, Trace &amp; Environm DNA Lab, Perth, WA, Australia; [Jarman, Simon N.] Univ Western Australia, CSIRO, Indian Ocean Marine Res Ctr, Perth, WA, Australia; [Phillips, Richard A.] British Antarctic Survey, Nat Environm Res Council, Cambridge, England; [Catry, Paulo] ISPA Inst Univ, Marine &amp; Environm Sci Ctr, Lisbon, Portugal; [Stanworth, Andrew] Falklands Conservat, Stanley, Falkland Island; [Weimerskirch, Henri; Cherel, Yves] Univ La Rochelle, CNRS, UMR 7372, Ctr Etud Biol Chize, Villiers En Bois, France; [Kusch, Alejandro] Wildlife Conservat Soc, Punta Arenas, Chile; [Gras, Michael] Directorate Nat Resources Fisheries Falkland Isl, Stanley, Falkland Island; [Alderman, Rachael] Dept Primary Ind Pk Water &amp; Environm, Hobart, Tas, Australia</t>
  </si>
  <si>
    <t>University of Tasmania; Australian Antarctic Division; Curtin University; Commonwealth Scientific &amp; Industrial Research Organisation (CSIRO); University of Western Australia; UK Research &amp; Innovation (UKRI); Natural Environment Research Council (NERC); NERC British Antarctic Survey; Instituto Superior Psicologia Aplicada (ISPA); Centre National de la Recherche Scientifique (CNRS); CNRS - Institute of Ecology &amp; Environment (INEE); La Rochelle Universite</t>
  </si>
  <si>
    <t>McInnes, JC (corresponding author), Univ Tasmania, Inst Marine &amp; Antarctic Studies, Hobart, Tas, Australia.;McInnes, JC (corresponding author), Australian Antarctic Div, Kingston, Tas, Australia.</t>
  </si>
  <si>
    <t>julie.mcinnes@utas.edu.au</t>
  </si>
  <si>
    <t>McInnes, Julie C/C-2865-2014; Kusch, Alejandro/JXW-5866-2024; Weimerskirch, Henri/F-5562-2013; Deagle, Bruce E/R-2999-2019; Lea, Mary-Anne/E-9054-2013; Catry, Paulo/I-5408-2013; Jarman, Simon/H-9265-2016</t>
  </si>
  <si>
    <t>Deagle, Bruce E/0000-0001-7651-3687; Lea, Mary-Anne/0000-0001-8318-9299; McInnes, Julie/0000-0001-8902-5199; Maschette, Dale/0000-0003-2590-8544; Catry, Paulo/0000-0003-3000-0522; Jarman, Simon/0000-0002-0792-9686</t>
  </si>
  <si>
    <t>Australian Antarctic Science Grant [4014, 4122]; Winifred Violet Scott Charitable Trust; Falkland Islands Government; FCT-Portugal [UID/MAR/04292/2013]; NERC [bas0100035] Funding Source: UKRI</t>
  </si>
  <si>
    <t>Australian Antarctic Science Grant; Winifred Violet Scott Charitable Trust; Falkland Islands Government; FCT-Portugal(Fundacao para a Ciencia e a Tecnologia (FCT)); NERC(UK Research &amp; Innovation (UKRI)Natural Environment Research Council (NERC))</t>
  </si>
  <si>
    <t>This project was approved by the University of Tasmania Animal Ethics Committee (Permit A13745). Funding was provided by Australian Antarctic Science Grant (4014 and 4122) and the Winifred Violet Scott Charitable Trust; further funding was received from the Falkland Islands Government and from FCT-Portugal through the strategic project UID/MAR/04292/2013 granted to MARE. Falkland Islands fishery catch data were provided by the Directorate of Natural Resources-Fisheries Department of the Falkland Islands Government. Iles Kerguelen fishery data were provided through the Pecheker database with thanks to Guy Duhamel, Nicolas Gasco, Alexis Martin, Patrice Pruvost and Charlotte Chazeau. Macquarie Island data were provided by the Australian Fisheries Management Authority with assistance from Dirk Welsford at the Australian Antarctic Division. South Georgian fishery data was obtained through CCAMLR statistical bulletins. Thanks to the large number of field personnel for scat collections including Javier Arata; fishery observers for obtaining catch data; Mark Belchier and Phillipe Koubbi for advice regarding fish diversity data; the Wildlife Conservation Society for access to Steeple Jason Island and permission to collect samples; and James Marthick and the Menzies Institute (UTAS) for the use of the Miseq Genome. Sequencer.</t>
  </si>
  <si>
    <t>10.3389/fmars.2017.00277</t>
  </si>
  <si>
    <t>WOS:000457690600275</t>
  </si>
  <si>
    <t>Meyerink, S; Ellwood, MJ; Maher, WA; Strzepek, R</t>
  </si>
  <si>
    <t>Meyerink, Scott; Ellwood, Michael J.; Maher, William A.; Strzepek, Robert</t>
  </si>
  <si>
    <t>Iron Availability Influences Silicon Isotope Fractionation in Two Southern Ocean Diatoms (Proboscia inermis and Eucampia antarctica) and a Coastal Diatom (Thalassiosira pseudonana)</t>
  </si>
  <si>
    <t>silicon isotopes; Southern Ocean; diatom; isotope fractionation; iron</t>
  </si>
  <si>
    <t>SEAWATER PH MEASUREMENTS; BIOGENIC SILICA; MARINE DIATOM; ACID CONCENTRATIONS; WORLD OCEAN; CELL-SIZE; LIMITATION; LIGHT; DISSOLUTION; PHYTOPLANKTON</t>
  </si>
  <si>
    <t>The fractionation of silicon (Si) isotopes was measured in two Southern Ocean diatoms (Proboscia inermis and Eucampia Antarctica) and a coastal diatom (Thalassiosira pseudonana) that were grown under varying iron (Fe) concentrations. Varying Fe concentrations had no effect on the Si isotope enrichment factor (E) in T pseudonana, whilst E. Antarctica and P inermis exhibited significant variations in the value of E between Fe-replete and Fe-limited conditions. Mean E values in P inermis and E. Antarctica decreased from (+/- ISD) 1.11 +/- 0.15 %(o) and 1.42 +/- 0.41 %(o) (respectively) under Fe-replete conditions, to 1.38 +/- 0.27 %(o) and 1.57 +/- 0.5 %(o) (respectively) under Fe-limiting conditions. These variations likely arise from adaptations in diatoms arising from the nutrient status of their environment. T pseudonana is a coastal clone typically accustomed to low Si but high Fe conditions whereas E. Antarctica and P inermis are typically accustomed to High Si, High nitrate low Fe conditions. Growth induced variations in silicic acid (Si(OH)(4)) uptake arising from Fe-limitation is the likely mechanism leading to Si-isotope variability in E Antarctica and P inermis. The multiplicative effects of species diversity and resource limitation (e.g., Fe) on Si-isotope fractionation in diatoms can potentially alter the Si-isotope composition of diatom opal in diatamaceous sediments and sea surface Si(OH)(4). This work highlights the need for further in vitro studies into intracellular mechanisms involved in Si(OH)(4) uptake, and the associated pathways for Si-isotope fractionation in diatoms.</t>
  </si>
  <si>
    <t>[Meyerink, Scott; Ellwood, Michael J.; Strzepek, Robert] Australian Natl Univ, Res Sch Earth Sci, Canberra, ACT, Australia; [Maher, William A.] Univ Canberra, Inst Appl Ecol, Ecochem Lab, Canberra, ACT, Australia</t>
  </si>
  <si>
    <t>Australian National University; University of Canberra</t>
  </si>
  <si>
    <t>Meyerink, S; Ellwood, MJ (corresponding author), Australian Natl Univ, Res Sch Earth Sci, Canberra, ACT, Australia.</t>
  </si>
  <si>
    <t>scott.meyerink@anu.edu.au; michael.ellwood@anu.edu.au</t>
  </si>
  <si>
    <t>Strzepek, Robert Francis/GQH-8703-2022; Ellwood, Michael J/G-7390-2011</t>
  </si>
  <si>
    <t>Strzepek, Robert Francis/0000-0002-6442-7121; Ellwood, Michael/0000-0003-4288-8530</t>
  </si>
  <si>
    <t>Australian Research Council [DP130100679]; Australian Antarctic Division (AAD) [3120]</t>
  </si>
  <si>
    <t>Australian Research Council(Australian Research Council); Australian Antarctic Division (AAD)</t>
  </si>
  <si>
    <t>The Australian Research Council (DP130100679) and the Australian Antarctic Division (AAD Project 3120) are acknowledged for financial support of this work. The Authors would also like to thank two reviewers for their helpful comments.</t>
  </si>
  <si>
    <t>10.3389/fmars.2017.00217</t>
  </si>
  <si>
    <t>WOS:000457690600215</t>
  </si>
  <si>
    <t>Rozema, PD; Kulk, G; Veldhuis, MP; Buma, AGJ; Meredith, MP; van de Poll, WH</t>
  </si>
  <si>
    <t>Rozema, Patrick D.; Kulk, Gemma; Veldhuis, Michiel P.; Buma, Anita G. J.; Meredith, Michael P.; van de Poll, Willem H.</t>
  </si>
  <si>
    <t>Assessing Drivers of Coastal Primary Production in Northern Marguerite Bay, Antarctica</t>
  </si>
  <si>
    <t>Antarctica; sea ice; primary production; carbon; phytoplankton; diatoms; haptophytes; cryptophytes</t>
  </si>
  <si>
    <t>PHYTOPLANKTON COMMUNITY STRUCTURE; MELTING GLACIERS FUELS; SOUTHERN-OCEAN; SEA-ICE; PHAEOCYSTIS-ANTARCTICA; FRAGILARIOPSIS-CYLINDRUS; INTERANNUAL VARIABILITY; CLIMATE-CHANGE; MIXED-LAYER; ZONE WEST</t>
  </si>
  <si>
    <t>The coastal ocean of the climatically-sensitive west Antarctic Peninsula is experiencing changes in the physical and (photo)chemical properties that strongly affect the phytoplankton. Consequently, a shift from diatoms, pivotal in the Antarctic food web, to more mobile and smaller flagellates has been observed. We seek to identify the main drivers behind primary production (PP) without any assumptions beforehand to obtain the best possible model of PP We employed a combination of field measurements and modeling to discern and quantify the influences of variability in physical, (photo)chemical, and biological parameters on PP in northern Marguerite Bay. Field data of high-temporal resolution (November 2013-March 2014) collected at a long-term monitoring site here were combined with estimates of PP derived from photosynthesis-irradiance incubations and modeled using mechanistic and statistical models. Daily PP varied greatly and averaged 1,764 mg C m(-2) d(-1) with a maximum of 6,908 mg C m(-2) d(-1) after the melting of sea ice and the likely release of diatoms concentrated therein. A non-assumptive random forest model (RF) with all possibly relevant parameters (M-RFmax) showed that variability in PP was best explained by light availability and chlorophyll a followed by physical (temperature, mixed layer depth, and salinity) and chemical (phosphate, total nitrogen, and silicate) water column properties. The predictive power from the relative abundances of diatoms, cryptophytes, and haptophytes (as determined by pigment fingerprinting) to PP was minimal. However, the variability in PP due to changes in species composition was most likely underestimated due to the contrasting strategies of these phytoplankton groups as we observed significant negative relations between PP and the relative abundance of flagellates groups. Our reduced model (M-RFmin) showed how light availability, chlorophyll a, and total nitrogen concentrations can be used to obtain the best estimate of PP (R-2 = 0.93). The resulting estimates from our models suggest summer PP to have been between 214.4 and 176.1 g C m(-2). Through the employment of a modeling technique without any assumptions apart from a representative sampling strategy, we showed and estimated how PP in this climatically sensitive and changing region can best be predicted and described.</t>
  </si>
  <si>
    <t>[Rozema, Patrick D.; Kulk, Gemma; Buma, Anita G. J.; van de Poll, Willem H.] Univ Groningen, Dept Ocean Ecosyst, Energy &amp; Sustainabil Res Inst Groningen, Groningen, Netherlands; [Veldhuis, Michiel P.] Univ Groningen, Groningen Inst Evolutionary Life Sci, Groningen, Netherlands; [Buma, Anita G. J.] Univ Groningen, Arctic Ctr, Groningen, Netherlands; [Meredith, Michael P.] British Antarctic Survey, Cambridge, England</t>
  </si>
  <si>
    <t>University of Groningen; University of Groningen; University of Groningen; UK Research &amp; Innovation (UKRI); Natural Environment Research Council (NERC); NERC British Antarctic Survey</t>
  </si>
  <si>
    <t>Rozema, PD (corresponding author), Univ Groningen, Dept Ocean Ecosyst, Energy &amp; Sustainabil Res Inst Groningen, Groningen, Netherlands.</t>
  </si>
  <si>
    <t>p.d.rozema@gmail.com</t>
  </si>
  <si>
    <t>Buma, Anita GJ/E-8372-2015; Veldhuis, Michiel P/E-2082-2015; Rozema, Patrick D/J-9546-2016</t>
  </si>
  <si>
    <t>van de Poll, Willem/0000-0003-4095-4338; Rozema, Patrick/0000-0003-3376-7972; Kulk, Gemma/0000-0002-0224-7547; Meredith, Michael/0000-0002-7342-7756; Veldhuis, Michiel/0000-0002-8186-5473</t>
  </si>
  <si>
    <t>Dutch Polar Programme [866.10.105]; Natural Environment Research Council; BAS Polar Oceans programme; NERC [bas0100033] Funding Source: UKRI</t>
  </si>
  <si>
    <t>Dutch Polar Programme; Natural Environment Research Council(UK Research &amp; Innovation (UKRI)Natural Environment Research Council (NERC)); BAS Polar Oceans programme; NERC(UK Research &amp; Innovation (UKRI)Natural Environment Research Council (NERC))</t>
  </si>
  <si>
    <t>We would like to thank Pim Sprong, Ronald Visser, Johann Bown and Libby Jones who have helped with the collection of the samples and data used here. Our research was made possible by and greatly benefited from all the BAS staff at Rothera and Cambridge, to whom we are very grateful. Also, we would like to thank Libby Jones for providing sonic of the DIC data collected by her and Hugh Venables for sharing PAR data from Rothera Research Station. Furthermore, we thank Arjo Bunskoeke and Mieke Blauw who assisted with the development, testing and implementation of the protocol for our P-E experiments. Sean de Graaf and Wendy Bollen are thanked for their help with running and processing the HPLC samples and data. This research was funded by the Dutch Polar Programme (866.10.105). Funding for the RaTS programme is from the Natural Environment Research Council, and is a component of the BAS Polar Oceans programme. Additionally, we would like to thank the editor and the reviewers for their valued opinions and suggestions which helped to improve the manuscript.</t>
  </si>
  <si>
    <t>10.3389/fmars.2017.00184</t>
  </si>
  <si>
    <t>WOS:000457690600184</t>
  </si>
  <si>
    <t>Schlegel, RW; Oliver, ECJ; Perkins-Kirkpatrick, S; Kruger, A; Smit, AJ</t>
  </si>
  <si>
    <t>Schlegel, Robert W.; Oliver, Eric C. J.; Perkins-Kirkpatrick, Sarah; Kruger, Andries; Smit, Albertus J.</t>
  </si>
  <si>
    <t>Predominant Atmospheric and Oceanic Patterns during Coastal Marine Heatwaves</t>
  </si>
  <si>
    <t>marine heatwaves; code:R; coastal; atmosphere; ocean; in situ data; reanalysis data; climate change</t>
  </si>
  <si>
    <t>SELF-ORGANIZING MAPS; CLIMATE-CHANGE; WESTERN-AUSTRALIA; HEAT-WAVE; IN-SITU; SATELLITE; IMPACTS; PRECIPITATION; TEMPERATURE; SHIFT</t>
  </si>
  <si>
    <t>As the mean temperatures of the worlds oceans increase, it is predicted that marine heatwaves (MHWs) will occur more frequently and with increased severity. However, it has been shown that variables other than increases in sea water temperature have been responsible for MHWs. To better understand these mechanisms driving MHWs we have utilized atmospheric (ERA-Interim) and oceanic (OISST, AVISO) data to examine the patterns around southern Africa during coastal (&lt;400 m from the low water mark; measured in situ) MHWs. Nonmetric multidimensional scaling (NMDS) was first used to determine that the atmospheric and oceanic states during MHW are different from daily climatological states. Self-organizing maps (SOMs) were then used to cluster the MHW states into one of nine nodes to determine the predominant atmospheric and oceanic patterns present during these events. It was found that warm water forced onto the coast via anomalous ocean circulation was the predominant oceanic pattern during MHVVs. Warm atmospheric temperatures over the subcontinent during onshore or alongshore winds were the most prominent atmospheric patterns. Roughly one third of the MHWs were clustered into a node with no clear patterns, which implied that they were not forced by a recurring atmospheric or oceanic state that could be described by the SOM analysis. Because warm atmospheric and/or oceanic temperature anomalies were not the only pattern associated with MHWs, the current trend of a warming earth does not necessarily mean that MHWs will increase apace; however, aseasonal variability in wind and current patterns was shown to be central to the formation of coastal MHWs, meaning that where climate systems shift from historic records, increases in MHWs will likely occur.</t>
  </si>
  <si>
    <t>[Schlegel, Robert W.; Smit, Albertus J.] Univ Western Cape, Dept Biodivers &amp; Conservat Biol, Bellville, South Africa; [Oliver, Eric C. J.] Univ Tasmania, Australian Res Council, Ctr Excellence Climate Syst Sci, Inst Marine &amp; Antarctic Studies, Hobart, Tas, Australia; [Oliver, Eric C. J.] Univ Tasmania, Inst Marine &amp; Antarctic Studies, Oceans &amp; Cryosphere, Hobart, Tas, Australia; [Oliver, Eric C. J.] Dalhousie Univ, Dept Oceanog, Halifax, NS, Canada; [Perkins-Kirkpatrick, Sarah] Univ New South Wales, Climate Change Res Ctr, Sydney, NSW, Australia; [Perkins-Kirkpatrick, Sarah] Univ New South Wales, ARC Ctr Excellence Climate Syst Sci, Sydney, NSW, Australia; [Kruger, Andries] South African Weather Serv, Climate Serv, Pretoria, South Africa; [Kruger, Andries] Univ Pretoria, Dept Geog Geoinformat &amp; Meteorol, Pretoria, South Africa</t>
  </si>
  <si>
    <t>University of the Western Cape; University of Tasmania; University of Tasmania; Dalhousie University; University of New South Wales Sydney; ARC Centre of Excellence for Climate System Science; University of New South Wales Sydney; South African Weather Service (SAWS); University of Pretoria</t>
  </si>
  <si>
    <t>Schlegel, RW (corresponding author), Univ Western Cape, Dept Biodivers &amp; Conservat Biol, Bellville, South Africa.</t>
  </si>
  <si>
    <t>3503570@myuwc.ac.za</t>
  </si>
  <si>
    <t>Perkins-Kirkpatrick, Sarah E/O-5042-2015; Oliver, Eric/G-5118-2014</t>
  </si>
  <si>
    <t>Schlegel, Robert/0000-0002-0705-1287; Oliver, Eric/0000-0002-4006-2826; Perkins-Kirkpatrick, Sarah/0000-0001-9443-4915</t>
  </si>
  <si>
    <t>NFU [CPRR14072378735]; ARC [DE140100952]; Australian Research Council [DE140100952] Funding Source: Australian Research Council</t>
  </si>
  <si>
    <t>NFU; ARC(Australian Research Council); Australian Research Council(Australian Research Council)</t>
  </si>
  <si>
    <t>This research was supported by NFU Grant number CPRR14072378735 and ARC grant number DE140100952.</t>
  </si>
  <si>
    <t>10.3389/fmars.2017.00323</t>
  </si>
  <si>
    <t>WOS:000457690600321</t>
  </si>
  <si>
    <t>Silber, GK; Lettrich, MD; Thomas, PO; Baker, JD; Baumgartner, M; Becker, EA; Boveng, P; Dick, DM; Fiechter, J; Forcada, J; Forney, KA; Griffis, RB; Hare, JA; Hobday, AJ; Howell, D; Laidre, KL; Mantua, N; Quakenbush, L; Santora, JA; Stafford, KM; Spencer, P; Stock, C; Sydeman, W; Van Houtan, K; Waples, RS</t>
  </si>
  <si>
    <t>Silber, Gregory K.; Lettrich, Matthew D.; Thomas, Peter O.; Baker, Jason D.; Baumgartner, Mark; Becker, Elizabeth A.; Boveng, Peter; Dick, Dorothy M.; Fiechter, Jerome; Forcada, Jaume; Forney, Karin A.; Griffis, Roger B.; Hare, Jonathan A.; Hobday, Alistair J.; Howell, Daniel; Laidre, Kristin L.; Mantua, Nate; Quakenbush, Lori; Santora, Jarrod A.; Stafford, Kathleen M.; Spencer, Paul; Stock, Charles; Sydeman, William; Van Houtan, Kyle; Waples, Robin S.</t>
  </si>
  <si>
    <t>Projecting Marine Mammal Distribution in a Changing Climate</t>
  </si>
  <si>
    <t>marine mammal distribution and abundance; climate-change; marine ecosystems; predicting and forecasting; Marine mammal conservation</t>
  </si>
  <si>
    <t>ATLANTIC RIGHT WHALE; SPECIES DISTRIBUTION; HABITAT MODELS; SEA-ICE; TROPHIC AMPLIFICATION; DYNAMIC OCEAN; BOWHEAD WHALE; ECOSYSTEM; MANAGEMENT; FISHERIES</t>
  </si>
  <si>
    <t>Climate related shifts in marine mammal range and distribution have been observed in some populations; however, the nature and magnitude of future responses are uncertain in novel environments projected under climate change. This poses a challenge for agencies charged with management and conservation of these species. Specialized diets, restricted ranges, or reliance on specific substrates or sites (e.g., for pupping) make many marine mammal populations particularly vulnerable to climate change. High-latitude, predominantly ice-obligate, species have experienced some of the largest changes in habitat and distribution and these are expected to continue. Efforts to predict and project marine mammal distributions to date have emphasized data-driven statistical habitat models. These have proven successful for short time-scale (e.g., seasonal) management activities, but confidence that such relationships will hold for multi decade projections and novel environments is limited. Recent advances in mechanistic modeling of marine mammals (i.e., models that rely on robust physiological and ecological principles expected to hold under climate change) may address this limitation. The success of such approaches rests on continued advances in marine mammal ecology, behavior, and physiology together with improved regional climate projections. The broad scope of this challenge suggests initial priorities be placed on vulnerable species or populations (those already experiencing declines or projected to undergo ecological shifts resulting from climate changes that are consistent across climate projections) and species or populations for which ample data already exist (with the hope that these may inform climate change sensitivities in less well observed species or populations elsewhere). The sustained monitoring networks, novel observations, and modeling advances required to more confidently project marine mammal distributions in a changing climate will ultimately benefit management decisions across time-scales, further promoting the resilience of marine mammal populations.</t>
  </si>
  <si>
    <t>[Silber, Gregory K.; Dick, Dorothy M.] NOAA Fisheries, Off Protected Resources, Silver Spring, MD 20910 USA; [Silber, Gregory K.] Smultea Environm Sci, Washington Grove, MD 20880 USA; [Lettrich, Matthew D.] ECS Fed LLC, Fairfax, VA 22031 USA; [Lettrich, Matthew D.; Griffis, Roger B.] NOAA Fisheries, Off Sci &amp; Technol, Silver Spring, MD 20910 USA; [Thomas, Peter O.] Marine Mammal Commiss, Bethesda, MD USA; [Baker, Jason D.] NOAA Fisheries, Pacific Isl Fisheries Sci Ctr, Seattle, WA USA; [Baumgartner, Mark] Woods Hole Oceanog Inst, Woods Hole, MA 02543 USA; [Becker, Elizabeth A.; Forney, Karin A.] NOAA, Natl Marine Fisheries Serv, Southwest Fisheries Sci Ctr, Moss Landing, CA USA; [Boveng, Peter] NOAA Fisheries, Marine Mammal Lab, Alaska Fisheries Sci Ctr, Seattle, WA USA; [Dick, Dorothy M.] Ocean Associates Inc, Arlington, VA USA; [Fiechter, Jerome] Univ Calif Santa Cruz, Ocean Sci Dept, Santa Cruz, CA 95064 USA; [Forcada, Jaume] British Antarctic Survey, Nat Environm Res Council, Cambridge, England; [Forney, Karin A.] Moss Landing Marine Labs, Pob 450, Moss Landing, CA 95039 USA; [Hare, Jonathan A.] NOAA Fisheries, Northeast Fisheries Sci Ctr, Woods Hole, MA USA; [Hobday, Alistair J.] CSIRO Marine &amp; Atmospher Res, Hobart, Tas, Australia; [Hobday, Alistair J.] Univ Tasmania, Ctr Marine Socioecol, Hobart, Tas, Australia; [Howell, Daniel] Inst Marine Res, Bergen, Norway; [Laidre, Kristin L.; Stafford, Kathleen M.] Univ Washington, Appl Phys Lab, Seattle, WA 98105 USA; [Mantua, Nate] NOAA, Natl Marine Fisheries Serv, Southwest Fisheries Sci Ctr, Santa Cruz, CA USA; [Quakenbush, Lori] Alaska Dept Fish &amp; Game, Fairbanks, AK USA; [Santora, Jarrod A.] Univ Calif Santa Cruz, Dept Appl Math &amp; Stat, Santa Cruz, CA 95064 USA; [Spencer, Paul] NOAA Fisheries, Alaska Fisheries Sci Ctr, Seattle, WA USA; [Stock, Charles] NOAA Ocean &amp; Atmospher Res, Geophys Fluid Dynam Lab, Princeton, NJ USA; [Sydeman, William] Farallon Inst, Petaluma, CA USA; [Van Houtan, Kyle] Monterey Bay Aquarium, Monterey, CA USA; [Van Houtan, Kyle] Duke Univ, Nicholas Sch Environm, Durham, NC 27708 USA; [Waples, Robin S.] NOAA Fisheries, Northwest Fisheries Sci Ctr, Seattle, WA USA</t>
  </si>
  <si>
    <t>National Oceanic Atmospheric Admin (NOAA) - USA; National Oceanic Atmospheric Admin (NOAA) - USA; National Oceanic Atmospheric Admin (NOAA) - USA; Woods Hole Oceanographic Institution; National Oceanic Atmospheric Admin (NOAA) - USA; National Oceanic Atmospheric Admin (NOAA) - USA; University of California System; University of California Santa Cruz; UK Research &amp; Innovation (UKRI); Natural Environment Research Council (NERC); NERC British Antarctic Survey; Moss Landing Marine Laboratories; National Oceanic Atmospheric Admin (NOAA) - USA; Commonwealth Scientific &amp; Industrial Research Organisation (CSIRO); University of Tasmania; Institute of Marine Research - Norway; University of Washington; University of Washington Seattle; National Oceanic Atmospheric Admin (NOAA) - USA; Alaska Department of Fish &amp; Game; University of California System; University of California Santa Cruz; National Oceanic Atmospheric Admin (NOAA) - USA; National Oceanic Atmospheric Admin (NOAA) - USA; Monterey Bay Aquarium Research Institute; Duke University; National Oceanic Atmospheric Admin (NOAA) - USA</t>
  </si>
  <si>
    <t>Silber, GK (corresponding author), NOAA Fisheries, Off Protected Resources, Silver Spring, MD 20910 USA.;Silber, GK (corresponding author), Smultea Environm Sci, Washington Grove, MD 20880 USA.;Lettrich, MD (corresponding author), ECS Fed LLC, Fairfax, VA 22031 USA.;Lettrich, MD (corresponding author), NOAA Fisheries, Off Sci &amp; Technol, Silver Spring, MD 20910 USA.</t>
  </si>
  <si>
    <t>gregsilber2@gmail.com; matthew.lettrich@noaa.gov</t>
  </si>
  <si>
    <t>Hobday, Alistair/A-1460-2012; Forcada, Jaume/GYU-0677-2022; Van Houtan, Kyle S/GRY-0874-2022; Fiechter, Jerome/AAM-7786-2020; Van Houtan, Kyle Schuyler/A-4695-2008; Lettrich, Matthew/AAQ-9773-2021</t>
  </si>
  <si>
    <t>Van Houtan, Kyle/0000-0001-5725-1773; Griffis, Roger/0000-0001-9329-2230; Lettrich, Matthew/0000-0003-4749-2260; Stock, Charles/0000-0001-9549-8013; Dick, Dorothy/0000-0003-0302-8423</t>
  </si>
  <si>
    <t>U.S. National Oceanic and Atmospheric Administration; U.S. Marine Mammal Commission; NERC [bas0100035] Funding Source: UKRI</t>
  </si>
  <si>
    <t>U.S. National Oceanic and Atmospheric Administration(National Oceanic Atmospheric Admin (NOAA) - USA); U.S. Marine Mammal Commission; NERC(UK Research &amp; Innovation (UKRI)Natural Environment Research Council (NERC))</t>
  </si>
  <si>
    <t>The U.S. National Oceanic and Atmospheric Administration and U.S. Marine Mammal Commission provided support for workshop travel and logistics funding.</t>
  </si>
  <si>
    <t>10.3389/fmars.2017.00413</t>
  </si>
  <si>
    <t>WOS:000457690600409</t>
  </si>
  <si>
    <t>Thomalla, SJ; Ogunkoya, AG; Vichi, M; Swart, S</t>
  </si>
  <si>
    <t>Thomalla, Sandy J.; Ogunkoya, A. Gilbert; Vichi, Marcello; Swart, Sebastiaan</t>
  </si>
  <si>
    <t>Using Optical Sensors on Gliders to Estimate Phytoplankton Carbon Concentrations and Chlorophyll-to-Carbon Ratios in the Southern Ocean</t>
  </si>
  <si>
    <t>phytoplankton carbon; chlorophyll to carbon ratios; particulate backscattering; gliders; Southern Ocean</t>
  </si>
  <si>
    <t>PARTICULATE ORGANIC-CARBON; ATLANTIC TIME-SERIES; POLAR FRONTAL ZONES; MEDITERRANEAN SEA; NORTH-ATLANTIC; BEAM-ATTENUATION; MARINE-PHYTOPLANKTON; SEASONAL VARIABILITY; LIGHT-SCATTERING; PURE SEAWATER</t>
  </si>
  <si>
    <t>One approach to deriving phytoplankton carbon biomass estimates (C-phyto) at appropriate scales is through optical products. This study uses a high-resolution glider data set in the Sub-Antarctic Zone (SAZ) of the Southern Ocean to compare four different methods of deriving C-phyto from particulate backscattering and fluorescence-derived chlorophyll (chl-a). A comparison of the methods showed that at low (&lt;0.5 mg m(-3)) chlorophyll concentrations (e.g., early spring and at depth), all four methods produced similar estimates of C-phyto, whereas when chlorophyll concentrations were elevated one method derived higher concentrations of C-phyto than the others. The use of methods derived from particulate backscattering rather than fluorescence can account for cellular adjustments in chl-a:C-phyto that are not driven by biomass alone. A comparison of the glider chl-a:C-phyto ratios from the different optical methods with ratios from laboratory cultures and cruise data found that some optical methods of deriving C-phyto performed better in the SAZ than others and that regionally derived methods may be unsuitable for application to the Southern Ocean. A comparison of the glider chl-a:(Cphyto) ratios with output from a complex biogeochemical model shows that although a ratio of 0.02 mg chl-a mg C-1 is an acceptable mean for SAZ phytoplankton (in spring-summer), the model misrepresents the seasonal cycle (with decreasing ratios from spring to summer and low sub-seasonal variability). As such, it is recommended that models expand their allowance for variable chl-a:C-phyto ratios that not only account for phytoplankton acclimation to low light conditions in spring but also to higher optimal chl-a:C-phyto ratios with increasing growth rates in summer.</t>
  </si>
  <si>
    <t>[Thomalla, Sandy J.; Swart, Sebastiaan] CSIR Ocean Syst &amp; Climate, Southern Ocean Carbon &amp; Climate Observ, Cape Town, South Africa; [Thomalla, Sandy J.; Vichi, Marcello; Swart, Sebastiaan] Univ Cape Town, Dept Oceanog, Cape Town, South Africa; [Ogunkoya, A. Gilbert; Vichi, Marcello] Univ Cape Town, Marine Res Inst Ma Re, Cape Town, South Africa; [Swart, Sebastiaan] Univ Gothenburg, Dept Marine Sci, Gothenburg, Sweden; [Ogunkoya, A. Gilbert] Montana State Univ, Dept Ecol, Bozeman, MT 59717 USA</t>
  </si>
  <si>
    <t>University of Cape Town; University of Cape Town; University of Gothenburg; Montana State University System; Montana State University Bozeman</t>
  </si>
  <si>
    <t>Thomalla, SJ (corresponding author), CSIR Ocean Syst &amp; Climate, Southern Ocean Carbon &amp; Climate Observ, Cape Town, South Africa.;Thomalla, SJ (corresponding author), Univ Cape Town, Dept Oceanog, Cape Town, South Africa.</t>
  </si>
  <si>
    <t>sthomalla@csir.co.za</t>
  </si>
  <si>
    <t>Thomalla, Sandy/AAS-4133-2021; Vichi, Marcello/GLR-9823-2022; Swart, Sebastiaan/U-5498-2017</t>
  </si>
  <si>
    <t>Vichi, Marcello/0000-0002-0686-9634; Swart, Sebastiaan/0000-0002-2251-8826; Ogunkoya, Ayodele/0000-0003-4843-9007</t>
  </si>
  <si>
    <t>Southern Ocean Carbon and Climate Observatory (SOCCO) Programme; European Commission 7th framework programme through the GreenSeas Collaborative Project [265294 FP7-ENV-2010]; CSIR's Parliamentary Grant funding [SNA2011112600001]; NRF SANAP [SNA2011120800004, SNA14071475720]; SANAP grant TRAIN-SOPP, University of Cape Town [SNA14072880912, 93089]</t>
  </si>
  <si>
    <t>Southern Ocean Carbon and Climate Observatory (SOCCO) Programme; European Commission 7th framework programme through the GreenSeas Collaborative Project; CSIR's Parliamentary Grant funding; NRF SANAP; SANAP grant TRAIN-SOPP, University of Cape Town</t>
  </si>
  <si>
    <t>This work was undertaken and supported through the Southern Ocean Carbon and Climate Observatory (SOCCO) Programme. This work was partially funded by the European Commission 7th framework programme through the GreenSeas Collaborative Project (265294 FP7-ENV-2010). This work was supported by CSIR's Parliamentary Grant funding (SNA2011112600001) and NRF SANAP grants (SNA2011120800004 and SNA14071475720). In addition MV was funded by the SANAP grant TRAIN-SOPP (SNA14072880912, grant no. 93089), University of Cape Town. We thank both the South African Maritime Safety Authority (SAMSA), the South African National Antarctic Programme (SANAP), the captain and officers of the MV SA Agulhas, and the RV SA Agulhas II for the successful completion of the voyages pertaining to this research. We acknowledge the dedication and professionalism shown by the oceanographic engineers of Sea Technology Services. Thanks are extended to the IOP team at the Applied Physics Laboratory, University of 'Vashington and to Dr. Thomas Ryan-Keogh for his assistance in collating the laboratory culture chl-a:Cphyto ratios. We would like to thank the editor and our reviewers for their valuable contribution to the improvement of this manuscript.</t>
  </si>
  <si>
    <t>10.3389/fmars.2017.00034</t>
  </si>
  <si>
    <t>WOS:000457690600034</t>
  </si>
  <si>
    <t>Weatherdon, LV; Appeltans, W; Bowles-Newark, N; Brooks, TM; Davis, FE; Despot-Belmonte, K; Fletcher, S; Garilao, C; Hilton-Taylor, C; Hirsch, T; Juffe-Bignoli, D; Kaschner, K; Kingston, N; Malsch, K; Regan, EC; Kesner-Reyes, K; Rose, DC; Wetzel, FT; Wilkinson, T; Martin, CS</t>
  </si>
  <si>
    <t>Weatherdon, Lauren V.; Appeltans, Ward; Bowles-Newark, Nadine; Brooks, Thomas M.; Davis, Frances E.; Despot-Belmonte, Katherine; Fletcher, Stephen; Garilao, Cristina; Hilton-Taylor, Craig; Hirsch, Tim; Juffe-Bignoli, Diego; Kaschner, Kristin; Kingston, Naomi; Malsch, Kelly; Regan, Eugenie C.; Kesner-Reyes, Kathleen; Rose, David C.; Wetzel, Florian T.; Wilkinson, Tim; Martin, Corinne S.</t>
  </si>
  <si>
    <t>Blueprints of Effective Biodiversity and Conservation Knowledge Products That Support Marine Policy</t>
  </si>
  <si>
    <t>science-policy interface; marine policy; knowledge exchange; biodiversity informatics; knowledge products; evidence-based conservation</t>
  </si>
  <si>
    <t>INTEGRATING DATA; PROGRESS; CHALLENGES; MANAGEMENT; VARIABLES; ECOSYSTEM; BENEFITS; HABITAT; SCIENCE; TARGETS</t>
  </si>
  <si>
    <t>Biodiversity and conservation data are generally costly to collect, particularly in the marine realm. Hence, data collected for a given often scientific purpose are occasionally contributed toward secondary needs, such as policy implementation or other types of decision-making. However, while the quality and accessibility of marine biodiversity and conservation data have improved over the past decade, the ways in which these data can be used to develop and implement relevant management and conservation measures and actions are not always explicit. For this reason, there are a number of scientifically-sound datasets that are not used systematically to inform policy and decisions. Transforming these marine biodiversity and conservation datasets into knowledge products that convey the information required by policy- and decision-makers is an important step in strengthening knowledge exchange across the science-policy interface. Here, we identify seven characteristics of a selection of online biodiversity and conservation knowledge products that contribute to their ability to support policy- and decision-making in the marine realm (as measured by e.g., mentions in policy resolutions/decisions, or use for reporting under selected policy instruments; use in high-level screening for areas of biodiversity importance). These characteristics include: a clear policy mandate; established networks of collaborators; iterative co-design of a user-friendly interface; standardized, comprehensive and documented methods with quality assurance; consistent capacity and succession planning; accessible data and value-added products that are fit-for-purpose; and metrics of use collated and reported. The outcomes of this review are intended to: (a) support data creators/owners/providers in designing and curating biodiversity and conservation knowledge products that have greater influence, and hence impact, in policy- and decision-making, and (b) provide recommendations for how decision- and policy-makers can support the development, implementation, and sustainability of robust biodiversity and conservation knowledge products through the framing of marine policy and decision-making frameworks.</t>
  </si>
  <si>
    <t>[Weatherdon, Lauren V.; Bowles-Newark, Nadine; Davis, Frances E.; Despot-Belmonte, Katherine; Fletcher, Stephen; Juffe-Bignoli, Diego; Kingston, Naomi; Malsch, Kelly; Wilkinson, Tim; Martin, Corinne S.] UN Environm World Conservat Monitoring Ctr, Cambridge, England; [Appeltans, Ward] UNESCO, Ocean Biogeog Informat Syst, Intergovt Oceanog Commiss, IOC Project Off IODE, Oostende, Belgium; [Brooks, Thomas M.] Int Union Conservat Nat, Gland, Switzerland; [Brooks, Thomas M.] Univ Philippines, World Agroforestry Ctr, Los Banos, Philippines; [Brooks, Thomas M.] Univ Tasmania, Inst Marine &amp; Antarctic Studies, Hobart, Tas, Australia; [Fletcher, Stephen] Plymouth Univ, Inst Marine, Plymouth, Devon, England; [Garilao, Cristina] Helmholtz Ctr Ocean Res Kiel, GEOMAR, Kiel, Germany; [Hilton-Taylor, Craig] Int Union Conservat Nat, Global Species Programme, Cambridge, England; [Hirsch, Tim] Global Biodivers Informat Facil Secretariat, Copenhagen, Denmark; [Kaschner, Kristin] Albert Ludwigs Univ Freiburg, Dept Biometry &amp; Environm Syst Anal, Freiburg, Germany; [Regan, Eugenie C.] Biodivers Consultancy, Cambridge, England; [Kesner-Reyes, Kathleen] IRRI, FishBase Informat &amp; Res Grp Inc, Los Banos, Philippines; [Rose, David C.] Univ Cambridge, Dept Geog, Cambridge, England; [Wetzel, Florian T.] Leibniz Inst Evolut &amp; Biodivers Sci, Museum Nat Kunde, Berlin, Germany</t>
  </si>
  <si>
    <t>CGIAR; World Agroforestry (ICRAF); University of the Philippines System; University of the Philippines Los Banos; University of the Philippines Open University; University of Tasmania; University of Plymouth; Helmholtz Association; GEOMAR Helmholtz Center for Ocean Research Kiel; University of Freiburg; CGIAR; International Rice Research Institute (IRRI); University of Cambridge; Leibniz Institut fur Evolutions und Biodiversitatsforschung</t>
  </si>
  <si>
    <t>Weatherdon, LV (corresponding author), UN Environm World Conservat Monitoring Ctr, Cambridge, England.</t>
  </si>
  <si>
    <t>lauren.weatherdon@unep-wcmc.org</t>
  </si>
  <si>
    <t>Fletcher, Stephen/B-4224-2009; Kaschner, Kristin/GQQ-6475-2022; Martin, Corinne/G-9041-2011</t>
  </si>
  <si>
    <t>Hirsch, Tim/0000-0002-5015-5807; Martin, Corinne/0000-0002-5428-2766; Fletcher, Stephen/0000-0003-1180-9844; Rose, David/0000-0002-5249-9021; Kaschner, Kristin/0000-0002-4061-626X; Juffe Bignoli, Diego/0000-0002-1498-4317; Weatherdon, Lauren V./0000-0002-3989-027X</t>
  </si>
  <si>
    <t>European Union [308454]; Proteus Partnership; European Commission; CITES Secretariat; UN Environment; World Conservation Monitoring Centre; International Union for Conservation of Nature</t>
  </si>
  <si>
    <t>European Union(European Union (EU)); Proteus Partnership; European Commission(European Union (EU)European Commission Joint Research Centre); CITES Secretariat; UN Environment; World Conservation Monitoring Centre; International Union for Conservation of Nature</t>
  </si>
  <si>
    <t>This is a contribution to the Building the European Biodiversity Observation Network (EU BON) project (www.eubon.eu), 7th Framework Programme funded by the European Union under grant agreement No. 308454. An early version of this paper was originally presented by LW as a poster at the 4th International Marine Conservation Congress in St. John's, Newfoundland (31st July 2016). The authors would also like to acknowledge the Proteus Partnership, the European Commission, the CITES Secretariat, UN Environment, the World Conservation Monitoring Centre, the International Union for Conservation of Nature and the national agencies contributing to GBIF core funds for their financial contributions toward developing and maintaining these knowledge products, and to extend their gratitude to the thousands of individuals and organizations who contribute their expertise and data, often voluntarily, to ensuring that these products continue to provide valuable data and information for decision-making. The authors are also grateful to Jan Legind and the Data Products Team at the GBIP Secretariat, as well as Stuart Butchart, Tris Allinson, Alex Tate, Maria Dias, Carolina Hazin, and Paul Donald of BirdLife International for their assistance with the manuscript.</t>
  </si>
  <si>
    <t>10.3389/fmars.2017.00096</t>
  </si>
  <si>
    <t>WOS:000457690600096</t>
  </si>
  <si>
    <t>Willis, KA; Eriksen, R; Wilcox, C; Hardesty, BD</t>
  </si>
  <si>
    <t>Willis, Kathryn A.; Eriksen, Ruth; Wilcox, Chris; Hardesty, Britta D.</t>
  </si>
  <si>
    <t>Microplastic Distribution at Different Sediment Depths in an Urban Estuary</t>
  </si>
  <si>
    <t>core samples; estuary; microplastics; plastic fibers; sediment</t>
  </si>
  <si>
    <t>PLASTIC POLLUTION; PARTICLES; PELLETS; DEBRIS; WATER; SEA; ACCUMULATION; SCIENCE; AREA; LAKE</t>
  </si>
  <si>
    <t>As plastic production increases, so to do the threats from plastic pollution. Microplastics (defined as plastics &lt; 5 mm) are a subset of marine debris about which we know less than we do of larger debris items, though they are potentially ubiquitous in the marine environment. To quantify the distribution and change in microplastic densities through time, we sampled sediment cores from an estuary in Tasmania, Australia. We hypothesized that the type, distribution and abundance of microplastics observed would be associated with increasing plastic production, coastal population growth, and proximity to urban water outflows and local hydrodynamics. Sediments ranging from the year 1744 to 2004 were sub-sampled from each core. We observed microplastics in every sample, with greater plastic frequencies found in the upper (more recent) sediments. This time trend of microplastic accumulation matched that of global plastic production and coastal population growth. We observed that fibers were the most abundant type of microplastic in our samples. These fibers were present in sediments that settled prior to the presence of plastics in the environment. We propose a simple statistical model to estimate the level of contamination in our samples. We suggest that the current trend in the literature suggesting very high loads of fibers, particularly in remote locations such as the deep seafloor, may be largely due to contamination.</t>
  </si>
  <si>
    <t>[Willis, Kathryn A.; Eriksen, Ruth; Wilcox, Chris; Hardesty, Britta D.] CSIRO, Oceans &amp; Atmosphere, Hobart, Tas, Australia; [Willis, Kathryn A.] Univ Tasmania, Coll Arts Law &amp; Educ, Sch Social Sci, Hobart, Tas, Australia; [Eriksen, Ruth] Univ Tasmania, Inst Marine &amp; Antarctic Studies, Hobart, Tas, Australia</t>
  </si>
  <si>
    <t>Commonwealth Scientific &amp; Industrial Research Organisation (CSIRO); University of Tasmania; University of Tasmania</t>
  </si>
  <si>
    <t>Willis, KA (corresponding author), CSIRO, Oceans &amp; Atmosphere, Hobart, Tas, Australia.;Willis, KA (corresponding author), Univ Tasmania, Coll Arts Law &amp; Educ, Sch Social Sci, Hobart, Tas, Australia.</t>
  </si>
  <si>
    <t>kathy.willis@csiro.au</t>
  </si>
  <si>
    <t>Hardesty, Britta Denise/A-3189-2011; Eriksen, Ruth/J-7760-2014</t>
  </si>
  <si>
    <t>Willis, Kathryn/0000-0001-7614-1027; Eriksen, Ruth/0000-0002-5184-2465</t>
  </si>
  <si>
    <t>CSIRO Oceans and Atmosphere, Tasmania, Australia</t>
  </si>
  <si>
    <t>All authors were funded by CSIRO Oceans and Atmosphere, Tasmania, Australia.</t>
  </si>
  <si>
    <t>10.3389/fmars.2017.00419</t>
  </si>
  <si>
    <t>gold, Green Accepted, Green Published</t>
  </si>
  <si>
    <t>WOS:000457690600414</t>
  </si>
  <si>
    <t>Cabanes, DJE; Norman, L; Santos-Echeandía, J; Iversen, MH; Trimborn, S; Laglera, LM; Hassler, CS</t>
  </si>
  <si>
    <t>Cabanes, Damien J. E.; Norman, Louiza; Santos-Echeandia, Juan; Iversen, Morten H.; Trimborn, Scarlett; Laglera, Luis M.; Hassler, Christel S.</t>
  </si>
  <si>
    <t>First Evaluation of the Role of Salp Fecal Pellets on Iron Biogeochemistry</t>
  </si>
  <si>
    <t>Salpa thompsoni; fecal pellets; iron speciation; southern ocean; iron cycling; humic substances</t>
  </si>
  <si>
    <t>CATHODIC STRIPPING VOLTAMMETRY; DISSOLVED ORGANIC-MATTER; SOUTHERN-OCEAN; HUMIC SUBSTANCES; EXOPOLYMERIC SUBSTANCES; NATURAL-WATERS; CLIMATE-CHANGE; VERTICAL FLUX; MARINE SNOW; ZOOPLANKTON</t>
  </si>
  <si>
    <t>Planktonic grazers such as salps may have a dominant role in iron (Fe) cycling in surface waters of the Southern Ocean (SO). Salps have high ingestion rates and egest large, fast sinking fecal pellets (FPs) that potentially contribute to the vertical flux of carbon. In this study, we determined the impact of FPs from Salpa thompsoni, the most abundant salp in the SO, on Fe biogeochemistry. During the Polarstern expedition ANT-XXVII/3, salps were sampled from a large diatom bloom area in the Atlantic sector of the SO. Extensive work on carbon export and salp FPs export at the sampling location had shown that salps were a minor component of zooplankton and were responsible for only a 0.2% consumption of the daily primary production. Furthermore, at 100 m, export efficiency of salp FPs was similar to 2-3 fold higher than that of the bulk of sinking particulate organic carbon (POC). After collection, salps were maintained in 200 mu m screened seawater and their FPs were collected for further experiments. To investigate whether the FPs release Fe and/or Fe-binding ligands into the filtered seawater (FSW) under different experimental conditions, they were either incubated in the dark or under full sunlight at in situ temperatures for 24 h, or placed into the dark after a freeze/thaw treatment. We observed that none of the treatments caused release of dissolved Fe (dFe) or strong Fe ligands from the salp FPs. However, humic-substance like (HS-like) compounds, weak Fe ligands, were released at a rate of 8.2 +/- 4.7 mu g HS-like FP-1 d(-1). Although the Fe content per salp FP was high at 0.33 +/- 0.02 nmol dFe FP-1, the small contribution of salps to the zooplankton pool resulted in an estimated dFe export flux of 11.3 nmol Fe(-2)d(-1) at 300 m. Since salp FPs showed an export efficiency at 100m well above that shown by the bulk of sinking POC, our results suggest that in those areas of the SO where salps play a major role in the grazing of primary production, they could be actively contributing to the depletion of the dFe pool in surface water.</t>
  </si>
  <si>
    <t>[Cabanes, Damien J. E.; Hassler, Christel S.] Univ Geneva, Dept FA Forel Environm &amp; Aquat Sci Earth &amp; Enviro, Geneva, Switzerland; [Norman, Louiza] Univ Cambridge, Dept Plant Sci, Cambridge, England; [Santos-Echeandia, Juan] CSIC, Inst Invest Marinas, Vigo, Spain; [Iversen, Morten H.; Trimborn, Scarlett] Helmholtz Ctr Polar &amp; Marine Res, Alfred Wegener Inst, Bremerhaven, Germany; [Iversen, Morten H.] Univ Bremen, MARUM, Bremen, Germany; [Trimborn, Scarlett] Univ Bremen, Marine Bot, Bremen, Germany; [Laglera, Luis M.] Univ Illes Balears, Chem Dept, FI TRACE, Palma De Mallorca, Spain</t>
  </si>
  <si>
    <t>University of Geneva; University of Cambridge; Consejo Superior de Investigaciones Cientificas (CSIC); CSIC - Instituto de Investigaciones Marinas (IIM); Helmholtz Association; Alfred Wegener Institute, Helmholtz Centre for Polar &amp; Marine Research; University of Bremen; University of Bremen; Universitat de les Illes Balears</t>
  </si>
  <si>
    <t>Cabanes, DJE (corresponding author), Univ Geneva, Dept FA Forel Environm &amp; Aquat Sci Earth &amp; Enviro, Geneva, Switzerland.</t>
  </si>
  <si>
    <t>Damien.Cabanes@unige.ch</t>
  </si>
  <si>
    <t>Santos Echeandia, Juan/HMD-1503-2023; Trimborn, Scarlett/AAM-1061-2021; Iversen, Morten H/C-7741-2013; Laglera, Luis/B-7983-2010; Iversen, Morten Hvitfeldt/Q-3774-2016</t>
  </si>
  <si>
    <t>Trimborn, Scarlett/0000-0003-1434-9927; Laglera, Luis/0000-0002-5941-5900; Iversen, Morten Hvitfeldt/0000-0002-5287-1110; SANTOS-ECHEANDIA, JUAN/0000-0001-9101-7307; Hassler, Christel/0000-0002-8976-5469</t>
  </si>
  <si>
    <t>Swiss National Science Foundation [PP00P2_138955]; UTS Chancellor Fellowship; Australian Research Council [DP1092892, LE0989539]; MINECO of Spain [CGL2010-11846-E]; Government of the Balearic Islands [AAEE083/09]; Deutsche Forschungsgemeinschaft (DFG) [TR 899/2]; Helmholtz Impulse Fond (Helmholtz Young Investigators Group EcoTrace); Helmholtz Association; Swiss National Science Foundation (SNF) [PP00P2_138955] Funding Source: Swiss National Science Foundation (SNF)</t>
  </si>
  <si>
    <t>Swiss National Science Foundation(Swiss National Science Foundation (SNSF)); UTS Chancellor Fellowship; Australian Research Council(Australian Research Council); MINECO of Spain(Spanish Government); Government of the Balearic Islands; Deutsche Forschungsgemeinschaft (DFG)(German Research Foundation (DFG)); Helmholtz Impulse Fond (Helmholtz Young Investigators Group EcoTrace); Helmholtz Association(Helmholtz Association); Swiss National Science Foundation (SNF)(Swiss National Science Foundation (SNSF))</t>
  </si>
  <si>
    <t>DC was funded by the Swiss National Science Foundation (PP00P2_138955), LN by the UTS Chancellor Fellowship and CH by the Australian Research Council (Discovery Project DP1092892 and LIEF grand LE0989539) and the Swiss National Science Foundation (PP00P2_138955). LL and JS participation was funded by the MINECO of Spain (Grant CGL2010-11846-E) and the Government of the Balearic Islands (Grant AAEE083/09). ST was funded by the Deutsche Forschungsgemeinschaft (DFG) in the framework of the priority programme Antarctic Research with comparative investigations in Arctic ice areas; project TR 899/2 as well as the Helmholtz Impulse Fond (Helmholtz Young Investigators Group EcoTrace). MI was funded by the Helmholtz Association for the Helmholtz Young Investigator Group SeaPump.</t>
  </si>
  <si>
    <t>10.3389/fmars.2016.00289</t>
  </si>
  <si>
    <t>VH8ZI</t>
  </si>
  <si>
    <t>WOS:000457690200015</t>
  </si>
  <si>
    <t>Yuivar, Y; Barahona, S; Alcaíno, J; Cifuentes, V; Baeza, M</t>
  </si>
  <si>
    <t>Yuivar, Yassef; Barahona, Salvador; Alcaino, Jennifer; Cifuentes, Victor; Baeza, Marcelo</t>
  </si>
  <si>
    <t>Biochemical and Thermodynamical Characterization of Glucose Oxidase, Invertase, and Alkaline Phosphatase Secreted by Antarctic Yeasts</t>
  </si>
  <si>
    <t>FRONTIERS IN MOLECULAR BIOSCIENCES</t>
  </si>
  <si>
    <t>antarctic yeasts; glucose oxidase; invertase; alkaline phosphatase; yeast secreted enzymes</t>
  </si>
  <si>
    <t>ASPERGILLUS-NIGER; COLD; PURIFICATION; EXPRESSION; STRAIN; MUTANT</t>
  </si>
  <si>
    <t>The use of enzymes in diverse industries has increased substantially over past decades, creating a well-established and growing global market. Currently, the use of enzymes that work better at ambient or lower temperatures in order to decrease the temperatures of production processes is desirable. There is thus a continuous search for enzymes in cold environments, especially from microbial sources, with amylases, proteases, lipases and, cellulases being the most studied. Other enzymes, such as glucose oxidase (GOD), invertase (Inv), and alkaline phosphatase (ALP), also have a high potential for application, but have been much less studied in microorganisms living in cold-environments. In this work, secretion of these three enzymes by Antarctic yeast species was analyzed, and five, three, and five species were found to produce extracellular GOD, Inv, and ALP respectively. The major producers of GOD, Inv, and ALP were Goffeauzyma gastrica, Wickerhamomyces anomalus, and Dioszegia sp., respectively, from which the enzymes were purified and characterized. Contrary to what was expected, the highest GOD and Inv activities were found at 64 degrees C and 60 degrees C, respectively, and at 47 degrees C for ALP. However, the three enzymes maintained a significant percentage of activity at lower temperatures, especially ALP that kept a 67 and 43% of activity at 10 degrees C and 4 degrees C, respectively.</t>
  </si>
  <si>
    <t>[Yuivar, Yassef; Barahona, Salvador; Alcaino, Jennifer; Cifuentes, Victor; Baeza, Marcelo] Univ Chile, Dept Ciencias Ecol, Lab Genet, Fac Ciencias, Santiago, Chile</t>
  </si>
  <si>
    <t>Baeza, M (corresponding author), Univ Chile, Dept Ciencias Ecol, Lab Genet, Fac Ciencias, Santiago, Chile.</t>
  </si>
  <si>
    <t>mbaeza@u.uchile.cl</t>
  </si>
  <si>
    <t>Alcaino, Jennifer/H-4576-2012</t>
  </si>
  <si>
    <t>Baeza, Marcelo/0000-0001-8853-395X</t>
  </si>
  <si>
    <t>Comision Nacional de Investigacion Cientifica y Tecnologica; FONDECYT [1130333]</t>
  </si>
  <si>
    <t>Comision Nacional de Investigacion Cientifica y Tecnologica; FONDECYT(Comision Nacional de Investigacion Cientifica y Tecnologica (CONICYT)CONICYT FONDECYT)</t>
  </si>
  <si>
    <t>Comision Nacional de Investigacion Cientifica y Tecnologica; FONDECYT grant 1130333.</t>
  </si>
  <si>
    <t>2296-889X</t>
  </si>
  <si>
    <t>FRONT MOL BIOSCI</t>
  </si>
  <si>
    <t>Front. Mol. Biosci.</t>
  </si>
  <si>
    <t>10.3389/fmolb.2017.00086</t>
  </si>
  <si>
    <t>VH8CL</t>
  </si>
  <si>
    <t>WOS:000455311400051</t>
  </si>
  <si>
    <t>Motizuki, Y; Motoyama, H; Nakai, Y; Suzuki, K; Iizuka, Y; Takahashi, K</t>
  </si>
  <si>
    <t>Motizuki, Yuko; Motoyama, Hideaki; Nakai, Yoichi; Suzuki, Keisuke; Iizuka, Yoshinori; Takahashi, Kazuya</t>
  </si>
  <si>
    <t>Overview of the chemical composition and characteristics of Na+ and CL- distributions in shallow samples from Antarctic ice core DF01 (Dome Fuji) drilled in 2001</t>
  </si>
  <si>
    <t>GEOCHEMICAL JOURNAL</t>
  </si>
  <si>
    <t>ice core; Dome Fuji; chemical composition; ion balance</t>
  </si>
  <si>
    <t>SNOW; INLAND</t>
  </si>
  <si>
    <t>Ice core samples record information about the geological history of the Earth, including past climate changes. Dome Fuji, situated at the highest point of Queen Maud Land, is considered one of the best drilling locations for procuring samples to reconstruct past climates and environments. We present here fundamental data on the concentrations of dissolved ions in shallow samples, between 7.7 m and 65.0 m depth, from the Dome Fuji ice core drilled in 2001. The measured anions were HCOO-, CH3COO-, CH3SO3-, F-, Cl-, NO2-, NO3-, SO42-, C2O42-, and PO43-, and the cations were Na+, K+, Mg2+, Ca2+, and NH4+. The temporal resolution of the depth profiles of the ion concentrations was less than one year. No significant correlations were observed among the ions except between Na+ and Cl-. The ion balance in the core, based on the averaged ion concentrations of the samples, was different to that of sea salt, a result consistent with the findings of previous studies. In several samples, however, synchronous concentration peaks of Na+ and Cl- were identified, and the Cl-/Na+ ratios of the corresponding samples were close to the sea salt ratio. This observation indicates the possibility that climate conditions were such that precipitation containing sea salt occurred in the Dome Fuji area. The Cl-/Na+ ratio of samples that did not exhibit Na+ and Cl- peaks in the depth profile differed from that previously reported for the covering snow. This result implies that Cl-, but not Na+, was redistributed after deposition. High concentrations of SO42- in some samples may account for this alteration of Cl-/Na+ ratios. To interpret these observations and elucidate the climatic conditions, further studies, such as isotopic analyses of delta O-18 and delta D, are required.</t>
  </si>
  <si>
    <t>[Motizuki, Yuko; Nakai, Yoichi; Takahashi, Kazuya] RIKEN, Nishina Ctr, Hirosawa 2-1, Wako, Saitama 3510198, Japan; [Motoyama, Hideaki] Res Org Informat &amp; Syst, Natl Inst Polar Res, Midoricho 10-3, Tachikawa, Tokyo 1908518, Japan; [Suzuki, Keisuke] Shinshu Univ, Dept Environm Sci, Asahi 3-1-1, Matsumoto, Nagano 6908621, Japan; [Iizuka, Yoshinori] Hokkaido Univ, Inst Low Temp Sci, Sapporo, Hokkaido 0600808, Japan</t>
  </si>
  <si>
    <t>RIKEN; Research Organization of Information &amp; Systems (ROIS); National Institute of Polar Research (NIPR) - Japan; Shinshu University; Hokkaido University</t>
  </si>
  <si>
    <t>Takahashi, K (corresponding author), RIKEN, Nishina Ctr, Hirosawa 2-1, Wako, Saitama 3510198, Japan.</t>
  </si>
  <si>
    <t>kazuyat@riken.jp</t>
  </si>
  <si>
    <t>Nakai, Yoichi/D-6190-2017; Iizuka, Yoshinori/D-9112-2012; Takahashi, kazuyat/U-3232-2018</t>
  </si>
  <si>
    <t>Iizuka, Yoshinori/0000-0001-7241-6062; Takahashi, kazuyat/0000-0002-5104-2601</t>
  </si>
  <si>
    <t>Next Generation World-Leading Researchers (NEXT Program) [GR098]; JSPS [22244015]; Grants-in-Aid for Scientific Research [22244015, 15H02958] Funding Source: KAKEN</t>
  </si>
  <si>
    <t>Next Generation World-Leading Researchers (NEXT Program);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</si>
  <si>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Dome Fuji Ice Core Consortium for providing the ice core examined in this study. We are grateful to M. Kitagawa (RIKEN), T. Kobayashi (NIPR), and M. Igarashi (NIPR/RIKEN) for their help in obtaining the data by ion chromatography. We also thank S. Fujita for enlightening discussion. YM acknowledges support from the Funding Program for Next Generation World-Leading Researchers (NEXT Program, Grant Number GR098) initiated by the Council for Science and Technology Policy and the Japan Society for the Promotion of Science (JSPS) and a Grant- in-Aid for Scientific Research (A) (Grant Number 22244015) from JSPS to fulfil this study.</t>
  </si>
  <si>
    <t>GEOCHEMICAL SOC JAPAN</t>
  </si>
  <si>
    <t>358-5 YAMABUKI-CHO, SHINJUKU-KU, TOKYO, 162-0801, JAPAN</t>
  </si>
  <si>
    <t>0016-7002</t>
  </si>
  <si>
    <t>1880-5973</t>
  </si>
  <si>
    <t>GEOCHEM J</t>
  </si>
  <si>
    <t>Geochem. J.</t>
  </si>
  <si>
    <t>10.2343/geochemj.2.0458</t>
  </si>
  <si>
    <t>EZ4KR</t>
  </si>
  <si>
    <t>WOS:000404682500008</t>
  </si>
  <si>
    <t>D'Andrilli, J; Smith, HJ; Dieser, M; Foreman, CM</t>
  </si>
  <si>
    <t>D'Andrilli, J.; Smith, H. J.; Dieser, M.; Foreman, C. M.</t>
  </si>
  <si>
    <t>Climate driven carbon and microbial signatures through the last ice age</t>
  </si>
  <si>
    <t>GEOCHEMICAL PERSPECTIVES LETTERS</t>
  </si>
  <si>
    <t>DISSOLVED ORGANIC-MATTER; SP NOV.; CORE; DIVERSITY; GREENLAND; ANTARCTICA; DEPOSITION; DOME; COMMUNITIES; RECORD</t>
  </si>
  <si>
    <t>Ice cores preserve diverse materials as millennial-scale proxies for Earth's history. While major ions and elemental analyses are commonly investigated in palaeoclimate reconstructions, the integration of biological measurements is rapidly developing. Although the limited number of data herein impose constraints on broader generalisations, we show that microbial assemblages and organic matter (OM) composition from Byrd Station and West Antarctic Ice Sheet Divide ice cores may serve as palaeoecological markers from the Last Glacial Maximum (LGM; section similar to 20.5 ka BP) and last deglaciation periods (LD; section similar to 14.5 ka BP), reflecting environmental changes. Fluorescent analyses determined OM from both cores to have similar amino acid-like signatures; however, more comprehensive molecular characterisation showed only 12 % overlap in molecular formulae, with Byrd OM being more chemically labile. Microbial diversity in both cores was low, and together with predicted metabolic capabilities, differed significantly between communities. Variation in OM composition and microbial diversity reflects changes in environmental sources and deposition patterns onto the Antarctic Ice Sheet during distinct climate periods, with OM composition potentially shaping microbial communities post-deposition. Combining detailed microbial and OM composition analyses created a unique window into the past, providing a way to characterise carbon composition and potential metabolic processes as a function of environmental change.</t>
  </si>
  <si>
    <t>[D'Andrilli, J.; Foreman, C. M.] Montana State Univ, Dept Chem &amp; Biol Engn, Bozeman, MT 59717 USA; [D'Andrilli, J.; Smith, H. J.; Dieser, M.; Foreman, C. M.] Montana State Univ, Ctr Biofilm Engn, Bozeman, MT 59717 USA; [D'Andrilli, J.] Dept Land Resources &amp; Environm Sci, Bozeman, MT USA</t>
  </si>
  <si>
    <t>Montana State University System; Montana State University Bozeman; Montana State University System; Montana State University Bozeman</t>
  </si>
  <si>
    <t>Foreman, CM (corresponding author), Montana State Univ, Dept Chem &amp; Biol Engn, Bozeman, MT 59717 USA.;Foreman, CM (corresponding author), Montana State Univ, Ctr Biofilm Engn, Bozeman, MT 59717 USA.</t>
  </si>
  <si>
    <t>cforeman@montana.edu</t>
  </si>
  <si>
    <t>D'Andrilli, Juliana/0000-0002-3352-2564; Dieser, Markus/0000-0001-8539-6646</t>
  </si>
  <si>
    <t>NSF [ANT-1141936, DGE-0654336]; NASA Earth and Science Space Fellowship; [DMR-11-57490]</t>
  </si>
  <si>
    <t>NSF(National Science Foundation (NSF)); NASA Earth and Science Space Fellowship;</t>
  </si>
  <si>
    <t>Any opinions, findings, or conclusions expressed in this material are those of the authors and do not necessarily reflect the views of the National Science Foundation (NSF). This work was supported by NSF through ANT-1141936 to C.M.F., DGE-0654336 to C.M.F. and H.J.S., and DMR-11-57490 for mass spectral analysis. H.J.S. was supported by a NASA Earth and Science Space Fellowship. We thank the WAIS Divide team and ice core community, the National Ice Core Laboratory (NICL) and D.C. Podgorski, E.A. Bermel, Joseph Parchen, and L. McKittrick for assistance.</t>
  </si>
  <si>
    <t>EUROPEAN ASSOC GEOCHEMISTRY</t>
  </si>
  <si>
    <t>PARIS CEDEX 05</t>
  </si>
  <si>
    <t>IPGP-GOPEL-BUREAU 566, 1 RUE JUSSIEU, PARIS CEDEX 05, 75238, FRANCE</t>
  </si>
  <si>
    <t>2410-339X</t>
  </si>
  <si>
    <t>2410-3403</t>
  </si>
  <si>
    <t>GEOCHEM PERSPECT LET</t>
  </si>
  <si>
    <t>Geochem. Perspect. Lett.</t>
  </si>
  <si>
    <t>10.7185/geochemlet.1732</t>
  </si>
  <si>
    <t>FK0WI</t>
  </si>
  <si>
    <t>WOS:000413201000006</t>
  </si>
  <si>
    <t>Ogórek, R; Pusz, W; Zagozdzon, PP; Kozak, B; Bujak, H</t>
  </si>
  <si>
    <t>Ogorek, Rafal; Pusz, Wojciech; Zagozdzon, Pawel P.; Kozak, Bartosz; Bujak, Henryk</t>
  </si>
  <si>
    <t>Abundance and Diversity of Psychrotolerant Cultivable Mycobiota in Winter of a Former Aluminous Shale Mine</t>
  </si>
  <si>
    <t>Culturable fungi; environmental conditions; ITS sequences; speleomycology</t>
  </si>
  <si>
    <t>WHITE-NOSE SYNDROME; TALAROMYCES-FLAVUS; AIRBORNE FUNGI; ANTARCTIC PERMAFROST; HEAT-RESISTANCE; ROCK SURFACES; DRINY CAVE; GEOMICROBIOLOGY; MICROORGANISMS; CHAETOMIUM</t>
  </si>
  <si>
    <t>This paper is a speleomycological report from a former aluminous shale mine in Janowiec, Poland. Fungi were identified morphologically and molecularly. Microclimatic conditions differed significantly between locations of the study. However, the external environment around the mine did not directly increase the community composition and concentration of fungi in the mine. The density of fungi isolated from the air outside the mine was 63.1 colony forming units (CFU) per 1 cm(3) of air. Inside the mine, fungal density ranged from 287.5 to 655 CFU per 1 m(3) from the air, 28.4 to 131.1 CFU per 1 cm(2) from the rock surfaces and 288.1 to 335.1 CFU per 1 cm(3) from the water. Pearson correlation analysis showed that the levels of fungi isolated from the air were correlated positively with temperature, relative humidity and CO2 concentration. The concentration of fungi isolated from the rock surfaces showed a positive correlation with air flow. Five species of filamentous fungi were isolated from the sampled external air, 10 species from the internal air, six species from the rock surface and 11 species from the water. The fungi most frequently isolated from the air and water of the mine belonged to Penicillium spp., whereas from the rock surface, Geomyces pannorum was most frequently isolated. Some of the fungi present in the mine can be psychrotolerant and pathogenic for humans and animals, and they can also cause degradation of rocks.</t>
  </si>
  <si>
    <t>[Ogorek, Rafal] Univ Wroclaw, Inst Genet &amp; Microbiol, Dept Genet, Przybyszewskiego St 63-77, PL-51148 Wroclaw, Poland; [Pusz, Wojciech] Wroclaw Univ Environm &amp; Life Sci, Dept Plant Protect, Div Phytopathol &amp; Mycol, Wroclaw, Poland; [Zagozdzon, Pawel P.] Wroclaw Univ Sci &amp; Technol, Fac Geoengn Min &amp; Geol, Wroclaw, Poland; [Kozak, Bartosz; Bujak, Henryk] Wroclaw Univ Environm &amp; Life Sci, Dept Genet Plant Breeding &amp; Seed Prod, Wroclaw, Poland</t>
  </si>
  <si>
    <t>University of Wroclaw; Wroclaw University of Environmental &amp; Life Sciences; Wroclaw University of Science &amp; Technology; Wroclaw University of Environmental &amp; Life Sciences</t>
  </si>
  <si>
    <t>Ogórek, R (corresponding author), Univ Wroclaw, Inst Genet &amp; Microbiol, Dept Genet, Przybyszewskiego St 63-77, PL-51148 Wroclaw, Poland.</t>
  </si>
  <si>
    <t>rafal-ogorek@wp.pl</t>
  </si>
  <si>
    <t>Kozak, Bartosz/AAG-8466-2019; Ogórek, Rafał/AFK-6275-2022; Bujak, Henryk/HKO-9507-2023; Pusz, Wojciech/S-7650-2016</t>
  </si>
  <si>
    <t>Kozak, Bartosz/0000-0001-6472-3273; Ogórek, Rafał/0000-0003-0564-7797; Bujak, Henryk/0000-0001-8095-2105; Pusz, Wojciech/0000-0003-1531-2739</t>
  </si>
  <si>
    <t>Ministry of Science and Higher Education [0420/1398/16]</t>
  </si>
  <si>
    <t>Ministry of Science and Higher Education(Ministry of Science and Higher Education, Poland)</t>
  </si>
  <si>
    <t>This work was co-financed by the Ministry of Science and Higher Education carried out by the University of Wroclaw Grant to Young Researchers. Grant number: 0420/1398/16.</t>
  </si>
  <si>
    <t>10.1080/01490451.2017.1280860</t>
  </si>
  <si>
    <t>FT3EZ</t>
  </si>
  <si>
    <t>WOS:000423031300001</t>
  </si>
  <si>
    <t>Marshall, DP; Ambaum, MHP; Maddison, JR; Munday, DR; Novak, L</t>
  </si>
  <si>
    <t>Marshall, David P.; Ambaum, Maarten H. P.; Maddison, James R.; Munday, David R.; Novak, Lenka</t>
  </si>
  <si>
    <t>Eddy saturation and frictional control of the Antarctic Circumpolar Current</t>
  </si>
  <si>
    <t>ocean eddies; eddy saturation; bottom drag; Antarctic Circumpolar Current; ocean stratification; heat content</t>
  </si>
  <si>
    <t>MERIDIONAL OVERTURNING CIRCULATION; OCEAN CIRCULATION; MESOSCALE EDDIES; TRANSPORT; MODEL; ENERGY; SINK</t>
  </si>
  <si>
    <t>The Antarctic Circumpolar Current is the strongest current in the ocean and has a pivotal impact on ocean stratification, heat content, and carbon content. The circumpolar volume transport is relatively insensitive to surface wind forcing in models that resolve turbulent ocean eddies, a process termed eddy saturation. Here a simple model is presented that explains the physics of eddy saturation with three ingredients: a momentum budget, a relation between the eddy form stress and eddy energy, and an eddy energy budget. The model explains both the insensitivity of circumpolar volume transport to surface wind stress and the increase of eddy energy with wind stress. The model further predicts that circumpolar transport increases with increased bottom friction, a counterintuitive result that is confirmed in eddy-permitting calculations. These results suggest an unexpected and important impact of eddy energy dissipation, through bottom drag or lee wave generation, on ocean stratification, ocean heat content, and potentially atmospheric CO2.</t>
  </si>
  <si>
    <t>[Marshall, David P.] Univ Oxford, Dept Phys, Oxford, England; [Ambaum, Maarten H. P.; Novak, Lenka] Univ Reading, Dept Meteorol, Reading, Berks, England; [Maddison, James R.] Univ Edinburgh, Sch Math, Edinburgh, Midlothian, Scotland; [Maddison, James R.] Univ Edinburgh, Maxwell Inst Math Sci, Edinburgh, Midlothian, Scotland; [Munday, David R.] British Antarctic Survey, Cambridge, England</t>
  </si>
  <si>
    <t>University of Oxford; University of Reading; University of Edinburgh; University of Edinburgh; Heriot Watt University; UK Research &amp; Innovation (UKRI); Natural Environment Research Council (NERC); NERC British Antarctic Survey</t>
  </si>
  <si>
    <t>Munday, David R/R-1986-2016; Marshall, David Philip/B-6767-2009; Munday, David/Y-7052-2019; Ambaum, Maarten/E-1387-2011</t>
  </si>
  <si>
    <t>Munday, David R/0000-0003-1920-708X; Marshall, David Philip/0000-0002-5199-6579; Ambaum, Maarten/0000-0002-6824-8083</t>
  </si>
  <si>
    <t>UK Natural Environment Research Council [NE/L005166/1, NE/M014932/1]; Natural Environment Research Council [NE/M014932/1, bas0100033, NE/L005166/1] Funding Source: researchfish; NERC [bas0100033, NE/L005166/1, NE/N018095/1, NE/M014932/1]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</si>
  <si>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</si>
  <si>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comments of Fabian Roquet, Gurvan Madec, and an anonymous reviewer are greatly appreciated and led to an improved final manuscript. We acknowledge funding from the UK Natural Environment Research Council (NE/L005166/1 and NE/M014932/1). This work used the ARCHER UK National Supercomputing Service (http://www.archer.ac.uk). The source code for the model used in this study, the MITgcm, is freely available at http://mitgcm.org. The input files necessary to reproduce the experiments are available from the authors upon request. The authors declare no conflicts of interest.</t>
  </si>
  <si>
    <t>10.1002/2016GL071702</t>
  </si>
  <si>
    <t>Green Published, hybrid, Green Accepted</t>
  </si>
  <si>
    <t>WOS:000393954900034</t>
  </si>
  <si>
    <t>Clark, MS; Sommer, U; Sihra, JK; Thorne, MAS; Morley, SA; King, M; Viant, MR; Peck, LS</t>
  </si>
  <si>
    <t>Clark, Melody S.; Sommer, Ulf; Sihra, Jaspreet K.; Thorne, Michael A. S.; Morley, Simon A.; King, Michelle; Viant, Mark R.; Peck, Lloyd S.</t>
  </si>
  <si>
    <t>Biodiversity in marine invertebrate responses to acute warming revealed by a comparative multi-omics approach</t>
  </si>
  <si>
    <t>GLOBAL CHANGE BIOLOGY</t>
  </si>
  <si>
    <t>H-1 NMR; anaerobic end products; biodiversity; ecosystem; heat shock response; LC-MS; macrophysiology; marine invertebrate; metabolomics; transcriptomics</t>
  </si>
  <si>
    <t>HEAT-SHOCK; THERMAL TOLERANCE; LATERNULA-ELLIPTICA; ANTARCTIC BIVALVE; ADAMUSSIUM-COLBECKI; POWERFUL APPROACH; STRESS TOLERANCE; OXYGEN; METABOLOMICS; TEMPERATURE</t>
  </si>
  <si>
    <t>Understanding species' responses to environmental change underpins our abilities to make predictions on future biodiversity under any range of scenarios. In spite of the huge biodiversity in most ecosystems, a model species approach is often taken in environmental studies. To date, we still do not know how many species we need to study to input into models and inform on ecosystem-level responses to change. In this study, we tested current paradigms on factors setting thermal limits by investigating the acute warming response of six Antarctic marine invertebrates: a crustacean Paraceradocus miersi, a brachiopod Liothyrella uva, two bivalve molluscs, Laternula elliptica, Aequiyoldia eight- sii, a gastropod mollusc Marseniopsis mollis and an echinoderm Cucumaria georgiana. Each species was warmed at the rate of 1 degrees C h(-1) and taken to the same physiological end point (just prior to heat coma). Their molecular responses were evaluated using complementary metabolomics and transcriptomics approaches with the aim of discovering the underlying mechanisms of their resilience or sensitivity to warming. The responses were species-specific; only two showed accumulation of anaerobic end products and three exhibited the classical heat shock response with expression of HSP70 transcripts. These diverse cellular measures did not directly correlate with resilience to heat stress and suggested that each species may have a different critical point of failure. Thus, one unifying molecular mechanism underpinning response to warming could not be assigned, and no overarching paradigm was supported. This biodiversity in response makes future ecosystems predictions extremely challenging, as we clearly need to develop a macrophysiology-type approach to cellular evaluations of the environmental stress response, studying a range of well-rationalized members from different community levels and of different phylogenetic origins rather than extrapolating from one or two arbitrary model species.</t>
  </si>
  <si>
    <t>[Clark, Melody S.; Thorne, Michael A. S.; Morley, Simon A.; King, Michelle; Peck, Lloyd S.] British Antarctic Survey, Nat Environm Res Council, Madingley Rd, Cambridge CB3 0ET, England; [Sommer, Ulf; Sihra, Jaspreet K.; Viant, Mark R.] Univ Birmingham, NERC Biomol Anal Facil Metabol Node NBAF B, Sch Biosci, Birmingham B15 2TT, W Midlands, England</t>
  </si>
  <si>
    <t>UK Research &amp; Innovation (UKRI); Natural Environment Research Council (NERC); NERC British Antarctic Survey; University of Birmingham; UK Research &amp; Innovation (UKRI); Natural Environment Research Council (NERC)</t>
  </si>
  <si>
    <t>Clark, MS (corresponding author), British Antarctic Survey, Nat Environm Res Council, Madingley Rd, Cambridge CB3 0ET, England.</t>
  </si>
  <si>
    <t>mscl@bas.ac.uk</t>
  </si>
  <si>
    <t>Viant, Mark R/B-6339-2009; Clark, Melody/D-7371-2014</t>
  </si>
  <si>
    <t>Viant, Mark R/0000-0001-5898-4119; Thorne, Michael/0000-0001-7759-612X; Clark, Melody/0000-0002-3442-3824</t>
  </si>
  <si>
    <t>NERC NBAF Birmingham access grant [NBAF 660]; NERC; NERC [NBAF010004, bas0100036, dml011000] Funding Source: UKRI; Natural Environment Research Council [NBAF010004, bas0100036] Funding Source: researchfish</t>
  </si>
  <si>
    <t>NERC NBAF Birmingham access grant;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</si>
  <si>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all members of the Rothera dive team for providing samples and Dr Robert Davidson for help with the statistical analysis of the NMR data. We also wish to thank the two anonymous reviewers for their very constructive comments. Overall BAS diving support was provided by the NERC National Facility for Scientific Diving at Oban. Sequencing was performed at The Genome Analysis Centre (TGAC), Norwich. The metabolomics was financed by a NERC NBAF Birmingham access grant (NBAF 660) awarded to SAM and LSP. This project was largely financed by NERC core funding to BAS.</t>
  </si>
  <si>
    <t>1354-1013</t>
  </si>
  <si>
    <t>1365-2486</t>
  </si>
  <si>
    <t>GLOBAL CHANGE BIOL</t>
  </si>
  <si>
    <t>Glob. Change Biol.</t>
  </si>
  <si>
    <t>10.1111/gcb.13357</t>
  </si>
  <si>
    <t>EF3IP</t>
  </si>
  <si>
    <t>WOS:000390218300027</t>
  </si>
  <si>
    <t>Akhtar-Khavari, A; Richardson, BJ</t>
  </si>
  <si>
    <t>Akhtar-Khavari, Afshin; Richardson, Benjamin J.</t>
  </si>
  <si>
    <t>Ecological restoration and the law: recovering nature's past for the future</t>
  </si>
  <si>
    <t>[Akhtar-Khavari, Afshin] Griffith Univ, Griffith Law Sch, Brisbane, Qld, Australia; [Richardson, Benjamin J.] Univ Tasmania, Inst Marine &amp; Antarctic Studies, Fac Law, Hobart, Tas, Australia</t>
  </si>
  <si>
    <t>Griffith University; University of Tasmania</t>
  </si>
  <si>
    <t>Akhtar-Khavari, A (corresponding author), Griffith Univ, Griffith Law Sch, Brisbane, Qld, Australia.</t>
  </si>
  <si>
    <t>a.akhtarkhavari@griffith.edu.au</t>
  </si>
  <si>
    <t>Richardson, Benjamin/J-7340-2014</t>
  </si>
  <si>
    <t>Richardson, Benjamin/0000-0002-3249-5648; Akhtar-Khavari, Afshin/0000-0002-3045-4148</t>
  </si>
  <si>
    <t>10.1080/10383441.2017.1366289</t>
  </si>
  <si>
    <t>WOS:000423951300001</t>
  </si>
  <si>
    <t>Poeta, G; Staffieri, E; Acosta, ATR; Attisti, CB</t>
  </si>
  <si>
    <t>Poeta, Gianluca; Staffieri, Eleonora; Acosta, Alicia T. R.; Attisti, Corrado B.</t>
  </si>
  <si>
    <t>Ecological effects of anthropogenic litter on marine mammals: A global review with a black-list of impacted taxa</t>
  </si>
  <si>
    <t>HYSTRIX-ITALIAN JOURNAL OF MAMMALOGY</t>
  </si>
  <si>
    <t>ingestion; entanglement; size-based criterion; methodological biases; need for standardization; DPSIR approach</t>
  </si>
  <si>
    <t>BOTTLE-NOSED DOLPHINS; MAN-MADE DEBRIS; WHALES PHYSETER-MACROCEPHALUS; ANTARCTIC FUR SEALS; HAWAIIAN MONK SEAL; TRICHECHUS-MANATUS-MANATUS; ATLANTIC RIGHT WHALES; FISHING GEAR; PLASTIC DEBRIS; BEAKED-WHALE</t>
  </si>
  <si>
    <t>In this work we would define an historical arrangement of the state of knowledge regarding the ecological impact of anthropogenic litter on marine mammals, assessing the role of different type of impacts (ingestion vs. entanglement) and pressures (three size-based categories). Analyzing 203 references (from 1976 to 2016), we obtained a black-list of 101 species impacted by marine litter (78.9% on 128 species totally known). At species level, four cetacean (Megaptera novaeangliae, Physeter macrocephalus, Tursiops truncatus, Eubalaena glacialis) showed the highest number of bibliographic citations. A significant higher number of species was impacted by entanglement when compared to ingestion. Macro-litter represents the main factor of pressure in all groups; micro-litter showed the highest frequency in Mysticeti, probably explained from their food filtration behaviour. Both intrinsic eco-biogeographic traits (e.g. trophic niche, food catching behaviour, species range) and extrinsic methodological biases could explain our patterns. Since the entanglement is easier to record because of imply only an external observation without further post-mortem examination, and that large litter is easier to detect in respect to meso-and micro-litter, we hypothesize that both this information could be largely biased. Moreover, we observed a direct correlation between the research effort on species (obtained from Scholar recurrences) and the number of citations related to marine litter events, although some exceptions are present: therefore our black list of impacted species is not complete and could be increased focusing research on poor-studied neglected species. After 2005 the number of studies on this topic showed a large increase: however, literature appeared extremely heterogeneous. In this sense, we suggest the use of a standardized nomenclature for pressures and impacts to reduce the loss of information.</t>
  </si>
  <si>
    <t>[Poeta, Gianluca; Staffieri, Eleonora; Acosta, Alicia T. R.] Univ Roma Tre, Dipartimento Sci, Viale Marconi 446, I-00146 Rome, Italy; [Attisti, Corrado B.] Citta Metropolitana Roma Capitale Serv Aree Prote, Torre Flavia LTER Long Term Ecol Res Stn, Via Tiburtina 691, Rome, Italy</t>
  </si>
  <si>
    <t>Roma Tre University</t>
  </si>
  <si>
    <t>Attisti, CB (corresponding author), Citta Metropolitana Roma Capitale Serv Aree Prote, Torre Flavia LTER Long Term Ecol Res Stn, Via Tiburtina 691, Rome, Italy.</t>
  </si>
  <si>
    <t>c.battisti@cittametropolitanaroma.gov.it</t>
  </si>
  <si>
    <t>Battisti, Corrado/Q-4061-2016; Battisti, Corrado/ABE-9224-2021; Staffieri, Eleonora/HKV-1812-2023; Acosta, Alicia T. R./E-3653-2012</t>
  </si>
  <si>
    <t>Battisti, Corrado/0000-0002-2621-3659; Acosta, Alicia T. R./0000-0001-6572-3187</t>
  </si>
  <si>
    <t>ASSOC TERIOLOGICA ITALIANA</t>
  </si>
  <si>
    <t>ROMA</t>
  </si>
  <si>
    <t>C/O GIOVANNI AMORI, CNR-ISE VIALE DELL UNIVERSITA 23, ROMA, I-00185, ITALY</t>
  </si>
  <si>
    <t>0394-1914</t>
  </si>
  <si>
    <t>1825-5272</t>
  </si>
  <si>
    <t>HYSTRIX</t>
  </si>
  <si>
    <t>Hystrix</t>
  </si>
  <si>
    <t>10.4404/hystrix-00003-2017</t>
  </si>
  <si>
    <t>HA2EL</t>
  </si>
  <si>
    <t>WOS:000450046400010</t>
  </si>
  <si>
    <t>Bühl, J; Alexander, S; Crewell, S; Heymsfield, A; Kalesse, H; Khain, A; Maahn, M; Van Tricht, K; Wendisch, M</t>
  </si>
  <si>
    <t>Buehl, J.; Alexander, S.; Crewell, S.; Heymsfield, A.; Kalesse, H.; Khain, A.; Maahn, M.; Van Tricht, K.; Wendisch, M.</t>
  </si>
  <si>
    <t>Remote Sensing</t>
  </si>
  <si>
    <t>ICE WATER PATH; BOUNDARY-LAYER CLOUDS; RADAR DOPPLER SPECTRA; MICROPHYSICAL PROPERTIES; SOUTHERN-OCEAN; LIQUID-WATER; WIND-DRIFT; A-TRAIN; PRECIPITATION; RETRIEVAL</t>
  </si>
  <si>
    <t>State-of-the-art remote sensing techniques applicable to the investigation of ice formation and evolution are described. Ground-based and spaceborne measurements with lidar, radar, and radiometric techniques are discussed together with a global view on past and ongoing remote sensingmeasurement campaigns concerned with the study of ice formation and evolution. This chapter has the intention of a literature study and should illustrate themajor efforts that are currently taken in the field of remote sensing of atmospheric ice. Since other chapters of this monograph mainly focus on aircraft in situ measurements, special emphasis is put on active remote sensing instruments and synergies between aircraft in situ measurements and passive remote sensing methods. The chapter concentrates on homogeneous and heterogeneous ice formation in the troposphere because this is a major topic of this monograph. Furthermore, methods that deliver direct, process-level information about ice formation are elaborated with a special emphasis on active remote sensing methods. Passive remote sensingmethods are also dealtwith but only in the context of synergy with aircraft in situ measurements.</t>
  </si>
  <si>
    <t>[Buehl, J.; Kalesse, H.] Leibniz Inst Tropospher Res, Leipzig, Germany; [Alexander, S.] Australian Antarctic Div, Kingston, Tas, Australia; [Alexander, S.] Univ Tasmania, Antarctic Climate &amp; Ecosyst Cooperat Res Ctr, Hobart, Tas, Australia; [Crewell, S.] Univ Cologne, Cologne, Germany; [Heymsfield, A.] NCAR, Mesoscale &amp; Microscale Meteorol Lab, Phys Meteorol Sect, Boulder, CO USA; [Khain, A.] Hebrew Univ Jerusalem, Jerusalem, Israel; [Maahn, M.] Univ Colorado Boulder, Boulder, CO USA; [Maahn, M.] NOAA, Earth Syst Res Lab, Boulder, CO USA; [Van Tricht, K.] Univ Leuven, Leuven, Belgium; [Wendisch, M.] Leipzig Inst Meteorol, Leipzig, Germany</t>
  </si>
  <si>
    <t>Leibniz Institut fur Tropospharenforschung (TROPOS); Australian Antarctic Division; Antarctic Climate &amp; Ecosystems Cooperative Research Centre (ACE CRC); University of Tasmania; University of Cologne; National Center Atmospheric Research (NCAR) - USA; Hebrew University of Jerusalem; University of Colorado System; University of Colorado Boulder; National Oceanic Atmospheric Admin (NOAA) - USA; KU Leuven</t>
  </si>
  <si>
    <t>Bühl, J (corresponding author), Leibniz Inst Tropospher Res, Leipzig, Germany.</t>
  </si>
  <si>
    <t>buehl@tropos.de</t>
  </si>
  <si>
    <t>Kalesse-Los, Heike/N-7166-2019; Maahn, Maximilian/E-8363-2014; amplification, ³ - Arctic/AAU-6640-2020; Wendisch, Manfred/E-4175-2013</t>
  </si>
  <si>
    <t>Kalesse-Los, Heike/0000-0001-6699-7040; Maahn, Maximilian/0000-0002-2580-9100; Wendisch, Manfred/0000-0002-4652-5561; Alexander, Simon/0000-0001-6823-8857</t>
  </si>
  <si>
    <t>10.1175/AMSMONOGRAPHS-D-16-0015.1</t>
  </si>
  <si>
    <t>WOS:000419754400011</t>
  </si>
  <si>
    <t>Pransky, J</t>
  </si>
  <si>
    <t>Pransky, Joanne</t>
  </si>
  <si>
    <t>The Pransky interview: Gianmarco Veruggio, Director of Research, CNR-IEIIT, Genoa Branch; Robotics Pioneer and Inventor</t>
  </si>
  <si>
    <t>INDUSTRIAL ROBOT-AN INTERNATIONAL JOURNAL</t>
  </si>
  <si>
    <t>Ethics; Education; Robotics; Autonomous robots; Teleoperation; Subsea robotics</t>
  </si>
  <si>
    <t>Purpose - The following paper is a Q&amp;A interview conducted by Joanne Pransky of Industrial Robot journal as a method to impart the combined technological, business and personal experience of a prominent, robotic industry engineer-turned successful innovator and leader, regarding the challenges of bringing technological discoveries to fruition. The paper aims to discuss these issues. Design/methodology/approach - The interviewee is Gianmarco Veruggio who is responsible for the Operational Unit of Genoa of the Italian National Research Council Institute of Electronics, Computer and Telecommunication Engineering (CNR-IEIIT). Veruggio is an early pioneer of telerobotics in extreme environments. Veruggio founded the new applicative field of Roboethics. In this interview, Veruggio shares some of his 30-year robotic journey along with his thoughts and concerns on robotics and society. Findings - Gianmarco Veruggio received a master's degree in electronic engineering, computer science, control and automation from Genoa University in 1980. From 1980 to 1983 he worked in the Automation Division of Ansaldo as a Designer of fault-tolerant multiprocessor architectures for fail-safe control systems and was part of the development team for the new automation of the Italian Railway Stations. In 1984, he joined the CNR-Institute of Naval Automation (IAN) in Genoa as a Research Scientist. There, he worked on real-time computer graphics for simulation, control techniques and naval and marine data-collection systems. In 1989, he founded the CNR-IAN Robotics Department (Robotlab), which he headed until 2003, to develop missions on experimental robotics in extreme environments. His approach utilized working prototypes in a virtual lab environment and focused on robot mission control, real-time human-machine interfaces, networked control system architectures for tele-robotics and Internet Robotics. In 2000, he founded the association Scuola di Robotica (School of Robotics) to promote this new science among young people and society at large by means of educational robotics. He joined the CNR-IEIIT in 2007 to continue his research in robotics and to also develop studies on the philosophical, social and ethical implications of Robotics. Originality/value - Veruggio led the first Italian underwater robotics campaigns in Antarctica during the Italian expeditions in 1993, 1997 and 2001, and in the Arctic during 2002. During the 2001-2002 Antarctic expedition, he carried out the E-Robot Project, the first experiment of internet robotics via satellite in the Antarctica. In 2002, he designed and developed the Project E-Robot2, the first experiment of worldwide internet robotics ever carried out in the Arctic. During these projects, he organized a series of live-science sessions in collaboration with students and teachers of Italian schools. Beginning with his new School of Robotics, Veruggio continued to disseminate and educate young people on the complex relationship between robotics and society. This led him to coin the term and propose the concept of Roboethics in 2002, and he has since made worldwide efforts at dedicating resources to the development of this new field. He was the General Chair of the First International Symposium on Roboethics in 2004 and of the  EURON Roboethics Atelier in 2006 that produced the Roboethics Roadmap. Veruggio is the author of more than 150 scientific publications. In 2006, he was presented with the Ligurian Region Award for Innovation, and in 2009, for his merits in the field of science and society, he was awarded the title of Commander of the Order of Merit of the Italian Republic, one of Italy's highest civilian honors.</t>
  </si>
  <si>
    <t>drjoanne@robot.md</t>
  </si>
  <si>
    <t>0143-991X</t>
  </si>
  <si>
    <t>1758-5791</t>
  </si>
  <si>
    <t>IND ROBOT</t>
  </si>
  <si>
    <t>Ind. Robot</t>
  </si>
  <si>
    <t>10.1108/IR-10-2016-0271</t>
  </si>
  <si>
    <t>Engineering, Industrial; Robotics</t>
  </si>
  <si>
    <t>Engineering; Robotics</t>
  </si>
  <si>
    <t>EQ4SN</t>
  </si>
  <si>
    <t>WOS:000398068800002</t>
  </si>
  <si>
    <t>Temp, AGM; Lee, B; Bak, TH</t>
  </si>
  <si>
    <t>Latola, K; Savela, H</t>
  </si>
  <si>
    <t>Temp, Anna G. M.; Lee, Billy; Bak, Thomas H.</t>
  </si>
  <si>
    <t>Well-Being at the Polish Polar Station, Svalbard: Adaptation to Extreme Environments</t>
  </si>
  <si>
    <t>INTERCONNECTED ARCTIC - UARCTIC CONGRESS 2016</t>
  </si>
  <si>
    <t>UArctic Congress</t>
  </si>
  <si>
    <t>Saint Petersburg State Univ, St. Petersburg, RUSSIA</t>
  </si>
  <si>
    <t>Saint Petersburg State Univ</t>
  </si>
  <si>
    <t>PERFORMANCE; EXPEDITION; PATTERN; SIZE</t>
  </si>
  <si>
    <t>While the psychological well-being of Antarctic crews has been investigated previously, Arctic crews have received little attention. Antarctic stressors include the permanent darkness of polar night, cramped quarters and harsh weather conditions which demand that the crews work together to survive. These stressors are also present for Arctic crews with the addition of dangerous polar bears. In this study, these psychological stressors were explored at the Polish Polar Station, Svalbard. Nine crew members three of whom were women, took part in the study. They filled in the Profile of Mood States (POMS) and the Symptom Checklist 90-Revised (SCL-90-R) after their arrival, at equinox, during polar night, in spring and during the midnight sun. Depression and hostility were highest in the spring following the isolation of polar night. Vigor reached its lowest point in spring and remained low until mission completion. Confusion continued to decline throughout the mission. The Polish crew adapted by monitoring their feelings to work together and ensure survival. Up until and during the polar night, negative feelings were low. Following the isolation period, depression and hostility increased while vigor declined. This suggests adaptation paradigm wherein the participants stopped to monitor their own feelings as closely after the polar night.</t>
  </si>
  <si>
    <t>[Temp, Anna G. M.; Lee, Billy; Bak, Thomas H.] Univ Edinburgh, Edinburgh, Midlothian, Scotland; [Temp, Anna G. M.] Polish Acad Sci, Inst Geophys, Warsaw, Poland</t>
  </si>
  <si>
    <t>University of Edinburgh; Polish Academy of Sciences; Institute of Geophysics of the Polish Academy of Sciences</t>
  </si>
  <si>
    <t>Temp, AGM (corresponding author), Univ Edinburgh, Edinburgh, Midlothian, Scotland.;Temp, AGM (corresponding author), Polish Acad Sci, Inst Geophys, Warsaw, Poland.</t>
  </si>
  <si>
    <t>atemp@ed.ac.uk</t>
  </si>
  <si>
    <t>Temp, Anna Gesine Marie/0000-0003-0671-121X</t>
  </si>
  <si>
    <t>978-3-319-57532-2; 978-3-319-57531-5</t>
  </si>
  <si>
    <t>10.1007/978-3-319-57532-2_21</t>
  </si>
  <si>
    <t>Area Studies; Environmental Sciences; Environmental Studies; Geography</t>
  </si>
  <si>
    <t>Conference Proceedings Citation Index - Science (CPCI-S); Conference Proceedings Citation Index - Social Science &amp; Humanities (CPCI-SSH)</t>
  </si>
  <si>
    <t>Area Studies; Environmental Sciences &amp; Ecology; Geography</t>
  </si>
  <si>
    <t>BM8JW</t>
  </si>
  <si>
    <t>WOS:000469281900021</t>
  </si>
  <si>
    <t>Gaucherel, C; Moron, V</t>
  </si>
  <si>
    <t>Gaucherel, Cedric; Moron, Vincent</t>
  </si>
  <si>
    <t>Potential stabilizing points to mitigate tipping point interactions in Earth's climate</t>
  </si>
  <si>
    <t>INTERNATIONAL JOURNAL OF CLIMATOLOGY</t>
  </si>
  <si>
    <t>climate change; expert elicitation; formal grammar; Boolean model; integrative model; graph</t>
  </si>
  <si>
    <t>BOOLEAN DELAY EQUATIONS; ICE-SHEET; EL-NINO; GREENLAND; DYNAMICS</t>
  </si>
  <si>
    <t>Tipping points' (TPs) are thresholds of potentially disproportionate changes in the Earth's climate system associated with future global warming and are considered today as a 'hot' topic in environmental sciences. In this study, TP interactions are analysed from an integrated and conceptual point of view using two qualitative Boolean models built on graph grammars. They allow an accurate study of the node TP interactions previously identified by expert elicitation and take into account a range of various large-scale climate processes potentially able to trigger, alone or jointly, instability in the global climate. Our findings show that, contrary to commonly held beliefs, far from causing runaway changes in the Earth's climate, such as self-acceleration due to additive positive feedbacks, successive perturbations might actually lead to its stabilization. A more comprehensive model defined TPs as interactions between nine (non-exhaustive) large-scale subsystems of the Earth's climate, highlighting the enhanced sensitivity to the triggering of the disintegration of the west Antarctic ice sheet. We are claiming that today, it is extremely difficult to guess the fate of the global climate system as TP sensitivity depends strongly on the definition of the model. Finally, we demonstrate the stronger effect of decreasing rules (i.e. mitigating connected TPs) over other rule types, thus suggesting the critical role of possible 'stabilizing points' that are yet to be identified and studied.</t>
  </si>
  <si>
    <t>[Gaucherel, Cedric] French Inst Pondicherry, IFP CNRS, Dept Ecol, Pondicherry, India; [Gaucherel, Cedric] INRA, UMR AMAP, Montpellier, France; [Moron, Vincent] Aix Marseille Univ, CEREGE UM 34, CNRS, Aix En Provence, France; [Moron, Vincent] Columbia Univ, IRI, New York, NY USA</t>
  </si>
  <si>
    <t>CIRAD; Centre National de la Recherche Scientifique (CNRS); Institut de Recherche pour le Developpement (IRD); Universite de Montpellier; INRAE; Centre National de la Recherche Scientifique (CNRS); Aix-Marseille Universite; Columbia University</t>
  </si>
  <si>
    <t>Gaucherel, C (corresponding author), French Inst Pondicherry IFP, 11 St Louis St, Pondicherry 605001, India.</t>
  </si>
  <si>
    <t>cedric.gaucherel@cirad.fr</t>
  </si>
  <si>
    <t>Moron, Vincent/ABI-5722-2020</t>
  </si>
  <si>
    <t>Moron, Vincent/0000-0002-4981-9530</t>
  </si>
  <si>
    <t>0899-8418</t>
  </si>
  <si>
    <t>1097-0088</t>
  </si>
  <si>
    <t>INT J CLIMATOL</t>
  </si>
  <si>
    <t>Int. J. Climatol.</t>
  </si>
  <si>
    <t>10.1002/joc.4712</t>
  </si>
  <si>
    <t>EI3TY</t>
  </si>
  <si>
    <t>WOS:000392415700029</t>
  </si>
  <si>
    <t>Rahman, AA; Karim, H</t>
  </si>
  <si>
    <t>REGIONAL GEOLOGICAL MAPPING IN THE GRAHAM LAND OF ANTARCTIC PENINSULA USING LANDSAT-8 REMOTE SENSING DATA</t>
  </si>
  <si>
    <t>ISPRS WG IV/1 INTERNATIONAL CONFERENCE ON GEOMATIC AND GEOSPATIAL TECHNOLOGY 2017: GEOSPATIAL AND DISASTER MANAGEMENT</t>
  </si>
  <si>
    <t>International Archives of the Photogrammetry, Remote Sensing and Spatial Information Sciences</t>
  </si>
  <si>
    <t>ISPRS WG IV/1 International Conference on Geomatic and Geospatial Technology (GGT) - Geospatial and Disaster Management</t>
  </si>
  <si>
    <t>OCT 04, 2017</t>
  </si>
  <si>
    <t>Landsat-8; Remote sensing data; geological mapping; Antarctic Peninsula</t>
  </si>
  <si>
    <t>Geological investigations in Antarctica confront many difficulties due to its remoteness and extreme environmental conditions. In this study, the applications of Landsat-8 data were investigated to extract geological information for lithological and alteration mineral mapping in poorly exposed lithologies in inaccessible domains such in Antarctica. The north-eastern Graham Land, Antarctic Peninsula (AP) was selected in this study to conduct a satellite-based remote sensing mapping technique. Continuum Removal (CR) spectral mapping tool and Independent Components Analysis (ICA) were applied to Landsat-8 spectral bands to map poorly exposed lithologies at regional scale. Pixels composed of distinctive absorption features of alteration mineral assemblages associated with poorly exposed lithological units were detected by applying CR mapping tool to VNIR and SWIR bands of Landsat-8. Pixels related to Si-O bond emission minima features were identified using CR mapping tool to TIR bands in poorly mapped and unmapped zones in north-eastern Graham Land at regional scale. Anomaly pixels in the ICA image maps related to spectral features of Al-O-H, Fe, Mg-O-H and CO3 groups and well-constrained lithological attributions from felsic to mafic rocks were detected using VNIR, SWIR and TIR datasets of Landsat-8. The approach used in this study performed very well for lithological and alteration mineral mapping with little available geological data or without prior information of the study region.</t>
  </si>
  <si>
    <t>[Pour, Amin Beiranvand; Hashim, Mazlan] Univ Teknol Malaysia UTM, Geosci &amp; Digital Earth Ctr INSTeG, Utm Skudai 81310, Johor Bahru, Malaysia; [Pour, Amin Beiranvand; Park, Yongcheol] Korea Polar Res Inst KOPRI, Incheon 21990, South Korea</t>
  </si>
  <si>
    <t>Hashim, M (corresponding author), Univ Teknol Malaysia UTM, Geosci &amp; Digital Earth Ctr INSTeG, Utm Skudai 81310, Johor Bahru, Malaysia.</t>
  </si>
  <si>
    <t>mazlanhashim@utm.my</t>
  </si>
  <si>
    <t>Yayasan Penyelidikan Antartika Sultan Mizan (YPASM) research grant, Sultan Mizan Antarctic Research Foundation, Malaysia [R.J130000.7309.4B221]</t>
  </si>
  <si>
    <t>Yayasan Penyelidikan Antartika Sultan Mizan (YPASM) research grant, Sultan Mizan Antarctic Research Foundation, Malaysia</t>
  </si>
  <si>
    <t>This study was conducted as a part of Yayasan Penyelidikan Antartika Sultan Mizan (YPASM) research grant (Vote no: R.J130000.7309.4B221), Sultan Mizan Antarctic Research Foundation, Malaysia. Korea Polar Research Institute (KOPRI) for their great assistance during preparation the manuscript was also acknowledged. We are thankful to the Universiti Teknologi Malaysia for providing the facilities for this investigation.</t>
  </si>
  <si>
    <t>BAHNHOFSALLE 1E, GOTTINGEN, 37081, GERMANY</t>
  </si>
  <si>
    <t>1682-1750</t>
  </si>
  <si>
    <t>2194-9034</t>
  </si>
  <si>
    <t>INT ARCH PHOTOGRAMM</t>
  </si>
  <si>
    <t>42-4</t>
  </si>
  <si>
    <t>W5</t>
  </si>
  <si>
    <t>10.5194/isprs-archives-XLII-4-W5-235-2017</t>
  </si>
  <si>
    <t>Geography, Physical; Remote Sensing; Imaging Science &amp; Photographic Technology</t>
  </si>
  <si>
    <t>Physical Geography; Remote Sensing; Imaging Science &amp; Photographic Technology</t>
  </si>
  <si>
    <t>BP9DU</t>
  </si>
  <si>
    <t>WOS:000569012700030</t>
  </si>
  <si>
    <t>Whitehouse, PL; Bentley, MJ; Vieli, A; Jamieson, SSR; Hein, AS; Sugden, DE</t>
  </si>
  <si>
    <t>Whitehouse, Pippa L.; Bentley, Michael J.; Vieli, Andreas; Jamieson, Stewart S. R.; Hein, Andrew S.; Sugden, David E.</t>
  </si>
  <si>
    <t>Controls on Last Glacial Maximum ice extent in the Weddell Sea embayment, Antarctica</t>
  </si>
  <si>
    <t>Antarctica; Foundation Ice Stream; flowline modeling; Weddell Sea; Last Glacial Maximum</t>
  </si>
  <si>
    <t>GROUNDING-LINE; STREAM STABILITY; SHEET RETREAT; LEVEL RISE; SHELF; MODEL; FLOW; SECTOR; ACCUMULATION; DYNAMICS</t>
  </si>
  <si>
    <t>The Weddell Sea sector of the Antarctic Ice Sheet is hypothesized to have made a significant contribution to sea-level rise since the Last Glacial Maximum. Using a numerical flowline model we investigate the controls on grounding line motion across the eastern Weddell Sea and compare our results with field data relating to past ice extent. Specifically, we investigate the influence of changes in ice temperature, accumulation, sea level, ice shelf basal melt, and ice shelf buttressing on the dynamics of the Foundation Ice Stream. We find that ice shelf basal melt plays an important role in controlling grounding line advance, while a reduction in ice shelf buttressing is found to be necessary for grounding line retreat. There are two stable positions for the grounding line under glacial conditions: at the northern margin of Berkner Island and at the continental shelf break. Global mean sea-level contributions associated with these two scenarios are similar to 50mm and similar to 130mm, respectively. Comparing model results with field evidence from the Pensacola Mountains and the Shackleton Range, we find it unlikely that ice was grounded at the continental shelf break for a prolonged period during the last glacial cycle. However, we cannot rule out a brief advance to this position or a scenario in which the grounding line retreated behind present during deglaciation and has since re-advanced. Better constraints on past ice sheet and ice shelf geometry, ocean temperature, and ocean circulation are needed to reconstruct more robustly past behavior of the Foundation Ice Stream.</t>
  </si>
  <si>
    <t>[Whitehouse, Pippa L.; Bentley, Michael J.; Jamieson, Stewart S. R.] Univ Durham, Dept Geog, Durham, England; [Vieli, Andreas] Univ Zurich, Dept Geog, Zurich, Switzerland; [Hein, Andrew S.; Sugden, David E.] Univ Edinburgh, Sch Geosci, Edinburgh, Midlothian, Scotland</t>
  </si>
  <si>
    <t>Durham University; University of Zurich; University of Edinburgh</t>
  </si>
  <si>
    <t>Whitehouse, PL (corresponding author), Univ Durham, Dept Geog, Durham, England.</t>
  </si>
  <si>
    <t>pippa.whitehouse@durham.ac.uk</t>
  </si>
  <si>
    <t>Hein, Andrew/JWO-3756-2024; Jamieson, Stewart S.R./B-8330-2013; Bentley, Michael J/F-7386-2011; Vieli, Andreas/A-6767-2011</t>
  </si>
  <si>
    <t>Jamieson, Stewart S.R./0000-0002-9036-2317; Bentley, Michael J/0000-0002-2048-0019; Whitehouse, Pippa/0000-0002-9092-3444</t>
  </si>
  <si>
    <t>NERC [NE/F014260/1, NE/F014252/1, NE/J018333/1]; Natural Environment Research Council [NE/F014252/1, NE/J018333/1, NE/J005673/1, NE/J008176/1, NE/F014260/1, NE/K003674/1, NER/G/S/2003/00141] Funding Source: researchfish; NERC [NE/J018333/1, NE/F014252/1, NE/J008176/1, NE/F014260/1, NE/J005673/1, NE/K003674/1]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</si>
  <si>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</si>
  <si>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NERC grants NE/F014260/1, NE/F014252/1, and NE/J018333/1. Some data used in this paper were acquired by NASA's Operation IceBridge Project. All of the data supporting our conclusions are contained in tables in the main text and supporting information document. Additional materials are available on request from the corresponding author. The authors are grateful to Richard Hindmarsh for insightful discussions that led to significant improvements being made to an early draft of the manuscript, and we thank two anonymous reviewers and the Editor for their constructive feedback during the review process.</t>
  </si>
  <si>
    <t>10.1002/2016JF004121</t>
  </si>
  <si>
    <t>Green Accepted, Green Published, hybrid</t>
  </si>
  <si>
    <t>WOS:000394904900019</t>
  </si>
  <si>
    <t>Brisbourne, AM; Smith, AM; Vaughan, DG; King, EC; Davies, D; Bingham, RG; Smith, EC; Nias, IJ; Rosier, SHR</t>
  </si>
  <si>
    <t>Brisbourne, A. M.; Smith, A. M.; Vaughan, D. G.; King, E. C.; Davies, D.; Bingham, R. G.; Smith, E. C.; Nias, I. J.; Rosier, S. H. R.</t>
  </si>
  <si>
    <t>Bed conditions of Pine Island Glacier, West Antarctica</t>
  </si>
  <si>
    <t>Pine Island Glacier; bed conditions; seismic reflection; West Antarctica; ice streams; subglacial processes</t>
  </si>
  <si>
    <t>ICE STREAM-B; BASAL CONDITIONS; THWAITES GLACIERS; BENEATH; SHEET; FLOW; MECHANICS; SATELLITE; AMPLITUDE; DYNAMICS</t>
  </si>
  <si>
    <t>Although 90% of Antarctica's discharge occurs via its fast-flowing ice streams, our ability to project future ice sheet response has been limited by poor observational constraints on the ice-bed conditions used in numerical models to determine basal slip. We have helped address this observational deficit by acquiring and analyzing a series of seismic reflection profiles to determine basal conditions beneath the main trunk and tributaries of Pine Island Glacier (PIG), West Antarctica. Seismic profiles indicate large-scale sedimentary deposits. Combined with seismic reflection images, measured acoustic impedance values indicate relatively uniform bed conditions directly beneath the main trunk and tributaries, comprising a widespread reworked sediment layer with a dilated sediment lid of minimum thickness 1.50.4m. Beneath a slow-moving intertributary region, a discrete low-porosity sediment layer of 73m thickness is imaged. Despite considerable basal topography, seismic observations indicate that a till layer at the ice base is ubiquitous beneath PIG, which requires a highly mobile sediment body to maintain an abundant supply. These results are compatible with existing ice sheet models used to invert for basal shear stress: existing basal conditions upstream will not inhibit further rapid retreat of PIG if the high-friction region currently restraining flow, directly upstream of the grounding line, is breached. However, small changes in the pressure regime at the bed, as a result of stress reorganization following retreat, may result in a less-readily deformable bed and conditions which are less likely to maintain high ice-flow rates.</t>
  </si>
  <si>
    <t>[Brisbourne, A. M.; Smith, A. M.; Vaughan, D. G.; King, E. C.; Smith, E. C.; Rosier, S. H. R.] British Antarctic Survey, Nat Environm Res Council, Cambridge, England; [Davies, D.; Bingham, R. G.] Univ Edinburgh, Sch Geosci, Edinburgh, Midlothian, Scotland; [Nias, I. J.] Univ Bristol, Sch Geog Sci, Bristol, Avon, England</t>
  </si>
  <si>
    <t>UK Research &amp; Innovation (UKRI); Natural Environment Research Council (NERC); NERC British Antarctic Survey; University of Edinburgh; University of Bristol</t>
  </si>
  <si>
    <t>Brisbourne, AM (corresponding author), British Antarctic Survey, Nat Environm Res Council, Cambridge, England.</t>
  </si>
  <si>
    <t>aleisb@bas.ac.uk</t>
  </si>
  <si>
    <t>Smith, Emma/AAO-5329-2021; Vaughan, David/C-8348-2011; Brisbourne, Alex/E-6198-2013; Bingham, Robert G/G-3576-2017</t>
  </si>
  <si>
    <t>Brisbourne, Alex/0000-0002-9887-7120; Nias, Isabel/0000-0002-5657-8691; Vaughan, David/0000-0002-9065-0570; Smith, Emma/0000-0002-8672-8259; SMITH, ANDREW/0000-0001-8577-482X; Rosier, Sebastian/0000-0003-3047-9908; Bingham, Robert G/0000-0002-0630-2021</t>
  </si>
  <si>
    <t>UK Natural Environment Research Council's iSTAR Programme; NERC [NE/J005754/1, NE/B502287/1]; NERC [NE/J005665/1, NE/J005754/1, bas0100034, NE/J005665/2] Funding Source: UKRI; Natural Environment Research Council [1365732, NE/J005754/1, bas0100034] Funding Source: researchfish</t>
  </si>
  <si>
    <t>UK Natural Environment Research Council's iSTAR Programme;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</si>
  <si>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funding from the UK Natural Environment Research Council's iSTAR Programme, NERC grant NE/J005754/1 and from NERC grant NE/B502287/1. All fieldwork was supported by staff at the British Antarctic Survey's Rothera Research Station and members of the iSTAR Traverse. In particular, we thank Alex Taylor, James Wake, Tim Gee, Jonny Yates, Mark Baird, Julian Scott, Rob Smith, Roger Stilwell, Feargal Buckley, and Chris Griffiths for help with data acquisition. Data are available from the NERC Polar Data Centre (www.bas.ac.uk/data/uk-pdc/). This manuscript was greatly improved with constructive comments from Hugh Horgan, one anonymous reviewer, and the Associate Editor, Olga Sergienko.</t>
  </si>
  <si>
    <t>10.1002/2016JF004033</t>
  </si>
  <si>
    <t>WOS:000394904900021</t>
  </si>
  <si>
    <t>Cook, JM; Hodson, AJ; Taggart, AJ; Mernild, SH; Tranter, M</t>
  </si>
  <si>
    <t>Cook, J. M.; Hodson, A. J.; Taggart, A. J.; Mernild, S. H.; Tranter, M.</t>
  </si>
  <si>
    <t>A predictive model for the spectral bioalbedo of snow</t>
  </si>
  <si>
    <t>albedo; spectral reflectance; biooptics; melt; radiative transfer; life detection</t>
  </si>
  <si>
    <t>ALGA CHLAMYDOMONAS-NIVALIS; NONSPHERICAL ICE PARTICLE; BLACK-CARBON; OPTICAL-PROPERTIES; SURFACE-AREA; INDEPENDENT SPHERES; RADIATIVE-TRANSFER; LIGHT-SCATTERING; GRAIN-SIZE; REFLECTANCE</t>
  </si>
  <si>
    <t>We present the first physical model for the spectral bioalbedo of snow, which predicts the spectral reflectance of snowpacks contaminated with variable concentrations of red snow algae with varying diameters and pigment concentrations and then estimates the effect of the algae on snowmelt. The biooptical model estimates the absorption coefficient of individual cells; a radiative transfer scheme calculates the spectral reflectance of snow contaminated with algal cells, which is then convolved with incoming spectral irradiance to provide albedo. Albedo is then used to drive a point-surface energy balance model to calculate snowpack melt rate. The model is used to investigate the sensitivity of snow to algal biomass and pigmentation, including subsurface algal blooms. The model is then used to recreate real spectral albedo data from the High Sierra (CA, USA) and broadband albedo data from Mittivakkat Gletscher (SE Greenland). Finally, spectral signatures are identified that could be used to identify biology in snow and ice from remotely sensed spectral reflectance data. Our simulations not only indicate that algal blooms can influence snowpack albedo and melt rate but also highlight that indirect feedback related to their presence are a key uncertainty that must be investigated.</t>
  </si>
  <si>
    <t>[Cook, J. M.; Hodson, A. J.; Taggart, A. J.] Univ Sheffield, Dept Geog, Sheffield, S Yorkshire, England; [Cook, J. M.] Univ Derby, Coll Life &amp; Nat Sci, Derby, England; [Hodson, A. J.] Univ Ctr Svalbard, Arctic Geol, Longyearbyen, Norway; [Mernild, S. H.] Sogn &amp; Fjordane Univ Coll, Fac Sci &amp; Engn, Sogndal, Norway; [Mernild, S. H.] Univ Magallanes, Antarctic &amp; Subantarctic Program, Punta Arenas, Chile; [Mernild, S. H.] Nansen Environm &amp; Remote Sensing Ctr, Bergen, Norway; [Tranter, M.] Univ Bristol, Sch Geog Sci, Bristol Glaciol Ctr, Bristol, Avon, England</t>
  </si>
  <si>
    <t>University of Sheffield; University of Derby; University Centre Svalbard (UNIS); Western Norway University of Applied Sciences; Universidad de Magallanes; Nansen Environmental &amp; Remote Sensing Center (NERSC); University of Bristol</t>
  </si>
  <si>
    <t>Cook, JM (corresponding author), Univ Sheffield, Dept Geog, Sheffield, S Yorkshire, England.;Cook, JM (corresponding author), Univ Derby, Coll Life &amp; Nat Sci, Derby, England.</t>
  </si>
  <si>
    <t>joe.cook@sheffield.ac.uk</t>
  </si>
  <si>
    <t>; Mernild, Sebastian H./M-5516-2013; Tranter, Martyn/E-3722-2010</t>
  </si>
  <si>
    <t>Cook, Joseph/0000-0002-9270-363X; Mernild, Sebastian H./0000-0003-0797-3975; Tranter, Martyn/0000-0003-2071-3094; Hodson, Andrew/0000-0002-1255-7987</t>
  </si>
  <si>
    <t>[NE/M021025/1]; NERC [NE/M021084/1, NE/M021025/1] Funding Source: UKRI; Natural Environment Research Council [NE/M021084/1, NE/M021025/1] Funding Source: researchfish</t>
  </si>
  <si>
    <t>; NERC(UK Research &amp; Innovation (UKRI)Natural Environment Research Council (NERC)); Natural Environment Research Council(UK Research &amp; Innovation (UKRI)Natural Environment Research Council (NERC))</t>
  </si>
  <si>
    <t>All authors acknowledge UK-funded Natural Environment Research Council Consortium Grant Black and Bloom (NE/M021025/1). J.C. acknowledges the Rolex Awards for Enterprise. The authors cite no conflict of interest. Data supporting our conclusions can be found within this manuscript. Codes were written in Python 3.4.3 using packages in the Anaconda 2.3.0 (64 bit) distribution plus TARTES 0.9.3 (http://lgge.osug.fr/similar to picard/tartes/). Annotated scripts are openly available at https://bitbucket.org/jmcook/bioalbedo_0.1/ src. Mie scattering parameters were calculated using MiePlot version 4.6 [Laven, 2006]. Details of the Black and Bloom Team can be found at http://blackandbloom.org. In particular, Tristram Irvine-Fynn, Liane Benning, and Steffi Lutz are thanked for comments on manuscript drafts. Two anonymous reviewers were extremely helpful in refining this manuscript.</t>
  </si>
  <si>
    <t>10.1002/2016JF003932</t>
  </si>
  <si>
    <t>WOS:000394904900022</t>
  </si>
  <si>
    <t>Shen, Y; Benner, R; Murray, AE; Gimpel, C; Mitchell, BG; Weiss, EL; Reiss, C</t>
  </si>
  <si>
    <t>Shen, Yuan; Benner, Ronald; Murray, Alison E.; Gimpel, Carla; Mitchell, B. Greg; Weiss, Elliot L.; Reiss, Christian</t>
  </si>
  <si>
    <t>Bioavailable dissolved organic matter and biological hot spots during austral winter in Antarctic waters</t>
  </si>
  <si>
    <t>dissolved organic matter; bioavailability; biological hot spots; ecosystem productivity; Antarctic Ocean; austral winter</t>
  </si>
  <si>
    <t>MAJOR BACTERIAL CONTRIBUTION; WESTERN ARCTIC-OCEAN; WEDDELL-SCOTIA SEA; SOUTHERN-OCEAN; ROSS SEA; HETEROTROPHIC BACTERIA; SEASONAL PATTERNS; CLIMATE-CHANGE; POLAR OCEANS; CARBON</t>
  </si>
  <si>
    <t>Primary production and heterotrophic bacterial activity in the Antarctic Ocean are generally low during the austral winter. Organic carbon is considered to be a major factor limiting bacterial metabolism, but few studies have investigated the bioavailability of organic matter during winter. Herein, the chemical composition and bioavailability of dissolved organic matter (DOM) were investigated in surface (5-100 m) and mesopelagic (200-750 m) waters off the northwestern Antarctic Peninsula during August 2012. Concentrations of dissolved organic carbon (DOC) were low (424 mu mol L-1) and showed no apparent spatial patterns. By contrast, the composition of DOM exhibited significant spatial trends that reflected varying ecosystem productivity and water masses. Surface distributions of chlorophyll-a and particulate organic carbon depicted a southward decline in primary productivity from open waters (60.0 degrees S-61.5 degrees S) to ice-covered regions (61.5 degrees S-62.5 degrees S). This trend was evident from concentrations and DOC-normalized yields of dissolved amino acids in the surface waters, indicating decreasing DOM bioavailability with increasing latitude. A different pattern of DOM bioavailability was observed in the mesopelagic water masses, where amino acids indicated highly altered DOM in the Circumpolar Deep Water and bioavailable DOM in the Transitional Weddell Water. Depth distributions of amino acid yields and compositions revealed hot spots of elevated bioavailable DOM at approximate to 75 m relative to surrounding waters at most ice-free stations. Relatively low mole percentages of bacterially derived d-amino acids in hot spots were consistent with an algal source of bioavailable DOM. Overall, these results reveal the occurrence and spatial heterogeneity of bioavailable substrates in Antarctic waters during winter.</t>
  </si>
  <si>
    <t>[Shen, Yuan; Benner, Ronald] Univ South Carolina, Marine Sci Program, Columbia, SC 29208 USA; [Benner, Ronald] Univ South Carolina, Dept Biol Sci, Columbia, SC USA; [Murray, Alison E.] Desert Res Inst, Div Earth &amp; Ecosyst Sci, Reno, NV USA; [Gimpel, Carla] Univ Hawaii Manoa, Ctr Microbial Oceanog Res &amp; Educ, Honolulu, HI 96822 USA; [Mitchell, B. Greg; Weiss, Elliot L.] Univ Calif San Diego, Scripps Inst Oceanog, San Diego, CA 92103 USA; [Reiss, Christian] NOAA, Antarctic Ecosyst Res Div, Southwest Fisheries Sci Ctr, Natl Marine Fisheries Serv, La Jolla, CA USA</t>
  </si>
  <si>
    <t>University of South Carolina System; University of South Carolina Columbia; University of South Carolina System; University of South Carolina Columbia; Nevada System of Higher Education (NSHE); Desert Research Institute NSHE; University of Hawaii System; University of Hawaii Manoa; University of California System; University of California San Diego; Scripps Institution of Oceanography; National Oceanic Atmospheric Admin (NOAA) - USA</t>
  </si>
  <si>
    <t>Shen, Y (corresponding author), Univ South Carolina, Marine Sci Program, Columbia, SC 29208 USA.</t>
  </si>
  <si>
    <t>shen2@email.sc.edu</t>
  </si>
  <si>
    <t>SHEN, YUAN/B-8222-2009; Benner, Ronald/M-4412-2015</t>
  </si>
  <si>
    <t>SHEN, YUAN/0000-0001-6618-4226; Mitchell, B. Greg/0000-0002-8550-4333; Weiss, Elliot/0000-0002-7713-6198; Benner, Ronald/0000-0002-1238-2777</t>
  </si>
  <si>
    <t>U.S. National Science Foundation [OCE-1233373, PLR-1250091]; United States Antarctic Marine Living Resources Program; NASA Headquarters Ocean Biology and Biogeochemistry Program</t>
  </si>
  <si>
    <t>U.S. National Science Foundation(National Science Foundation (NSF)); United States Antarctic Marine Living Resources Program; NASA Headquarters Ocean Biology and Biogeochemistry Program</t>
  </si>
  <si>
    <t>We thank the crews of the RVIB Nathaniel B. Palmer for sampling assistance. This research was supported by grants from U.S. National Science Foundation (OCE-1233373 to R.B. and PLR-1250091 to A.E.M.), and collaboration with the United States Antarctic Marine Living Resources Program. Partial support for BGM and EW was provided by grants from the NASA Headquarters Ocean Biology and Biogeochemistry Program. The data used are included in the figures, tables, and supporting information.</t>
  </si>
  <si>
    <t>10.1002/2016JC012301</t>
  </si>
  <si>
    <t>WOS:000394996400030</t>
  </si>
  <si>
    <t>Firing, YL; McDonagh, EL; King, BA; Desbruyères, DG</t>
  </si>
  <si>
    <t>Firing, Yvonne L.; McDonagh, Elaine L.; King, Brian A.; Desbruyeres, Damien G.</t>
  </si>
  <si>
    <t>Deep temperature variability in Drake Passage</t>
  </si>
  <si>
    <t>temperature; trends; Southern Ocean</t>
  </si>
  <si>
    <t>ANTARCTIC CIRCUMPOLAR CURRENT; SEA-LEVEL RISE; GRAVEST EMPIRICAL MODE; SOUTHERN-OCEAN; GLOBAL HEAT; ATLANTIC; BUDGETS; SECTOR; TRENDS; WATERS</t>
  </si>
  <si>
    <t>Observations made on 21 occupations between 1993 and 2016 of GO-SHIP line SR1b in eastern Drake Passage show an average temperature of 0.53 degrees C deeper than 2000 dbar, with no significant trend, but substantial year-to-year variability (standard deviation 0.08 degrees C). Using a neutral density framework to decompose the temperature variability into isopycnal displacement (heave) and isopycnal property change components shows that approximately 95% of the year-to-year variance in deep temperature is due to heave. Changes on isopycnals make a small contribution to year-to-year variability but contribute a significant trend of -1.40.6 m degrees C per year, largest for density ((n))&gt;28.1, south of the Polar Front (PF). The heave component is depth-coherent and results from either vertical or horizontal motions of neutral density surfaces, which trend upward and northward around the PF, downward for the densest levels in the southern section, and downward and southward in the Subantarctic Front and Southern Antarctic Circumpolar Current Front (SACCF). A proxy for the locations of the Antarctic Circumpolar Current (ACC) fronts is constructed from the repeat hydrographic data and has a strong relationship with deep ocean heat content, explaining 76% of deep temperature variance. The same frontal position proxy based on satellite altimeter-derived surface velocities explains 73% of deep temperature variance. The position of the PF plays the strongest role in this relationship between ACC fronts and deep temperature variability in Drake Passage, although much of the temperature variability in the southern half of the section can be explained by the position of the SACCF.</t>
  </si>
  <si>
    <t>[Firing, Yvonne L.; McDonagh, Elaine L.; King, Brian A.; Desbruyeres, Damien G.] Natl Oceanog Ctr, European Way, Southampton SO14 3ZH, Hants, England</t>
  </si>
  <si>
    <t>NERC National Oceanography Centre; University of Southampton</t>
  </si>
  <si>
    <t>Firing, YL (corresponding author), Natl Oceanog Ctr, European Way, Southampton SO14 3ZH, Hants, England.</t>
  </si>
  <si>
    <t>yvonne.firing@noc.ac.uk</t>
  </si>
  <si>
    <t>Desbruyères, Damien/AAG-7009-2019</t>
  </si>
  <si>
    <t>Desbruyères, Damien/0000-0003-0405-421X; McDonagh, Elaine/0000-0002-8813-4585; KING, Brian/0000-0003-1338-3234; Firing, Yvonne/0000-0002-3640-3974</t>
  </si>
  <si>
    <t>U.K. Natural Environment Research Council (NERC) [NE/N018095/1]; NERC [NE/K004387/1]; Natural Environment Research Council [NE/N018095/1, NE/K005480/1, noc010012, NE/K004387/1] Funding Source: researchfish; NERC [NE/N018095/1, NE/K005480/1, NE/K004387/1] Funding Source: UKRI</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</si>
  <si>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</si>
  <si>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We are grateful to G. Johnson, P. Abrahamsen, A. Meijers, and M. Meredith for helpful discussions. Thanks to H. Uchida for providing updated salinity standard batch corrections. This work was funded by the U.K. Natural Environment Research Council (NERC) under a National Capability award to the National Oceanography Centre (NOC) and through the Long Term Science-Multicentre (LTS-M) Ocean Regulation of Climate by Heat and Carbon Sequestration and Transports (ORCHESTRA) program (grant NE/N018095/1). D. Desbruyeres was funded by NERC grant NE/K004387/1 (DEEP-C). The data used in this work are listed in the text and references. SR1b hydrographic data collection was funded by NERC and forms part of GO-SHIP (www.go-ship.org); the data are available from the British Oceanographic Data Centre (bodc.ac.uk). The Ssalto/Duacs altimeter products were produced and distributed by the Copernicus Marine and Environment Monitoring Service (CMEMS) (http://www.marine.copernicus.edu). MDT_CNES-CLS13 was produced by CLS (Collect Localisation Satellites) Space Oceanography Division and distributed by AVISO (Archiving, Validation, and Interpretation of Satellite Oceanographic data), with support from CNES (Centre National d'Etudes Spatiales) (http://www.aviso.altimetry.fr). On behalf of all authors, the corresponding author states that there is no conflict of interest.</t>
  </si>
  <si>
    <t>10.1002/2016JC012452</t>
  </si>
  <si>
    <t>Green Accepted, hybrid, Green Published</t>
  </si>
  <si>
    <t>WOS:000394996400042</t>
  </si>
  <si>
    <t>Tenfjord, P; Ostgaard, N; Strangeway, R; Haaland, S; Snekvik, K; Laundal, KM; Reistad, JP; Milan, SE</t>
  </si>
  <si>
    <t>Tenfjord, P.; Ostgaard, N.; Strangeway, R.; Haaland, S.; Snekvik, K.; Laundal, K. M.; Reistad, J. P.; Milan, S. E.</t>
  </si>
  <si>
    <t>Magnetospheric response and reconfiguration times following IMF By reversals</t>
  </si>
  <si>
    <t>time scales magnetospheric configuration; response and reconfiguration</t>
  </si>
  <si>
    <t>INTERPLANETARY MAGNETIC-FIELD; LATITUDE IONOSPHERIC CONVECTION; SOLAR-WIND; PLASMA SHEET; GEOMAGNETIC TAIL; MHD SIMULATION; MAGNETOTAIL; COMPONENT; CURRENTS; MODEL</t>
  </si>
  <si>
    <t>The interaction between the interplanetary magnetic field (IMF) and the geomagnetic field at the dayside magnetopause leads to transfer of momentum and energy which changes the magnetospheric configuration, but only after a certain time. In this study we quantify this time, to advance our understanding of the causes for the delayed response of the magnetosphere. We study the response and reconfiguration time of the inner magnetosphere to IMF B-y reversals. A superposed epoch analysis of magnetic field measurements from four Geostationary Operational Environmental Satellite spacecraft at different local times both for negative to positive IMF B-y reversals and for positive to negative reversals is presented. The magnetospheric response time at geosynchronous orbit to the sudden change of IMF B-y is less than 15 (similar to 10)min from the bow shock (magnetopause) arrival time, while the reconfiguration time is less than 46 (similar to 41)min. These results are consistent with a B-y component induced on closed magnetic field lines due to the asymmetric loading of flux following asymmetric dayside reconnection when IMF B(y not equal)0. Our results also confirm our earlier studies that nightside reconnection is not required for generating a B-y component on closed field lines.</t>
  </si>
  <si>
    <t>[Tenfjord, P.; Ostgaard, N.; Haaland, S.; Snekvik, K.; Laundal, K. M.; Reistad, J. P.; Milan, S. E.] Univ Bergen, Birkeland Ctr Space Sci, Dept Phys &amp; Technol, Bergen, Norway; [Strangeway, R.] Univ Calif Los Angeles, Inst Geophys &amp; Planetary Phys, Los Angeles, CA USA; [Haaland, S.] Univ Leicester, Dept Phys &amp; Astron, Leicester, Leics, England; [Milan, S. E.] Max Planck Inst Solar Syst Res, Gottingen, Germany</t>
  </si>
  <si>
    <t>University of Bergen; University of California System; University of California Los Angeles; University of Leicester; Max Planck Society</t>
  </si>
  <si>
    <t>Tenfjord, P (corresponding author), Univ Bergen, Birkeland Ctr Space Sci, Dept Phys &amp; Technol, Bergen, Norway.</t>
  </si>
  <si>
    <t>paul.tenfjord@uib.no</t>
  </si>
  <si>
    <t>Laundal, Karl/GXZ-6326-2022; Snekvik, Kristian/A-4475-2009; Reistad, Jone Peter/AAE-5439-2021</t>
  </si>
  <si>
    <t>Laundal, Karl/0000-0001-5028-4943; Reistad, Jone Peter/0000-0003-3509-5479; Strangeway, Robert/0000-0001-9839-1828; Milan, Steve/0000-0001-5050-9604</t>
  </si>
  <si>
    <t>Research Council of Norway/CoE [223252/F50]; STFC grant [ST/K001000/1]; Science and Technology Facilities Council [ST/K001000/1] Funding Source: researchfish; STFC [ST/K001000/1] Funding Source: UKRI</t>
  </si>
  <si>
    <t>Research Council of Norway/CoE; STFC grant(UK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</si>
  <si>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This study was supported by the Research Council of Norway/CoE under contract 223252/F50. S.E. Milan was supported by STFC grant ST/K001000/1. We acknowledge the use of NASA/GSFC's Space Physics Data Facility for OMNI data. For the ground magnetometer data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Juergen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and SuperMAG, PI Jesper W. Gjerloev. The OMNI and GOES data are found here: http://cdaweb.gsfc.nasa.gov.SuperMAG data are available here: http://supermag.jhuapl.edu/. Scientists interested in other data used should contact the corresponding author.</t>
  </si>
  <si>
    <t>10.1002/2016JA023018</t>
  </si>
  <si>
    <t>WOS:000395655800031</t>
  </si>
  <si>
    <t>Clilverd, MA; Rodger, CJ; McCarthy, M; Millan, R; Blum, LW; Cobbett, N; Brundell, JB; Danskin, D; Halford, AJ</t>
  </si>
  <si>
    <t>Clilverd, Mark A.; Rodger, Craig J.; McCarthy, Michael; Millan, Robyn; Blum, Lauren W.; Cobbett, Neil; Brundell, James B.; Danskin, Donald; Halford, Alexa J.</t>
  </si>
  <si>
    <t>Investigating energetic electron precipitation through combining ground-based and balloon observations</t>
  </si>
  <si>
    <t>electron precipitation; AARDDVARK; BARREL; EMIC waves</t>
  </si>
  <si>
    <t>BARREL OBSERVATIONS; MAGNETOSPHERE; DENSITY; CUBESAT; WAVES</t>
  </si>
  <si>
    <t>A detailed comparison is undertaken of the energetic electron spectra and fluxes of two precipitation events that were observed in 18/19 January 2013. A novel but powerful technique of combining simultaneous ground-based subionospheric radio wave data and riometer absorption measurements with X-ray fluxes from a Balloon Array for Relativistic Radiation-belt Electron Losses (BARREL) balloon is used for the first time as an example of the analysis procedure. The two precipitation events are observed by all three instruments, and the relative timing is used to provide information/insight into the spatial extent and evolution of the precipitation regions. The two regions were found to be moving westward with drift periods of 5-11h and with longitudinal dimensions of similar to 20 degrees and similar to 70 degrees (1.5-3.5h of magnetic local time). The electron precipitation spectra during the events can be best represented by a peaked energy spectrum, with the peak in flux occurring at similar to 1-1.2MeV. This suggests that the radiation belt loss mechanism occurring is an energy-selective process, rather than one that precipitates the ambient trapped population. The motion, size, and energy spectra of the patches are consistent with electromagnetic ion cyclotron-induced electron precipitation driven by injected 10-100keV protons. Radio wave modeling calculations applying the balloon-based fluxes were used for the first time and successfully reproduced the ground-based subionospheric radio wave and riometer observations, thus finding strong agreement between the observations and the BARREL measurements.</t>
  </si>
  <si>
    <t>[Clilverd, Mark A.; Cobbett, Neil] British Antarctic Survey NERC, Cambridge, England; [Rodger, Craig J.; Brundell, James B.] Univ Otago, Dept Phys, Dunedin, New Zealand; [McCarthy, Michael] Univ Washington, Dept Earth &amp; Space Sci, Seattle, WA USA; [Millan, Robyn; Halford, Alexa J.] Dartmouth Coll, Dept Phys &amp; Astron, Hanover, NH USA; [Blum, Lauren W.] Univ Calif Berkeley, Space Sci Lab, Berkeley, CA USA; [Danskin, Donald] Nat Resources Canada, Geomagnet Lab, Ottawa, ON, Canada</t>
  </si>
  <si>
    <t>UK Research &amp; Innovation (UKRI); Natural Environment Research Council (NERC); NERC British Antarctic Survey; University of Otago; University of Washington; University of Washington Seattle; Dartmouth College; University of California System; University of California Berkeley; Natural Resources Canada</t>
  </si>
  <si>
    <t>Clilverd, MA (corresponding author), British Antarctic Survey NERC, Cambridge, England.</t>
  </si>
  <si>
    <t>macl@bas.ac.uk</t>
  </si>
  <si>
    <t>Halford, Alexa/AAH-2098-2019; Rodger, Craig/A-1501-2011; Brundell, James/F-3196-2013; Blum, Lauren/I-2164-2017</t>
  </si>
  <si>
    <t>Halford, Alexa/0000-0002-5383-4602; Brundell, James/0000-0002-8753-4720; Blum, Lauren/0000-0002-4797-5476; Danskin, Donald William/0000-0002-4968-9094; Rodger, Craig J./0000-0002-6770-2707</t>
  </si>
  <si>
    <t>Natural Environmental Research Council/British Antarctic Survey; South African National Antarctic Program; Natural Environmental Research Council under the Antarctic Funding Initiative [AFI/11/22]; New Zealand Marsden Fund; Dartmouth College; NASA [NNX08AM58G]; CSSWE [NSF AGSW 0940277]; JHU/APL [922613]; International Space Science Institute's International Teams program [329]; NERC [bas0100031, NE/H014888/1] Funding Source: UKRI; Natural Environment Research Council [bas0100031, NE/H014888/1] Funding Source: researchfish</t>
  </si>
  <si>
    <t>Natural Environmental Research Council/British Antarctic Survey; South African National Antarctic Program; Natural Environmental Research Council under the Antarctic Funding Initiative; New Zealand Marsden Fund(Royal Society of New ZealandMarsden Fund (NZ)); Dartmouth College; NASA(National Aeronautics &amp; Space Administration (NASA)); CSSWE; JHU/APL; International Space Science Institute's International Teams program; NERC(UK Research &amp; Innovation (UKRI)Natural Environment Research Council (NERC)); Natural Environment Research Council(UK Research &amp; Innovation (UKRI)Natural Environment Research Council (NERC))</t>
  </si>
  <si>
    <t>Data for this paper are available at the British Antarctic Survey Polar Data Centre (http://psddb.nerc-bas.ac.uk/data/access/). M.A.C. and N.C. would like to acknowledge the important contributions from Nick Alford and Tom Stroud, particularly for their skill and assistance in building and deploying the autonomous AARDDVARK systems. The authors would like to thank the Natural Environmental Research Council/British Antarctic Survey and the South African National Antarctic Program for their support and collaboration during the BARREL balloon campaigns. The research leading to these results has received funding from the Natural Environmental Research Council under the Antarctic Funding Initiative (AFI/11/22). C.J.R. was supported by the New Zealand Marsden Fund. M.M. was supported (through Dartmouth College) on the NASA grant NNX08AM58G. This work was supported in part by the CSSWE funding grant NSF AGSW 0940277 as well as the JHU/APL contract 922613 (RBSP-EFW). The Dartmouth College portion of this work was supported by NASA grant NNX08AM58G. This research was supported by the International Space Science Institute's International Teams program project no. 329.</t>
  </si>
  <si>
    <t>10.1002/2016JA022812</t>
  </si>
  <si>
    <t>WOS:000395655800039</t>
  </si>
  <si>
    <t>Escalante, PD; Mansilla, A</t>
  </si>
  <si>
    <t>De Los Rios Escalante, Patricio; Mansilla, Andres</t>
  </si>
  <si>
    <t>Spatial patterns of Pisidium chilense (Mollusca Bivalvia) and Hyalella patagonica (Crustacea, Amphipoda) in an unpolluted stream in Navarino island (54° S, Cape Horn Biosphere Reserve)</t>
  </si>
  <si>
    <t>JOURNAL OF KING SAUD UNIVERSITY SCIENCE</t>
  </si>
  <si>
    <t>Pisidium chilense; Hyalella patagonica; Species association; Negative binomial distribution</t>
  </si>
  <si>
    <t>NEGATIVE BINOMIAL-DISTRIBUTION; MACROINVERTEBRATE DIVERSITY; WATER-QUALITY; DESCRIBE</t>
  </si>
  <si>
    <t>The southern South American inland waters have many endemic species and some of them are considered as endangered for IUCN, that inhabits in unpolluted ecosystems, one of these ecosystems are the sub-Antarctic perennial forests located in the Cape Horn Biosphere Reserve at 54 degrees S. The aim of the present study is to analyze the spatial patterns of Pisidium chilense Ituarte, 1999 (Mollusca Bivalvia) and Hyalella patagonica (Cunningham, 1871) (Crustacea, Amphipoda) in an unpolluted stream. Both species had aggregated spatial distribution, both have a negative binomial distribution pattern, and both are associated. The present results would agree with similar patterns in Patagonian rivers where both species coexist. (C) 2016 The Authors. Production and hosting by Elsevier B.V. on behalf of King Saud University.</t>
  </si>
  <si>
    <t>[De Los Rios Escalante, Patricio] Univ Catolica Temuco, Lab Ecol Aplicada &amp; Biodiversidad, Escuela Ciencias Ambientales, Fac Recursos Nat, Casilla 15-D, Temuco, Chile; [De Los Rios Escalante, Patricio] Nucleo Ambientales UCTemuco, Temuco, Chile; [Mansilla, Andres] Univ Magallanes, Dept Ciencias &amp; Recursos Nat, Av Bulnes 01855, Punta Arenas, Chile; [Mansilla, Andres] Inst Ecol Aplicada &amp; Biodiversidad, Casilla 653, Santiago, Chile</t>
  </si>
  <si>
    <t>Universidad Catolica de Temuco; Universidad de Magallanes</t>
  </si>
  <si>
    <t>Escalante, PD (corresponding author), Univ Catolica Temuco, Lab Ecol Aplicada &amp; Biodiversidad, Escuela Ciencias Ambientales, Fac Recursos Nat, Casilla 15-D, Temuco, Chile.</t>
  </si>
  <si>
    <t>prios@uct.cl</t>
  </si>
  <si>
    <t>De los Rios Escalante, Patricio R./E-2775-2014</t>
  </si>
  <si>
    <t>De los Rios Escalante, Patricio R./0000-0001-5056-7003</t>
  </si>
  <si>
    <t>project MECESUP UCT</t>
  </si>
  <si>
    <t>The present study was funded by project MECESUP UCT and valuable suggestions of M.I. for improvement of the manuscript.</t>
  </si>
  <si>
    <t>1018-3647</t>
  </si>
  <si>
    <t>2213-686X</t>
  </si>
  <si>
    <t>J KING SAUD UNIV SCI</t>
  </si>
  <si>
    <t>J. King Saud Univ. Sci.</t>
  </si>
  <si>
    <t>10.1016/j.jksus.2016.07.003</t>
  </si>
  <si>
    <t>VH8OY</t>
  </si>
  <si>
    <t>WOS:000456304200003</t>
  </si>
  <si>
    <t>Pauthenet, E; Roquet, F; Madec, G; Nerini, D</t>
  </si>
  <si>
    <t>Pauthenet, Etienne; Roquet, Fabien; Madec, Gurvan; Nerini, David</t>
  </si>
  <si>
    <t>A Linear Decomposition of the Southern Ocean Thermohaline Structure</t>
  </si>
  <si>
    <t>ANTARCTIC CIRCUMPOLAR CURRENT; PRINCIPAL COMPONENT ANALYSIS; SUBTROPICAL FRONT; FUNCTIONAL DATA; POLAR FRONT; VARIABILITY; WATER; CIRCULATION; AUSTRALIA; TRANSPORT</t>
  </si>
  <si>
    <t>The thermohaline structure of the Southern Ocean is deeply influenced by the presence of the Antarctic Circumpolar Current (ACC), where water masses of the World Ocean are advected, transformed, and redistributed to the other basins. It remains a challenge to describe and visualize the complex 3D pattern of this circulation and its associated tracer distribution. Here, a simple framework is presented to analyze the Southern Ocean thermohaline structure. A functional principal component analysis (PCA) is applied to temperature u and salinity S profiles to determine the main spatial patterns of their variations. Using the Southern Ocean State Estimate (SOSE), this study determines the vertical modes describing the Southern Ocean thermohaline structure between 5 and 2000 m. The first two modes explain 92% of the combined theta-S variance, thus providing a surprisingly good approximation of the thermohaline properties in the Southern Ocean. The first mode (72% of total variance) accurately describes the north-south property gradients. The secondmode (20%) mostly describes salinity at 500m in the region of Antarctic Intermediate Water formation. These two modes present circumpolar patterns that can be closely related with standard frontal definitions. By projecting any given hydrographic profile onto the SOSE-based modes, it is possible to determine its position relative to the fronts. The projection is successfully applied on the hydrographic profiles of the WOCE SR3 section. The Southern Ocean thermohaline decomposition provides an objective way to define water mass boundaries and their spatial variability and has useful application for comparing model output with observations.</t>
  </si>
  <si>
    <t>[Pauthenet, Etienne; Roquet, Fabien] Stockholm Univ, Dept Meteorol MISU, Stockholm, Sweden; [Madec, Gurvan] Univ Paris 06, LOCEAN Sorbonne Univ UPMC, CNRS, IRD,MNHN, Paris, France; [Nerini, David] Univ Toulon &amp; Var, CNRS, Aix Marseille Univ, IRD,Mediterranean Inst Oceanog UM 110,INSU, Marseille, France</t>
  </si>
  <si>
    <t>Stockholm University; Sorbonne Universite; Centre National de la Recherche Scientifique (CNRS); Museum National d'Histoire Naturelle (MNHN); Institut de Recherche pour le Developpement (IRD); Aix-Marseille Universite; Universite de Toulon; Institut de Recherche pour le Developpement (IRD); Centre National de la Recherche Scientifique (CNRS); CNRS - National Institute for Earth Sciences &amp; Astronomy (INSU)</t>
  </si>
  <si>
    <t>Pauthenet, E (corresponding author), Stockholm Univ, Dept Meteorol MISU, Stockholm, Sweden.</t>
  </si>
  <si>
    <t>etienne.pauthenet@misu.su.se</t>
  </si>
  <si>
    <t>madec, gurvan/E-7825-2010; Roquet, Fabien/D-4848-2013</t>
  </si>
  <si>
    <t>madec, gurvan/0000-0002-6447-4198; Pauthenet, Etienne/0000-0002-0531-3810; Roquet, Fabien/0000-0003-1124-4564; NERINI, DAVID/0000-0002-7995-1364</t>
  </si>
  <si>
    <t>NSF XSEDE Resource Grant [OCE130007]</t>
  </si>
  <si>
    <t>NSF XSEDE Resource Grant</t>
  </si>
  <si>
    <t>The authors acknowledge the Scripps Institution of Oceanography for providing the Southern Ocean StateEstimate data (http://sose.ucsd.edu/). Computational resources for the SOSE were provided by NSF XSEDE Resource Grant OCE130007. The authors acknowledge the National Oceanic and Atmospheric Administration (NOAA) for providing the World Ocean Circulation Experiment (WOCE) hydrographic data (https://www.nodc.noaa.gov/woce/).</t>
  </si>
  <si>
    <t>10.1175/JPO-D-16-0083.1</t>
  </si>
  <si>
    <t>Green Submitted, Green Accepted, hybrid</t>
  </si>
  <si>
    <t>WOS:000393300700003</t>
  </si>
  <si>
    <t>Gabbott, SE; Browning, C; Theron, JN; Whittle, RJ</t>
  </si>
  <si>
    <t>Gabbott, Sarah E.; Browning, Claire; Theron, Johannes N.; Whittle, Rowan J.</t>
  </si>
  <si>
    <t>The late Ordovician Soom Shale Lagerstatte: an extraordinary post-glacial fossil and sedimentary record</t>
  </si>
  <si>
    <t>JOURNAL OF THE GEOLOGICAL SOCIETY</t>
  </si>
  <si>
    <t>TABLE MOUNTAIN-GROUP; SOUTH-AFRICA; BURGESS SHALE; CLAY-MINERALS; EXCEPTIONAL PRESERVATION; MASS EXTINCTION; CONODONT; GLACIATION; TAPHONOMY; AFFINITY</t>
  </si>
  <si>
    <t>Fossils of the Late Ordovician Soom Shale Lagerstatte are characterized by exceptional preservation of their soft tissues in clay minerals. The low-diversity community lived in an unusual cold-water setting, dominated by anoxic bottom waters, in the immediate aftermath of the Hirnantian glaciation. Giant conodonts represented by complete tooth sets, and one with trunk musculature and liver preserved, unarmoured jawless fish, lobopods and enigmatic taxa are some of the more important fossils. Furthermore, this Lagerstatte also preserves biomineralized Ordovician taxa such as brachiopods, orthoconic nautiloids and trilobites. It is important in capturing the only known examples of many taxa, extending temporal ranges of others and providing a unique glimpse of a post-glacial refugium, at a time when other Lagerstatten are unknown.</t>
  </si>
  <si>
    <t>[Gabbott, Sarah E.] Univ Leicester, Dept Geol, Leicester LE1 7RH, Leics, England; [Browning, Claire] Council Geosci, POB 572, ZA-7535 Bellville, South Africa; [Theron, Johannes N.] Univ Stellenbosch, Dept Earth Sci, Private Bag X1, ZA-7602 Matieland, South Africa; [Whittle, Rowan J.] British Antarctic Survey, Madingley Rd, Cambridge CB3 0ET, England</t>
  </si>
  <si>
    <t>University of Leicester; Stellenbosch University; UK Research &amp; Innovation (UKRI); Natural Environment Research Council (NERC); NERC British Antarctic Survey</t>
  </si>
  <si>
    <t>Gabbott, SE (corresponding author), Univ Leicester, Dept Geol, Leicester LE1 7RH, Leics, England.</t>
  </si>
  <si>
    <t>sg21@le.ac.uk</t>
  </si>
  <si>
    <t>Browning, Claire/0000-0003-1931-7502</t>
  </si>
  <si>
    <t>National Geographic Global Exploration Fund-Northern Europe Award [GEFNE90-13]; Geological Society of London Gloyne Outdoor Geological Research Fund; Royal Society Equipment; NERC [bas0100030] Funding Source: UKRI; Natural Environment Research Council [bas0100030] Funding Source: researchfish</t>
  </si>
  <si>
    <t>National Geographic Global Exploration Fund-Northern Europe Award; Geological Society of London Gloyne Outdoor Geological Research Fund; Royal Society Equipment; NERC(UK Research &amp; Innovation (UKRI)Natural Environment Research Council (NERC)); Natural Environment Research Council(UK Research &amp; Innovation (UKRI)Natural Environment Research Council (NERC))</t>
  </si>
  <si>
    <t>We dedicate this paper to Dick Aldridge, who, alongside Johannes Theron, recognized the significance and importance of the Soom Shale and did much to promote its research over the last 25 years.This work was supported by: National Geographic Global Exploration Fund-Northern Europe Award (GEFNE90-13); Geological Society of London Gloyne Outdoor Geological Research Fund; Royal Society Equipment Grant (all to S.G.). C.Nedza is thanked for photography and T.Clements and J.Zalasiewicz for proofreading. J.Zalasiewicz and M.Norry are thanked for many helpful insights and discussion on aspects of the Soom Shale. Some logistic support in the field and in the laboratory was provided by the Council for Geoscience, South Africa, which also made the specimens available for study.The South African Heritage Resources Agency provided permission for us to collect and temporarily export the fossils.Mr and Mrs J.Nieuwoudt (Keurbos), Mr and Mrs R.Nieuwoudt (Kromrivier) and Mr and Mrs J.Coetze (Sandfontein) kindly allowed us to collect on their land, and provided friendly hospitality.The Palaeontological Association is thanked for permission to reproduce Figure 4b.</t>
  </si>
  <si>
    <t>GEOLOGICAL SOC PUBL HOUSE</t>
  </si>
  <si>
    <t>UNIT 7, BRASSMILL ENTERPRISE CENTRE, BRASSMILL LANE, BATH BA1 3JN, AVON, ENGLAND</t>
  </si>
  <si>
    <t>0016-7649</t>
  </si>
  <si>
    <t>2041-479X</t>
  </si>
  <si>
    <t>J GEOL SOC LONDON</t>
  </si>
  <si>
    <t>J. Geol. Soc.</t>
  </si>
  <si>
    <t>10.1144/jgs2016-076</t>
  </si>
  <si>
    <t>EN2TH</t>
  </si>
  <si>
    <t>WOS:000395862600001</t>
  </si>
  <si>
    <t>Burton-Johnson, A; Macpherson, CG; Hall, R</t>
  </si>
  <si>
    <t>Burton-Johnson, Alex; Macpherson, Colin G.; Hall, Robert</t>
  </si>
  <si>
    <t>Internal structure and emplacement mechanism of composite plutons: evidence from Mt Kinabalu, Borneo</t>
  </si>
  <si>
    <t>PHASE-EQUILIBRIA; NORTH BORNEO; INTRUSION; GRANITE; BASIN; ROCK; CRYSTALLIZATION; BATHOLITHS; SUBSIDENCE; EVOLUTION</t>
  </si>
  <si>
    <t>The internal structure and emplacement mechanisms of composite plutons are investigated using new field data from the composite Late Miocene granitic intrusion of Mt Kinabalu in northern Borneo. The pluton was emplaced in the upper to middle crust in the Late Miocene at the contact between the ultramafic basement and sedimentary cover rocks. Structural data indicate that emplacement occurred during regional NNW-SSE-oriented extension, challenging tectonic models that involve contemporaneous regional compression. The six major units forming the pluton were accommodated by upward flexure of the cover rocks with most magma pulses emplaced successively beneath their predecessors. However, the irregular 3D internal structure of the pluton also reflects preferential emplacement of successive units along the granite-country rock contact of previous units in preference to the basement-cover rock contact exploited by the initial units. This study highlights the complex emplacement mechanisms and internal structure of composite intrusions and assesses how they differ from models of tabular emplacement.</t>
  </si>
  <si>
    <t>[Burton-Johnson, Alex] British Antarctic Survey, Madingley Rd, Cambridge CB3 0ET, England; [Macpherson, Colin G.] Univ Durham, Dept Earth Sci, Durham DH1 3LE, England; [Hall, Robert] Royal Holloway Univ London, Dept Geol, SE Asia Res Grp, Egham TW20 0EX, Surrey, England</t>
  </si>
  <si>
    <t>UK Research &amp; Innovation (UKRI); Natural Environment Research Council (NERC); NERC British Antarctic Survey; Durham University; University of London; Royal Holloway University London</t>
  </si>
  <si>
    <t>Burton-Johnson, A (corresponding author), British Antarctic Survey, Madingley Rd, Cambridge CB3 0ET, England.</t>
  </si>
  <si>
    <t>alerto@bas.ac.uk</t>
  </si>
  <si>
    <t>Hall, Robert/AAN-3441-2020; Macpherson, Colin/F-3861-2012</t>
  </si>
  <si>
    <t>Hall, Robert/0000-0003-1693-6914; Macpherson, Colin/0000-0001-5302-6405</t>
  </si>
  <si>
    <t>Natural Environment Research Council; SE Asia Research Group at Royal Holloway; NERC [bas0100029] Funding Source: UKRI; Natural Environment Research Council [bas0100029] Funding Source: researchfish</t>
  </si>
  <si>
    <t>Natural Environment Research Council(UK Research &amp; Innovation (UKRI)Natural Environment Research Council (NERC)); SE Asia Research Group at Royal Holloway; NERC(UK Research &amp; Innovation (UKRI)Natural Environment Research Council (NERC)); Natural Environment Research Council(UK Research &amp; Innovation (UKRI)Natural Environment Research Council (NERC))</t>
  </si>
  <si>
    <t>This study was funded by the Natural Environment Research Council as part of a PhD research project. We would like to thank S. Cruden and M. de Saint-Blanquat for their helpful and thorough reviews of our paper. In addition we wish to thank A. Biun, F. Tongkul and M. Lakim for their assistance in facilitating the field season; J. Nais of Sabah Parks, who allowed us to work in the National Park; K. Saunders for her help with the DEM; the mountain guides and researchers of Mt Kinabalu National Park, especially Alijen 'Jen', Halli, Jasirin, Sokaibin, M. Lakim, Sapinus, Samuel and Nicholas; and the SE Asia Research Group at Royal Holloway for their support throughout this project. We also gratefully acknowledge M. Cottam, C. Sperber and A. van der Ent for their assistance, discussions and field material.</t>
  </si>
  <si>
    <t>10.1144/jgs2016-041</t>
  </si>
  <si>
    <t>WOS:000395862600016</t>
  </si>
  <si>
    <t>Johnson, H; Lewis, B; Maguire, R</t>
  </si>
  <si>
    <t>Rogers, N; Maloney, M</t>
  </si>
  <si>
    <t>Johnson, Hope; Lewis, Bridget; Maguire, Rowena</t>
  </si>
  <si>
    <t>Whaling in the Antarctic (Australia v Japan: New Zealand intervening)</t>
  </si>
  <si>
    <t>LAW AS IF EARTH REALLY MATTERED: THE WILD LAW JUDGMENT PROJECT</t>
  </si>
  <si>
    <t>Law Justice and Ecology</t>
  </si>
  <si>
    <t>SOCIAL-STRUCTURE; WHALES</t>
  </si>
  <si>
    <t>[Johnson, Hope] Queensland Univ Technol QUT, Sch Law, Int Law &amp; Global Governance Res Programme, Brisbane, Qld, Australia; [Lewis, Bridget] Queensland Univ Technol QUT, Sch Law, Rights &amp; Regulat Res Theme, Int Law &amp; Global Governance Res Programme, Brisbane, Qld, Australia; [Maguire, Rowena] Queensland Univ Technol QUT, Sch Law, Brisbane, Qld, Australia; [Maguire, Rowena] Int Law &amp; Global Governance Res Programme, Brisbane, Qld, Australia; [Maguire, Rowena] Climate &amp; Environm Governance Programme, Brisbane, Qld, Australia; [Maguire, Rowena] Australian Res Council, Discovery Project, Canberra, ACT, Australia</t>
  </si>
  <si>
    <t>Queensland University of Technology (QUT); Queensland University of Technology (QUT); Queensland University of Technology (QUT)</t>
  </si>
  <si>
    <t>Johnson, H (corresponding author), Queensland Univ Technol QUT, Sch Law, Int Law &amp; Global Governance Res Programme, Brisbane, Qld, Australia.</t>
  </si>
  <si>
    <t>; Lewis, Bridget/J-1114-2012</t>
  </si>
  <si>
    <t>Johnson, Hope/0000-0002-6590-5084; Lewis, Bridget/0000-0002-1940-5548</t>
  </si>
  <si>
    <t>978-1-315-61831-9; 978-1-138-66908-6</t>
  </si>
  <si>
    <t>LAW JUST ECOL</t>
  </si>
  <si>
    <t>Environmental Studies; Law</t>
  </si>
  <si>
    <t>Environmental Sciences &amp; Ecology; Government &amp; Law</t>
  </si>
  <si>
    <t>BN0XI</t>
  </si>
  <si>
    <t>WOS:000473603500018</t>
  </si>
  <si>
    <t>Cullen, JT; McAlister, J</t>
  </si>
  <si>
    <t>Sigel, A; Sigel, H; Sigel, RKO</t>
  </si>
  <si>
    <t>Cullen, Jay T.; McAlister, Jason</t>
  </si>
  <si>
    <t>Biogeochemistry of Lead. Its Release to the Environment and Chemical Speciation</t>
  </si>
  <si>
    <t>LEAD: ITS EFFECTS ON ENVIRONMENT AND HEALTH</t>
  </si>
  <si>
    <t>Metal Ions in Life Sciences</t>
  </si>
  <si>
    <t>anthropogenic emissions; biogeochemistry; isotopes; lead; marine biogeochemistry; Pb; pollution; trace metal</t>
  </si>
  <si>
    <t>NORTH-ATLANTIC OCEAN; HYDROUS FERRIC-OXIDE; TRACE-METALS; HEAVY-METALS; ANTHROPOGENIC LEAD; SURFACE WATERS; CONTINENTAL-SHELF; TROPHIC TRANSFER; ANTARCTIC SNOW; TEMPORAL VARIABILITY</t>
  </si>
  <si>
    <t>Lead (Pb) is a metal that is not essential for life processes and proves acutely toxic to most organisms. Compared to other metals Pb is rather immobile in the environment but still its biogeochemical cycling is greatly perturbed by human activities. In this review we present a summary of information describing the physical and chemical properties of Pb, its distribution in crustal materials, and the processes, both natural and anthropogenic, that contribute to the metal's mobilization in the biosphere. The relatively high volatility of Pb metal, low melting point, its large ionic radius, and its chemical speciation in aquatic systems contributes to its redistribution by anthropogenic and natural processes. The biogeochemical cycle of Pb is significantly altered by anthropogenic inputs. This alteration began in antiquity but accelerated during the industrial revolution, which sparked increases in both mining activities and fossil fuel combustion. Estimates of the flux of Pb to the atmosphere, its deposition and processing in soils and freshwater systems are presented. Finally, the basin scale distribution of dissolved Pb in the ocean is interpreted in light of the chemical speciation and association with inorganic and organic particulate matter. The utility of stable radiogenic Pb isotopes, as a complement to concentration data, to trace inputs to the ocean, better understand the biogeochemical cycling of Pb and track water mass circulation in the ocean is discussed. An ongoing international survey of trace elements and their isotopes in seawater will undoubtedly increase our understanding of the deposition, biogeochemical cycling and fate of this infamous toxic metal.</t>
  </si>
  <si>
    <t>[Cullen, Jay T.] Univ Victoria, Sch Earth &amp; Ocean Sci, Bob Wright Ctr A415, Box 3065STN CSC, Victoria, BC V8W 3V6, Canada; [McAlister, Jason] Univ British Columbia, Dept Earth &amp; Ocean Sci, Vancouver, BC, Canada</t>
  </si>
  <si>
    <t>University of Victoria; University of British Columbia</t>
  </si>
  <si>
    <t>Cullen, JT (corresponding author), Univ Victoria, Sch Earth &amp; Ocean Sci, Bob Wright Ctr A415, Box 3065STN CSC, Victoria, BC V8W 3V6, Canada.</t>
  </si>
  <si>
    <t>jcullen@uvic.ca; jmcalist@eos.ubc.ca</t>
  </si>
  <si>
    <t>Cullen, Jay/AAB-2769-2019; Cullen, Jay T./AAE-8379-2019</t>
  </si>
  <si>
    <t>Cullen, Jay T./0000-0002-6484-2421</t>
  </si>
  <si>
    <t>1559-0836</t>
  </si>
  <si>
    <t>1868-0402</t>
  </si>
  <si>
    <t>978-3-11-043433-0; 978-3-11-044107-9</t>
  </si>
  <si>
    <t>METAL IONS LIFE SCI</t>
  </si>
  <si>
    <t>10.1515/9783110434330-002</t>
  </si>
  <si>
    <t>Biochemistry &amp; Molecular Biology; Chemistry, Inorganic &amp; Nuclear; Toxicology</t>
  </si>
  <si>
    <t>Biochemistry &amp; Molecular Biology; Chemistry; Toxicology</t>
  </si>
  <si>
    <t>BM9MG</t>
  </si>
  <si>
    <t>WOS:000471131300004</t>
  </si>
  <si>
    <t>Moskalevsky, MY</t>
  </si>
  <si>
    <t>Moskalevsky, M. Yu.</t>
  </si>
  <si>
    <t>Scientific conference New results of studies in Arctic and Antarctic</t>
  </si>
  <si>
    <t>10.15356/2076-6734-2017-1-142-144</t>
  </si>
  <si>
    <t>WOS:000408236600013</t>
  </si>
  <si>
    <t>Rozema, PD; Venables, HJ; van de Poll, WH; Clarke, A; Meredith, MP; Buma, AGJ</t>
  </si>
  <si>
    <t>Rozema, P. D.; Venables, H. J.; van de Poll, W. H.; Clarke, A.; Meredith, M. P.; Buma, A. G. J.</t>
  </si>
  <si>
    <t>Interannual variability in phytoplankton biomass and species composition in northern Marguerite Bay (West Antarctic Peninsula) is governed by both winter sea ice cover and summer stratification</t>
  </si>
  <si>
    <t>CLIMATE-CHANGE; PHAEOCYSTIS-ANTARCTICA; COMMUNITY STRUCTURE; IRON LIMITATION; SIZE-STRUCTURE; AMUNDSEN SEA; RYDER BAY; ASSEMBLAGES; CHLOROPHYLL; CHEMTAX</t>
  </si>
  <si>
    <t>The rapid warming of the West Antarctic Peninsula region has led to reduced sea ice cover and enhanced glacial melt water input. This has potential implications for marine ecosystems, notably phytoplankton growth, biomass, and composition. Fifteen years (1997-2012) of year-round size fractionated chlorophyll a (Chl a), phytoplankton pigment fingerprinting and environmental data were analyzed to identify the relationship between sea ice cover, water column stability and phytoplankton dynamics in northern Marguerite Bay, Antarctica. Over the investigated period, both summer (December-February) and winter biomass declined significantly, 38.5% and 33.3% respectively. Winter phytoplankton biomass was low (&lt; 0.25 g Chl a L-1) and consisted on average of 69% diatoms, 5% cryptophytes, and 20% haptophytes. Summers following winters with low (&lt; 65 days) sea ice cover were characterized by decreased stratification strength and relatively low (median&lt;4.4 g Chl a L-1) phytoplankton biomass, as compared to summers preceded by high winter sea ice cover. In addition, the summertime microphytoplankton (&gt; 20 m) fraction was strongly decreased in the low biomass years, from 92% to 39%, coinciding with a smaller diatom fraction in favor of nanophytoplankton (&lt; 20 m), represented by cryptophytes and haptophytes. In contrast, diatoms dominated (&gt; 95%) during summers with average-to-high biomass. We advance a conceptual model whereby low winter sea ice cover leads to low phytoplankton biomass and enhanced proportions of nanophytoplankton, when this coincides with reduced stratification during summer. These changes are likely to have a strong effect on the entire Antarctic marine food web, including krill biomass, and distribution.</t>
  </si>
  <si>
    <t>[Rozema, P. D.; van de Poll, W. H.; Buma, A. G. J.] Univ Groningen, Res Inst Groningen, Dept Ocean Ecosyst Energy &amp; Sustainabil, Groningen, Netherlands; [Venables, H. J.; Clarke, A.; Meredith, M. P.] British Antarctic Survey, Madingley Rd, Cambridge, England; [Buma, A. G. J.] Univ Groningen, Arctic Ctr, Groningen, Netherlands</t>
  </si>
  <si>
    <t>University of Groningen; UK Research &amp; Innovation (UKRI); Natural Environment Research Council (NERC); NERC British Antarctic Survey; University of Groningen</t>
  </si>
  <si>
    <t>Rozema, PD (corresponding author), Univ Groningen, Res Inst Groningen, Dept Ocean Ecosyst Energy &amp; Sustainabil, Groningen, Netherlands.</t>
  </si>
  <si>
    <t>P.D.Rozema@rug.nl</t>
  </si>
  <si>
    <t>Rozema, Patrick D/J-9546-2016; Buma, Anita GJ/E-8372-2015</t>
  </si>
  <si>
    <t>Meredith, Michael/0000-0002-7342-7756; van de Poll, Willem/0000-0003-4095-4338; Rozema, Patrick/0000-0003-3376-7972</t>
  </si>
  <si>
    <t>Netherlands Polar Programme [866.10.105]; Natural Environment Research Council; NERC [bas0100033] Funding Source: UKRI; Natural Environment Research Council [bas0100033] Funding Source: researchfish</t>
  </si>
  <si>
    <t>Netherlands Polar Programme;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</si>
  <si>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all the Marine Assistants and other staff at Rothera and in Cambridge who have contributed to the collection of the samples and data used here. Also, we thank Ronald Visser, who assisted with HPLC measurements and Simon Wright for providing an original version of CHEMTAX. Gemma Kulk and two anonymous reviewers are thanked for valuable discussions. This research was funded by the Netherlands Polar Programme (866.10.105). RaTS is funded by the Natural Environment Research Council, and is a component of the BAS Polar Oceans programme.</t>
  </si>
  <si>
    <t>10.1002/lno.10391</t>
  </si>
  <si>
    <t>WOS:000393804600016</t>
  </si>
  <si>
    <t>Perinelli, C; Gaeta, M; Armienti, P</t>
  </si>
  <si>
    <t>Perinelli, Cristina; Gaeta, Mario; Armienti, Pietro</t>
  </si>
  <si>
    <t>Cumulate xenoliths from Mt. Overlord, northern Victoria Land, Antarctica: A window into high pressure storage and differentiation of mantle-derived basalts</t>
  </si>
  <si>
    <t>LITHOS</t>
  </si>
  <si>
    <t>Cumulate xenoliths; Hydrous mantle basalts; High pressure storage and differentiation; Wet and hot deep zone; Northern Victoria Land; Antarctica</t>
  </si>
  <si>
    <t>LITHOSPHERIC MANTLE; ULTRAMAFIC XENOLITHS; VOLCANIC FIELD; THERMAL EVOLUTION; ION-MICROPROBE; O-ISOTOPE; CLINOPYROXENE; AMPHIBOLE; CONSTRAINTS; PYROXENITE</t>
  </si>
  <si>
    <t>The alkaline basaltic magmas at Mt. Overlord (northern Victoria Land, Antarctica) entrained abundant ultramafic xenoliths (wehrlites, clinopyroxenites and hornblendites). Textures, bulk rock compositions, mineral chemistry and thermobarometric calculations indicate that the xenoliths represent cumulates that crystallised at the mantle-crust boundary. In particular, the major and trace element compositions of the bulk rocks and minerals indicate that the Mt. Overlord cumulates were formed through processes of crystal fractionation that affected hydrous basanitic magmas. Some of the xenoliths have textural features that suggest a lengthy (&gt;13 Myr) post-emplacement history at relatively low temperatures (1050-1100 degrees C) and high pressures (0.8 to 1.4 GPa) and that their primary parental melts were therefore related to the earliest phases of Cenozoic magmatism. These processes produced a wet and hot deep zone that had a strong influence on the thermochemical evolution of the lower crust beneath Mt. Overlord. (C) 2016 Elsevier B.V. All rights reserved.</t>
  </si>
  <si>
    <t>[Perinelli, Cristina; Gaeta, Mario] Sapienza Univ Roma, Dipartimento Sci Terra, Ple Aldo Moro 5, I-00185 Rome, Italy; [Armienti, Pietro] Univ Pisa, Dipartimento Sci Terra, Via S Maria 53, I-56126 Pisa, Italy</t>
  </si>
  <si>
    <t>Sapienza University Rome; University of Pisa</t>
  </si>
  <si>
    <t>Perinelli, C (corresponding author), Sapienza Univ Roma, Dipartimento Sci Terra, Ple Aldo Moro 5, I-00185 Rome, Italy.</t>
  </si>
  <si>
    <t>cristina.perinelli@uniroma1.it</t>
  </si>
  <si>
    <t>Perinelli, Cristina/AAU-9733-2020</t>
  </si>
  <si>
    <t>Perinelli, Cristina/0000-0002-2308-461X; Armienti, Pietro/0000-0002-5929-8222</t>
  </si>
  <si>
    <t>PNRA (National Programme Antarctic Research) project</t>
  </si>
  <si>
    <t>This work was funded by PNRA (National Programme Antarctic Research) project 2013-2015, How climate changes and crustal thermomechanic variations interact in driving East Antarctic glacial evolution since late Cenozoic?.</t>
  </si>
  <si>
    <t>0024-4937</t>
  </si>
  <si>
    <t>1872-6143</t>
  </si>
  <si>
    <t>Lithos</t>
  </si>
  <si>
    <t>10.1016/j.lithos.2016.10.027</t>
  </si>
  <si>
    <t>Geochemistry &amp; Geophysics; Mineralogy</t>
  </si>
  <si>
    <t>EI7LW</t>
  </si>
  <si>
    <t>WOS:000392680400015</t>
  </si>
  <si>
    <t>Fowler, AJ; Huveneers, C; Lloyd, MT</t>
  </si>
  <si>
    <t>Fowler, A. J.; Huveneers, C.; Lloyd, M. T.</t>
  </si>
  <si>
    <t>Insights into movement behaviour of snapper (Chrysophrys auratus, Sparidae) from a large acoustic array</t>
  </si>
  <si>
    <t>acoustic monitoring; northern Gulf St Vincent; patterns of space use; South Australia</t>
  </si>
  <si>
    <t>PAGRUS-AURATUS; MARINE RESERVE; SOUTH-AUSTRALIA; GULF; DYNAMICS; OTOLITHS; TRACKING; FISH; CHEMISTRY; TELEMETRY</t>
  </si>
  <si>
    <t>Snapper is a significant fishery species in Australasia whose movement behaviour remains poorly understood. This was addressed in the present study at the within-region scale using acoustic telemetry in the Gulf St Vincent, South Australia. Over 3 years from May 2011, 54 snapper were monitored throughout similar to 160 km(2) using 41 acoustic receivers. The dispersion of &gt;500 000 detections varied in space and time, reflecting three types of space use, dependent on different types of movement behaviour. One station, near a large shipwreck, accounted for 67.8% of all detections, particularly during winter, when fish were sedentary and site attached. In spring, the fish dispersed throughout the study area to different habitats and, through summer, occupied different larger restricted areas than used in winter. Snapper were highly mobile and demonstrated systematic behaviour at several temporal scales. They moved linear distances of up to, 100 km and could achieve tens of kilometres in a day in episodic movements. Through the year, their activity was distributed across areas of hundreds of square kilometres. The regional spatial management regimen was assessed against this enhanced understanding of movement behaviour. A new marine park sanctuary zone that encompassed the shipwreck was appropriately located, but possible benefits of a nearby spatial spawning closure area appear limited.</t>
  </si>
  <si>
    <t>[Fowler, A. J.] South Australian Res &amp; Dev Inst, POB 120, Henley Beach, SA 5022, Australia; [Huveneers, C.; Lloyd, M. T.] Flinders Univ S Australia, Sch Biol Sci, Fac Sci &amp; Engn, Bedford Pk, SA 5042, Australia</t>
  </si>
  <si>
    <t>South Australian Research &amp; Development Institute (SARDI); Flinders University South Australia</t>
  </si>
  <si>
    <t>Fowler, AJ (corresponding author), South Australian Res &amp; Dev Inst, POB 120, Henley Beach, SA 5022, Australia.</t>
  </si>
  <si>
    <t>anthony.fowler@sa.gov.au</t>
  </si>
  <si>
    <t>Huveneers, Charlie/0000-0001-8937-1358</t>
  </si>
  <si>
    <t>Australian Government through the National Collaborative Research Infrastructure Strategy; Australian Government through the Super Science Initiative; Neiser Foundation; Institute of Marine and Antarctic Studies; University of Adelaide; Department of the Environment, Water and Natural Resources; Adelaide and Mt Lofty Ranges Natural Resources Management Board; Fisheries Research and Development Corporation [2012/020]; Primary Industries and Regions South Australia (Fisheries and Aquaculture)</t>
  </si>
  <si>
    <t>Australian Government through the National Collaborative Research Infrastructure Strategy(Australian GovernmentDepartment of Industry, Innovation and Science); Australian Government through the Super Science Initiative(Australian GovernmentDepartment of Industry, Innovation and Science); Neiser Foundation; Institute of Marine and Antarctic Studies; University of Adelaide; Department of the Environment, Water and Natural Resources; Adelaide and Mt Lofty Ranges Natural Resources Management Board; Fisheries Research and Development Corporation; Primary Industries and Regions South Australia (Fisheries and Aquaculture)</t>
  </si>
  <si>
    <t>The authors are grateful to numerous people from the South Australian Research and Development Institute who helped with the field operations, including Michael Steer, Owen Burnell, Paul Rogers, Michael Drew, Bruce Miller-Smith, Bruce Jackson and Graham Hooper. Several commercial fishers provided invaluable information about fishing grounds, including Andrew Pisani, Mark Judd, Michael Pennington, Terry Damon and Kostas Andrellos. Chris Bice and Jason Earl read early drafts of the manuscript and made significant suggestions that led to its considerable improvement. Acoustic receivers were provided by the Integrated Marine Observing System (IMOS) Animal Tracking. IMOS is supported by the Australian Government through the National Collaborative Research Infrastructure Strategy and the Super Science Initiative, the Neiser Foundation, the Institute of Marine and Antarctic Studies, the University of Adelaide, the Department of the Environment, Water and Natural Resources, and the Adelaide and Mt Lofty Ranges Natural Resources Management Board. This project was funded by the Fisheries Research and Development Corporation (project number 2012/020) in association with Primary Industries and Regions South Australia (Fisheries and Aquaculture).</t>
  </si>
  <si>
    <t>10.1071/MF16121</t>
  </si>
  <si>
    <t>FB9WE</t>
  </si>
  <si>
    <t>WOS:000406489100005</t>
  </si>
  <si>
    <t>McAuley, RB; Bruce, BD; Keay, IS; Mountford, S; Pinnell, T; Whoriskey, FG</t>
  </si>
  <si>
    <t>McAuley, R. B.; Bruce, B. D.; Keay, I. S.; Mountford, S.; Pinnell, T.; Whoriskey, F. G.</t>
  </si>
  <si>
    <t>Broad-scale coastal movements of white sharks off Western Australia described by passive acoustic telemetry data</t>
  </si>
  <si>
    <t>SOUTH-FARALLON-ISLANDS; CARCHARODON-CARCHARIAS; NEPTUNE ISLANDS; WHALE CARCASS; PATTERNS; CALIFORNIA; MIGRATION; WATERS; 1ST; SEGREGATION</t>
  </si>
  <si>
    <t>Movements of 89 acoustically tagged subadult and adult white sharks (Carcharodon carcharias) were monitored off the south and west coasts of Western Australia (WA) between December 2008 and May 2016 by a network of up to 343 passive acoustic receivers. In all, 290 inter-regional movements, totalling 185 092 km were recorded for 73 of these sharks. Estimated rates of movement in excess of 3 km h(-1) (mean 1.7 km h(-1); maximum 5.6 km h(-1)) were common, even over distances of thousands of kilometres. Detections indicated that white sharks may be present off most of the south and lower west coasts of WA throughout the year, although they are more likely to be encountered during spring and early summer and are least likely to be present during late summer and autumn. There was limited evidence of predictable return behaviour, seasonal movement patterns or coordination of the direction and timing of individual shark's movements. Nevertheless, the data suggest that further analyses of movements in relation to ecological factors may be useful predictors of shark activity at local scales. It is hoped that these data may be useful for informing public safety initiatives aimed at mitigating the risks associated with human encounters with white sharks off the WA coast.</t>
  </si>
  <si>
    <t>[McAuley, R. B.; Keay, I. S.; Mountford, S.; Pinnell, T.] Govt Western Australia WA Fisheries &amp; Marine Res, Dept Fisheries, POB 20, North Beach, WA 6920, Australia; [Bruce, B. D.] CSIRO Oceans &amp; Atmosphere Res, Castray Esplanade, Battery Point, Tas 7004, Australia; [Whoriskey, F. G.] Dalhousie Univ, Ocean Tracking Network, 1355 Oxford Rd,POB 15 000, Halifax, NS B3H 4R2, Canada</t>
  </si>
  <si>
    <t>Commonwealth Scientific &amp; Industrial Research Organisation (CSIRO); Dalhousie University</t>
  </si>
  <si>
    <t>McAuley, RB (corresponding author), Govt Western Australia WA Fisheries &amp; Marine Res, Dept Fisheries, POB 20, North Beach, WA 6920, Australia.</t>
  </si>
  <si>
    <t>rory.mcauley@fish.wa.gov.au</t>
  </si>
  <si>
    <t>Western Australian State Government; Australian Government through the National Collaborative Research Infrastructure Strategy; Super Science Initiative; Marine Biodiversity Hub; Australian Government's National Environmental Science Programme (NESP)</t>
  </si>
  <si>
    <t>Western Australian State Government; Australian Government through the National Collaborative Research Infrastructure Strategy(Australian GovernmentDepartment of Industry, Innovation and Science); Super Science Initiative; Marine Biodiversity Hub; Australian Government's National Environmental Science Programme (NESP)(Australian Government)</t>
  </si>
  <si>
    <t>This project was primarily funded through a series of grants from the Western Australian State Government. The authors are indebted to Charlie Huveneers, Paul Rogers and Andrew Fox for data sharing and field assistance and to the following people for their considerable assistance: Russ Bradford, Chris Dowling, Dani Waltrick de Souza, Mark Kleeman, Mark Davidson, Lisa West, Carly Bruce, Rick Allison, Gabby Mitsopoulos, Craig Skepper, Brett Crisafulli, Rod O'Halloran, skippers and crews of the RV Naturaliste, PVs Hamelin, Houtman and Walcott, Mike Simmons (Simtron, Melbourne, Vic. Australia), David Whillas (Seabotix, Fremantle, WA. Australia), Nick Stampone (Transfield Services, Fremantle, WA.) and Dave Wilson (Fendercare, Fremantle, WA. Australia). The authors thank the Canada Foundation for Innovation-supported Ocean Tracking Network (OTN) project and the Integrated Marine Observing System (IMOS), which is supported by the Australian Government through the National Collaborative Research Infrastructure Strategy and the Super Science Initiative, for additional acoustic tag detection data. Barry Bruce's time on this project was supported by the Marine Biodiversity Hub, a collaborative partnership supported through funding from the Australian Government's National Environmental Science Programme (NESP). NESP Marine Biodiversity Hub partners include the Institute for Marine and Antarctic Studies at the University of Tasmania, CSIRO, Geoscience Australia, Australian Institute of Marine Science, Museum Victoria, Charles Darwin University, University of Western Australia, NSW Office of Environment and Heritage, NSW Department of Primary Industries and IMOS. The authors are also grateful to Malcolm Francis and the two anonymous reviewers for their comments, which greatly improved this manuscript.</t>
  </si>
  <si>
    <t>10.1071/MF16222</t>
  </si>
  <si>
    <t>WOS:000406489100011</t>
  </si>
  <si>
    <t>Arivalagan, J; Yarra, T; Marie, B; Sleight, VA; Duvernois-Berthet, E; Clark, MS; Marie, A; Berland, S</t>
  </si>
  <si>
    <t>Arivalagan, Jaison; Yarra, Tejaswi; Marie, Benjamin; Sleight, Victoria A.; Duvernois-Berthet, Evelyne; Clark, Melody S.; Marie, Arul; Berland, Sophie</t>
  </si>
  <si>
    <t>Insights from the Shell Proteome: Biomineralization to Adaptation</t>
  </si>
  <si>
    <t>MOLECULAR BIOLOGY AND EVOLUTION</t>
  </si>
  <si>
    <t>biomineralization; shell matrix proteins; calcification; calcite; aragonite; evolution</t>
  </si>
  <si>
    <t>PATTERN-RECOGNITION RECEPTORS; MYTILUS-EDULIS; MANTLE TRANSCRIPTOME; RUDITAPES-PHILIPPINARUM; CARBONIC-ANHYDRASE; MOLECULAR-CLONING; TISSUE INHIBITOR; MATRIX PROTEINS; ORGANIC MATRIX; MOLLUSK</t>
  </si>
  <si>
    <t>Bivalves have evolved a range of complex shell forming mechanisms that are reflected by their incredible diversity in shell mineralogy and microstructures. A suite of proteins exported to the shell matrix space plays a significant role in controlling these features, in addition to underpinning some of the physical properties of the shell itself. Although, there is a general consensus that a minimum basic protein tool kit is required for shell construction, to date, this remains undefined. In this study, the shell matrix proteins (SMPs) of four highly divergent bivalves (The Pacific oyster, Crassostrea gigas; the blue mussel, Mytilus edulis; the clam, Mya truncata, and the king scallop, Pecten maximus) were analyzed in an identical fashion using proteomics pipeline. This enabled us to identify the critical elements of a basic tool kit for calcification processes, which were conserved across the taxa irrespective of the shell morphology and arrangement of the crystal surfaces. In addition, protein domains controlling the crystal layers specific to aragonite and calcite were also identified. Intriguingly, a significant number of the identified SMPs contained domains related to immune functions. These were often are unique to each species implying their involvement not only in immunity, but also environmental adaptation. This suggests that the SMPs are selectively exported in a complex mix to endow the shell with both mechanical protection and biochemical defense.</t>
  </si>
  <si>
    <t>[Arivalagan, Jaison; Marie, Benjamin; Marie, Arul] Sorbonne Univ, Museum Natl Hist Nat, UMR CNRS MNHN Mol Commun &amp; Adaptat Microorganisme, Paris, France; [Arivalagan, Jaison; Berland, Sophie] Sorbonne Univ, Museum Natl Hist Nat, UMR CNRS MNHN UPMC IRD Biol Organismes Aquat &amp; Ec, Paris, France; [Yarra, Tejaswi; Sleight, Victoria A.; Clark, Melody S.] British Antarctic Survey, Nat Environm Res Council, Madingley Rd, Cambridge, England; [Yarra, Tejaswi] Univ Edinburgh, Inst Evolutionary Biol, Ashworth Labs, Charlotte Auerbach Rd, Edinburgh, Midlothian, Scotland; [Duvernois-Berthet, Evelyne] Sorbonne Univ, Museum Natl Hist Nat, UMR CNRS MNHN Evolut Regulat Endocriniennes 7221, Paris, France</t>
  </si>
  <si>
    <t>Museum National d'Histoire Naturelle (MNHN); Sorbonne Universite; Museum National d'Histoire Naturelle (MNHN); Sorbonne Universite; UK Research &amp; Innovation (UKRI); Natural Environment Research Council (NERC); NERC British Antarctic Survey; University of Edinburgh; Museum National d'Histoire Naturelle (MNHN); Sorbonne Universite</t>
  </si>
  <si>
    <t>Marie, A (corresponding author), Sorbonne Univ, Museum Natl Hist Nat, UMR CNRS MNHN Mol Commun &amp; Adaptat Microorganisme, Paris, France.</t>
  </si>
  <si>
    <t>armarie@mnhn.fr</t>
  </si>
  <si>
    <t>MARIE, Arul/JXL-6199-2024; Sleight, Victoria A./AHE-7337-2022; Arivalagan, Jaison/ABB-6738-2021; Marie, Benjamin/A-3930-2012; Clark, Melody/D-7371-2014</t>
  </si>
  <si>
    <t>MARIE, Arul/0000-0003-4104-140X; Sleight, Victoria A./0000-0003-0550-8500; Arivalagan, Jaison/0000-0001-8426-5273; Marie, Benjamin/0000-0001-9880-5541; Duvernois-Berthet, Evelyne/0000-0003-1442-6603; Clark, Melody/0000-0002-3442-3824</t>
  </si>
  <si>
    <t>CACHE (Calcium in a Changing Environment) initial training network (ITN) under the European Union Seventh Framework Programme [605051]; Natural Environment Research Council [bas0100036, 1384018] Funding Source: researchfish; NERC [bas0100036, dml011000] Funding Source: UKRI</t>
  </si>
  <si>
    <t>CACHE (Calcium in a Changing Environment) initial training network (ITN) under the European Union Seventh Framework Programme; Natural Environment Research Council(UK Research &amp; Innovation (UKRI)Natural Environment Research Council (NERC)); NERC(UK Research &amp; Innovation (UKRI)Natural Environment Research Council (NERC))</t>
  </si>
  <si>
    <t>This work was supported by funding from the CACHE (Calcium in a Changing Environment) initial training network (ITN) under the European Union Seventh Framework Programme, reference grant agreement number 605051. We acknowledge E. Dufour (UMR 7209, MNHN) for shell sample preparation. We thank G. Bolbach and L. Matheron (IBPS-FR3631, Paris) for proteomic analysis and discussions.</t>
  </si>
  <si>
    <t>0737-4038</t>
  </si>
  <si>
    <t>1537-1719</t>
  </si>
  <si>
    <t>MOL BIOL EVOL</t>
  </si>
  <si>
    <t>Mol. Biol. Evol.</t>
  </si>
  <si>
    <t>10.1093/molbev/msw219</t>
  </si>
  <si>
    <t>Biochemistry &amp; Molecular Biology; Evolutionary Biology; Genetics &amp; Heredity</t>
  </si>
  <si>
    <t>EO2FG</t>
  </si>
  <si>
    <t>WOS:000396511400002</t>
  </si>
  <si>
    <t>Siegert, M</t>
  </si>
  <si>
    <t>Siegert, Martin</t>
  </si>
  <si>
    <t>Vulnerable Antarctic ice shelves</t>
  </si>
  <si>
    <t>SHEET; OCEAN</t>
  </si>
  <si>
    <t>[Siegert, Martin] Imperial Coll London, Grantham Inst, London SW7 2AZ, England; [Siegert, Martin] Imperial Coll London, Dept Earth Sci &amp; Engn, London SW7 2AZ, England</t>
  </si>
  <si>
    <t>Imperial College London; Imperial College London</t>
  </si>
  <si>
    <t>Siegert, M (corresponding author), Imperial Coll London, Grantham Inst, London SW7 2AZ, England.;Siegert, M (corresponding author), Imperial Coll London, Dept Earth Sci &amp; Engn, London SW7 2AZ, England.</t>
  </si>
  <si>
    <t>m.siegert@imperial.ac.uk</t>
  </si>
  <si>
    <t>Siegert, Martin J/A-3826-2008; Siegert, Martin/M-9939-2019</t>
  </si>
  <si>
    <t>Siegert, Martin J/0000-0002-0090-4806; Siegert, Martin/0000-0002-0090-4806</t>
  </si>
  <si>
    <t>NERC [NE/K004956/2] Funding Source: UKRI</t>
  </si>
  <si>
    <t>10.1038/nclimate3189</t>
  </si>
  <si>
    <t>WOS:000396346700008</t>
  </si>
  <si>
    <t>Meagher, KJ</t>
  </si>
  <si>
    <t>Gomboc, A</t>
  </si>
  <si>
    <t>Meagher, Kevin J.</t>
  </si>
  <si>
    <t>IceCube Collaboration</t>
  </si>
  <si>
    <t>Neutrino Astronomy with IceCube</t>
  </si>
  <si>
    <t>NEW FRONTIERS IN BLACK HOLE ASTROPHYSICS</t>
  </si>
  <si>
    <t>IAU Symposium Proceedings Series</t>
  </si>
  <si>
    <t>324th Symposium of the International-Astronomical-Union (IAU)</t>
  </si>
  <si>
    <t>Ljubljana, SLOVENIA</t>
  </si>
  <si>
    <t>acceleration of particles; neutrinos; galaxies: active; gamma rays: bursts</t>
  </si>
  <si>
    <t>The IceCube Neutrino Observatory is a cubic kilometer neutrino telescope located at the Geographic South Pole. Cherenkov radiation emitted by charged secondary particles from neutrino interactions is observed by IceCube using an array of 5160 photomultiplier tubes embedded between a depth of 1.5 km to 2.5 km in the Antarctic glacial ice. The detection of astrophysical neutrinos is a primary goal of IceCube and has now been realized with the discovery of a diffuse, high-energy flux consisting of neutrino events from tens of TeV up to several PeV. Many analyses have been performed to identify the source of these neutrinos: correlations with active galactic nuclei, gamma-ray bursts, and the galactic plane. IceCube also conducts multimessenger campaigns to alert other observatories of possible neutrino transients in real-time. However, the source of these neutrinos remains elusive as no corresponding electromagnetic counterparts have been identified. This proceeding will give an overview of the detection principles of IceCube, the properties of the observed astrophysical neutrinos, the search for corresponding sources (including real-time searches), and plans for a next-generation neutrino detector, IceCube-Gen2.</t>
  </si>
  <si>
    <t>[Meagher, Kevin J.] Univ Libre Bruxelles, Sci Fac, CP230, B-1050 Brussels, Belgium</t>
  </si>
  <si>
    <t>Universite Libre de Bruxelles</t>
  </si>
  <si>
    <t>Meagher, KJ (corresponding author), Univ Libre Bruxelles, Sci Fac, CP230, B-1050 Brussels, Belgium.</t>
  </si>
  <si>
    <t>kmeagher@ulb.ac.be</t>
  </si>
  <si>
    <t>Sánchez, Juan Antonio Aguilar/H-4467-2015</t>
  </si>
  <si>
    <t>1743-9213</t>
  </si>
  <si>
    <t>1743-9221</t>
  </si>
  <si>
    <t>978-1-10716-994-4</t>
  </si>
  <si>
    <t>IAU SYMP P SERIES</t>
  </si>
  <si>
    <t>IAU Symposium Proc. Series</t>
  </si>
  <si>
    <t>S324</t>
  </si>
  <si>
    <t>10.1017/S1743921317002307</t>
  </si>
  <si>
    <t>BL8GC</t>
  </si>
  <si>
    <t>WOS:000456300300077</t>
  </si>
  <si>
    <t>Minor, MA; Babenko, AB; Ermilov, SG</t>
  </si>
  <si>
    <t>Minor, Maria A.; Babenko, Anatoly B.; Ermilov, Sergey G.</t>
  </si>
  <si>
    <t>Oribatid mites (Acari: Oribatida) and springtails (Collembola) in alpine habitats of southern New Zealand</t>
  </si>
  <si>
    <t>NEW ZEALAND JOURNAL OF ZOOLOGY</t>
  </si>
  <si>
    <t>Biodiversity; Central Otago; snowbanks; bogs; cushion fields</t>
  </si>
  <si>
    <t>TERRESTRIAL INVERTEBRATE FAUNA; SUB-ANTARCTIC ISLANDS; OLD-MAN RANGE; CENTRAL OTAGO; VEGETATION HISTORY; WETA ORTHOPTERA; CUSHION PLANTS; POLAR DESERTS; PEAT SOILS; MOAS ARK</t>
  </si>
  <si>
    <t>We investigated diversity and community composition of microarthropods (Collembola and Oribatida) in a range of habitats in the high alpine zone of New Zealand's South Island. We report the first comprehensive record of the fauna for the high alpine zone, and discuss habitat associations and related changes in community composition. A total of 51 species of Collembola and 70 species of Oribatida were collected. The microarthropod communities in alpine New Zealand had some structural traits in common with arcto-montane environments elsewhere in the world, but were not completely comparable. There was a minimal similarity between the faunal complexes of Oribatida and Collembola in alpine habitats and the known fauna of New Zealand, with high proportion of species new to science.</t>
  </si>
  <si>
    <t>[Minor, Maria A.] Massey Univ, Inst Agr &amp; Environm, Ecol Grp, Palmerston North, New Zealand; [Babenko, Anatoly B.] Russian Acad Sci, Severtsov Inst Ecol &amp; Evolut, Moscow, Russia; [Ermilov, Sergey G.] Tyumen State Univ, Tyumen, Russia</t>
  </si>
  <si>
    <t>Massey University; Russian Academy of Sciences; Saratov Scientific Center of the Russian Academy of Sciences; Severtsov Institute of Ecology &amp; Evolution; Tyumen State University</t>
  </si>
  <si>
    <t>Minor, MA (corresponding author), Massey Univ, Inst Agr &amp; Environm, Ecol Grp, Palmerston North, New Zealand.</t>
  </si>
  <si>
    <t>m.a.minor@massey.ac.nz</t>
  </si>
  <si>
    <t>Babenko, Anatoly B./I-6367-2013</t>
  </si>
  <si>
    <t>Babenko, Anatoly B./0000-0002-6077-0619</t>
  </si>
  <si>
    <t>Massey University Research Fund; Russian Science Foundation [14-14-01134]</t>
  </si>
  <si>
    <t>Massey University Research Fund; Russian Science Foundation(Russian Science Foundation (RSF))</t>
  </si>
  <si>
    <t>The project was supported by the Massey University Research Fund and by the Russian Science Foundation (project 14-14-01134).</t>
  </si>
  <si>
    <t>0301-4223</t>
  </si>
  <si>
    <t>1175-8821</t>
  </si>
  <si>
    <t>NEW ZEAL J ZOOL</t>
  </si>
  <si>
    <t>N. Z. J. Zool.</t>
  </si>
  <si>
    <t>10.1080/03014223.2016.1251950</t>
  </si>
  <si>
    <t>EO5GB</t>
  </si>
  <si>
    <t>WOS:000396720100007</t>
  </si>
  <si>
    <t>Coute, N; Kohut, J; Schofield, O; Dinniman, M; Graham, J</t>
  </si>
  <si>
    <t>Coute, Nicole; Kohut, Josh; Schofield, Oscar; Dinniman, Michael; Graham, Jennifer</t>
  </si>
  <si>
    <t>Pathways and retention times in a biologically productive canyon system on the West Antarctic Peninsula</t>
  </si>
  <si>
    <t>OCEANS 2017 - ANCHORAGE</t>
  </si>
  <si>
    <t>Conference on OCEANS</t>
  </si>
  <si>
    <t>SEP 18-21, 2017</t>
  </si>
  <si>
    <t>Anchorage, AK</t>
  </si>
  <si>
    <t>Antarctic oceanography; circulation; numerical model; canyons</t>
  </si>
  <si>
    <t>CIRCUMPOLAR DEEP-WATER; CONTINENTAL-SHELF; MARGUERITE BAY; AUSTRAL FALL; SUBMARINE-CANYON; CIRCULATION; ZOOPLANKTON; REGION; WINTER; MODEL</t>
  </si>
  <si>
    <t>Palmer Deep is a highly productive coastal canyon on the continental shelf of the West Antarctic Peninsula (WAP). Primary productivity in the canyon is hypothesized to be fueled by nutrients provided by the Upper Circumpolar Deep Water (UCDW), a water mass originating off the shelf. To evaluate the influence of UCDW on the canyon, we use the Regional Ocean Modeling System (ROMS) model to investigate the common pathways the UCDW takes to reach Palmer Deep canyon, near the United States Palmer Station. We also investigate the circulation of the water mass within the canyon itself. Virtual drifters were advected in the velocity field of a six-year model run on the WAP. At sub-pycnocline depths, three primary pathways from the northern shelf edge to Palmer Deep were identified, each of which involved cyclonic circulation within a shelf-incising trough. Temperature and salinity of water moving along these pathways was most significantly modified when it reached the latitude of Boyd Strait, which is likely to be influenced by cold Antarctic Coastal Current Water from the Weddell Sea. Most of the flow into the canyon occurred on the northwest side and most of the outflow was through the south. Retention times in the canyon increased with depth, with particles being retained for 50-100 days at depths where UCDW commonly intrudes, supporting the idea that canyons promote productivity by providing a reservoir for nutrient-rich water masses.</t>
  </si>
  <si>
    <t>[Coute, Nicole; Kohut, Josh; Schofield, Oscar] Rutgers State Univ, Dept Marine &amp; Coastal Sci, New Brunswick, NJ 08901 USA; [Dinniman, Michael; Graham, Jennifer] Old Dominion Univ, Ctr Coastal Phys Oceanog, Norfolk, VA USA</t>
  </si>
  <si>
    <t>Rutgers University System; Rutgers University New Brunswick; Old Dominion University</t>
  </si>
  <si>
    <t>Coute, N (corresponding author), Rutgers State Univ, Dept Marine &amp; Coastal Sci, New Brunswick, NJ 08901 USA.</t>
  </si>
  <si>
    <t>ncoute@marine.rutgers.edu</t>
  </si>
  <si>
    <t>National Science Foundation [0823101]</t>
  </si>
  <si>
    <t>This research was funded by the National Science Foundation (NSF/PLR Award 0823101).</t>
  </si>
  <si>
    <t>Engineering, Marine; Engineering, Electrical &amp; Electronic; Oceanography</t>
  </si>
  <si>
    <t>Engineering; Oceanography</t>
  </si>
  <si>
    <t>BL7GR</t>
  </si>
  <si>
    <t>WOS:000455012000293</t>
  </si>
  <si>
    <t>Kohut, J; McDonnell, J; Hunter-Thomson, K; Clark, H</t>
  </si>
  <si>
    <t>Kohut, Josh; McDonnell, Janice; Hunter-Thomson, Kristin; Clark, Harold</t>
  </si>
  <si>
    <t>Project CONVERGE: A broader impact plan that engaged educators and students in the process of polar ocean science campaigns.</t>
  </si>
  <si>
    <t>Ocean observing; Polar ecosystems; Physical oceanography; data literacy; process of science</t>
  </si>
  <si>
    <t>TRANSPORT</t>
  </si>
  <si>
    <t>The core educational objective of our approach is to use connections between deployed science teams and our target audiences with real-time data to increase awareness and understanding of the Antarctic ecosystem as it responds to global climate change. In 2010-2011 we completed a rigorous field campaign to examine the impact of upwelled Modified Circumpolar Deep Water (MCDW) on the Ross Sea ecosystem (SEAFAReRS). Based on this experience, we applied a multi-tiered education program to a project that linked local physical oceanography to the foraging ecology of Adelie Penguins along the West Antarctic Peninsula (CONVERGE)(1). Our approach included educator professional development, data-based classroom lessons to provide students with an understanding of the hypotheses, daily activity blogs developed by an on-site science writer and photographer, scheduled live video connections between the deployed science team and classrooms back in the US, and a Student Research Symposium (with over half of the students using the scientists data in real time to conduct their own investigations). Through a comprehensive evaluation program, educators reported a significant change in their teaching practice of increasing students' data collection and analysis in the field, rather than just in a laboratory. Additionally, the educators and students both reported increases in their engagement in science and identification with science as a result of participating in the project.</t>
  </si>
  <si>
    <t>[Kohut, Josh; McDonnell, Janice; Hunter-Thomson, Kristin] Rutgers State Univ, New Brunswick, NJ 08901 USA; [Clark, Harold] Liberty Sci Ctr, Jersey City, NJ USA</t>
  </si>
  <si>
    <t>Rutgers University System; Rutgers University New Brunswick</t>
  </si>
  <si>
    <t>Kohut, J (corresponding author), Rutgers State Univ, New Brunswick, NJ 08901 USA.</t>
  </si>
  <si>
    <t>National Science Foundation [OPP-1327248]; Rutgers University; Liberty Science Center; COSEE Networked Ocean World</t>
  </si>
  <si>
    <t>National Science Foundation(National Science Foundation (NSF)); Rutgers University; Liberty Science Center; COSEE Networked Ocean World</t>
  </si>
  <si>
    <t>This project was funded by the National Science Foundation's # OPP-1327248. The education and outreach aspects of the project were supported by Rutgers University, Liberty Science Center, and COSEE Networked Ocean World.</t>
  </si>
  <si>
    <t>WOS:000455012000314</t>
  </si>
  <si>
    <t>McDonnell, J; Kohut, J; Schofield, O; Hunter-Thomson, K; Ferraro, C; Hotaling, L; Dyk, PV</t>
  </si>
  <si>
    <t>McDonnell, Janice; Kohut, Joshua; Schofield, Oscar; Hunter-Thomson, Kristin; Ferraro, Carrie; Hotaling, Liesl; Pam Van Dyk</t>
  </si>
  <si>
    <t>Polar ICE: Bringing the poles to classrooms</t>
  </si>
  <si>
    <t>education; polar science; broader impacts</t>
  </si>
  <si>
    <t>Climate changes in the Polar Regions are accelerating and scientists are trying to understand both the patterns and resulting impacts. Specific regions of the Arctic and Antarctic are exhibiting greater changes than others, creating areas of interest (hot spots) for polar research. The Polar Interdisciplinary Coordinated Education (Polar ICE, see www.polar-ice.org) project, funded by the National Science Foundation, was designed as an integrated education and outreach program to provide virtual access to the Polar Regions, specifically the hot spots of researcher interest, through polar data and interactions with the scientists. Polar ICE focuses on creating communities of practice among educators and polar scientists around understanding of polar science and data through workshops, data visualization tools, and data-focused activities appropriate for middle-high as well as undergraduate students (grades 6-16).</t>
  </si>
  <si>
    <t>[McDonnell, Janice; Kohut, Joshua; Schofield, Oscar; Hunter-Thomson, Kristin; Ferraro, Carrie] Rutgers State Univ, Dept Marine &amp; Coastal Sci, Sch Environm &amp; Biol Sci, 71 Dudley Rd, New Brunswick, NJ 08901 USA; [Hotaling, Liesl] Eidos Educ, Highlands, NJ USA; [Pam Van Dyk] Evaluat Resources, Raleigh, NC USA</t>
  </si>
  <si>
    <t>McDonnell, J (corresponding author), Rutgers State Univ, Dept Marine &amp; Coastal Sci, Sch Environm &amp; Biol Sci, 71 Dudley Rd, New Brunswick, NJ 08901 USA.</t>
  </si>
  <si>
    <t>mcdonnel@marine.rutgers.edu</t>
  </si>
  <si>
    <t>Ferraro, Carrie/AAE-6693-2020</t>
  </si>
  <si>
    <t>National Science Foundation [PLR-1525635, 1440435]</t>
  </si>
  <si>
    <t>This work is funded by the National Science Foundation (No. PLR-1525635 and 1440435). We gratefully acknowledge our Polar ICE team, Dr. Corey Garza, Bridgette Clarkson, University of California Monterey Bay, Dr. George Matsumoto, Monterey Bay Aquarium Research Institute (MBARI), Dr. Joan Middendorf, Indiana University, Ari Daniel, Independent Science Reporter for Public Radio, and Christine Bean and Madeline Gazelle, Rutgers University.</t>
  </si>
  <si>
    <t>WOS:000455012000016</t>
  </si>
  <si>
    <t>Schofield, O; Brown, M; Carvahlo, F; Couto, N; Crowley, M; Miles, T; Nardelli, S; Waite, N; Saba, G</t>
  </si>
  <si>
    <t>Schofield, Oscar; Brown, Michael; Carvahlo, Filipa; Couto, Nicole; Crowley, Michael; Miles, Travis; Nardelli, Schulyer; Waite, Nicole; Saba, Grace</t>
  </si>
  <si>
    <t>Decadal trends in phytoplankton communities along a rapidly changing West Antarctic Peninsula</t>
  </si>
  <si>
    <t>polar science; phytoplankton</t>
  </si>
  <si>
    <t>CLIMATE-CHANGE; SEA-ICE; MARINE ECOSYSTEM; SOUTHERN-OCEAN; MIXED-LAYER; VARIABILITY; REGION; PRODUCTIVITY; BIOMASS; DIATOMS</t>
  </si>
  <si>
    <t>The West Antarctic Peninsula (WAP) is associated with large phytoplankton blooms that are dominated by large (&gt;20 microns) diatoms however, nanoplankton (&lt;20 microns) are also an important component in the phytoplankton community. The dominant nanoflagellate in the WAP has been suggested to be cryptomonad algae. Using a twenty-year time series collected by the Palmer Long Term Ecological Research (Pal LTER) program, we assessed long-term patterns and stability in the coastal phytoplankton communities in the WAP. There was significant interannual variability in the integrated water column chlorophyll a (chl-a) concentrations, which varied by a factor of 5 over the 20-year time series. Within the time series the dominant phytoplankton taxa were diatoms, with the second most abundant phytoplankton taxa present being cryptophyes. While diatoms were observed over the full range of observed salinities (34.5 to 32) as well as over the full range of in situ temperatures (-1.5 to 2.5 degrees C), the cryptophyte populations were observed in lower salinity (33.75 to 32.5) and colder water (-1 to 1 degrees C) for the local time series at Palmer Station. This pattern was not observed for the ship spatial time series data, which might reflect the species diversity in the cryptophyte species between northern and southern waters of the WAP. Regardless, diatoms and cryptophytes were inversely related to each other across the entire WAP. Years when environmental factors favor water column stability, there are anomalously large summer diatom blooms. Consistent with modeling studies this suggests a potential shift to multivorous food web, which has significant ecological and biogeochemical implications, such as decreased efficiency of atmospheric carbon sequesteration.</t>
  </si>
  <si>
    <t>[Schofield, Oscar; Brown, Michael; Carvahlo, Filipa; Couto, Nicole; Crowley, Michael; Miles, Travis; Nardelli, Schulyer; Waite, Nicole; Saba, Grace] Rutgers State Univ, Dept Marine &amp; Coastal Sci, Sch Environm &amp; Biol Sci, 71 Dudley Rd, New Brunswick, NJ 08901 USA</t>
  </si>
  <si>
    <t>Schofield, O (corresponding author), Rutgers State Univ, Dept Marine &amp; Coastal Sci, Sch Environm &amp; Biol Sci, 71 Dudley Rd, New Brunswick, NJ 08901 USA.</t>
  </si>
  <si>
    <t>oscar@marine.rutgers.edu</t>
  </si>
  <si>
    <t>Waite, Nicole/0000-0002-1107-4959</t>
  </si>
  <si>
    <t>LTER Program of the US National Science Foundation [ANT-0823101]; Office of Polar Programs, NSF Grants [OPP-9011927, OPP-9632763, OPP-0217282]; NASA [NNX14AL86G]; NASA [NNX14AL86G, 679094] Funding Source: Federal RePORTER</t>
  </si>
  <si>
    <t>LTER Program of the US National Science Foundation(National Science Foundation (NSF)); Office of Polar Programs, NSF Grants; NASA(National Aeronautics &amp; Space Administration (NASA)); NASA(National Aeronautics &amp; Space Administration (NASA))</t>
  </si>
  <si>
    <t>The research was supported by the LTER Program of the US National Science Foundation (ANT-0823101). Data from the PAL-L TER data repository were supported by Office of Polar Programs, NSF Grants OPP-9011927, OPP-9632763 and OPP-0217282. We also are grateful from funding provided by NASA Award NNX14AL86G.</t>
  </si>
  <si>
    <t>WOS:000455012000225</t>
  </si>
  <si>
    <t>West, G; Swift, N</t>
  </si>
  <si>
    <t>West, Geraint; Swift, Nick</t>
  </si>
  <si>
    <t>Enhancing Ship Safety with the Navigation and Obstacle Avoidance Sonar</t>
  </si>
  <si>
    <t>Forward Looking Sonar (FLS); echosounder; Electronic Navigation Chart</t>
  </si>
  <si>
    <t>With an increasing trend for a wide range of users to navigate in unfamiliar coastal waters, the fact that these are often poorly charted can easily be overlooked; with potentially catastrophic results. In some areas these dangers are compounded by other submerged hazards such as debris or ice. In particular, cruise ships and large 'super' yachts are frequently now operating in areas that have previously only been used by those with local knowledge, such as fishermen. The accessibility of good Global Navigation Satellite Systems (GNSS) and Dynamic Positioning (DP) underpins this basic trend, while the demand for ever more exotic leisure destinations such as the Arctic and Antarctic have accentuated this. As a consequence, many of these users have a need for real-time situational awareness of the submerged environment in order to safely operate in these areas. While the development of sonar technologies, including spread spectrum, have significantly increased the availability of high quality forward looking sonar imagery ahead of the vessel, assimilation of this into the modern integrated bridge is critical to enabling optimal use of these systems. Indeed just as the modern mariner expects their radar to complement other bridge systems such as the Electronic Chart Display and Information System (ECDIS), so sonar also needs to do so. Sonardyne has developed the Navigation and Obstacle Avoidance Sonar (NOAS) these needs in mind, using the latest Digital Signal Processing techniques including beamforming, line extraction and refraction compensation. While modern acoustic technology is central to NOAS, it has been designed in close collaboration with master mariners to ensure that it provides a capability that enhances ship safety: Consequently, simplicity of operation, as well as clear and intuitive displays at its heart, including a number of features such as a 3-Dimensional view of the ship in relation to the seabed and other detected submerged hazards overlaid in real-time on an Electronic Nautical Chart backdrop. The ability to configure alerts to warn of potential hazards and retention of sonar imagery even when these are outside the sonar's instantaneous field of view, are also important in providing full situational awareness of the seabed when maneuvering. This paper outlines how user needs have driven the design of NOAS has been designed and examples of its operational use.</t>
  </si>
  <si>
    <t>[West, Geraint; Swift, Nick] Sonardyne Int Ltd, Yateley, England</t>
  </si>
  <si>
    <t>West, G (corresponding author), Sonardyne Int Ltd, Yateley, England.</t>
  </si>
  <si>
    <t>geraint.west@sonardyne.com; nick.swift@sonardyne.com</t>
  </si>
  <si>
    <t>WOS:000455012000275</t>
  </si>
  <si>
    <t>Williams, AJ; Thiel, TE; Polzin, KL</t>
  </si>
  <si>
    <t>Williams, Albert J.; Thiel, Timothy E.; Polzin, Kurt L.</t>
  </si>
  <si>
    <t>Multiprocessor Current Meter for Deep Ocean Mixing Studies</t>
  </si>
  <si>
    <t>Current meter; turbulence sensor; multiprocessor sensor; mixing of Antarctic Bottom Water; meridional heat flux</t>
  </si>
  <si>
    <t>An enhanced current meter was deployed in the Antarctic in March, 2017, to measure vertical heat flux in the deep ocean. The purpose of this measurement of flux is to understand how mixing of dense Weddell Sea Bottom Water becomes Antarctic Bottom Water (AABW), the densest water of the Atlantic Ocean outside of trenches. Deep mixing is one of the problems that is not yet well understood despite its importance. The enhancement of the current meter included an absolute travel-time measurement for determining temperature fluctuations to correlate with vertical velocity fluctuations. While this measured the two fluctuations at the same time and in the same volume, the temperature resolution, 0.04C, may not be sensitive enough to capture the vertical heat flux so an external temperature probe, an RBR fast micro-scale thermistor, was added to provide 0.1mC resolution at 16 Hz for inclusion in the current meter data record. Capturing the 16 Hz data from the RBR became a problem that was solved by the addition of a microprocessor interface. Twelve of the 16 measurements were captured every second for inclusion with the velocity and absolute travel-time measurements logged every 0.30s.</t>
  </si>
  <si>
    <t>[Williams, Albert J.; Polzin, Kurt L.] Woods Hole Oceanog Inst, 96 Water St MS 12, Woods Hole, MA 02543 USA; [Thiel, Timothy E.] Thiel Engn, POB 568, Woods Hole, MA 02543 USA</t>
  </si>
  <si>
    <t>Williams, AJ (corresponding author), Woods Hole Oceanog Inst, 96 Water St MS 12, Woods Hole, MA 02543 USA.</t>
  </si>
  <si>
    <t>awilliams@whoi.edu; tthiel@thieleng.com</t>
  </si>
  <si>
    <t>WOS:000455012000015</t>
  </si>
  <si>
    <t>Román-González, A; Scourse, JD; Butler, PG; Reynolds, DJ; Richardson, CA; Peck, LS; Brey, T; Hall, IR</t>
  </si>
  <si>
    <t>Roman-Gonzalez, Alejandro; Scourse, James D.; Butler, Paul G.; Reynolds, David J.; Richardson, Christopher A.; Peck, Lloyd S.; Brey, Thomas; Hall, Ian R.</t>
  </si>
  <si>
    <t>Analysis of ontogenetic growth trends in two marine Antarctic bivalves Yoldia eightsi and Laternula elliptica: Implications for sclerochronology</t>
  </si>
  <si>
    <t>Yoldia eightsi; Laternula elliptica; Endogenous rhythm; Southern Ocean; Sclerochronology; Shell growth</t>
  </si>
  <si>
    <t>SIGNY ISLAND; GYNAEPHORA-GROENLANDICA; ENVIRONMENTAL-CHANGE; SHELL GROWTH; POPULATION; CLAM; VARIABILITY; CHRONOLOGY; ARCHIVE</t>
  </si>
  <si>
    <t>There is an increasing use of marine species as palaeoclimate recorders for the marine realm. These archives provide novel baseline records of past oceanographic variability in regions devoid of instrumental observations. Here we report results of a study of the ontogenetic growth pattern of two Antarctic marine bivalve molluscs: Yoldia eightsi and Laternula elliptica from West Antarctic Peninsula populations using negative exponential detrending technique and multi-taper method spectral analysis. Our data show that the growth of both Y. eightsi and L. elliptica follows a general negative exponential trend over their longevity. However, our analyses also identified an innate 9.06 year periodic endogenous growth rhythm in the growth increment pattern of Y. eightsi and two innate periodic growth rhythms, 5 and 6.6 year period, were found in L. elliptica. We hypothesize that the Y. eightsi endogenous growth rhythm may be related to the reallocation of energetic resources between somatic growth and gametogenesis although more biological data are required to test this hypothesis. Further work into L elliptica biology is required to understand the possible meaning of the innate growth rhythms found for this species. The identification of growth rhythms is important not only for their biological significance but also in sclerochronological analysis because of their importance in developing palaeoenvironmental reconstructions. (C) 2016 The Authors. Published by Elsevier B.V.</t>
  </si>
  <si>
    <t>[Roman-Gonzalez, Alejandro; Reynolds, David J.; Hall, Ian R.] Cardiff Univ, Sch Earth &amp; Ocean Sci, Pk Pl, Cardiff CF10 3AT, S Glam, Wales; [Roman-Gonzalez, Alejandro; Scourse, James D.; Butler, Paul G.; Richardson, Christopher A.] Bangor Univ, SOS, Askew St, Isle Of Anglesey LL59 5AB, Wales; [Peck, Lloyd S.] BAS, Mandingley Rd, Cambridge CB3 0ET, England; [Brey, Thomas] AWI, D-27515 Bremerhaven, Germany</t>
  </si>
  <si>
    <t>Cardiff University; Bangor University; UK Research &amp; Innovation (UKRI); Natural Environment Research Council (NERC); NERC British Antarctic Survey; Helmholtz Association; Alfred Wegener Institute, Helmholtz Centre for Polar &amp; Marine Research</t>
  </si>
  <si>
    <t>Román-González, A (corresponding author), Cardiff Univ, Sch Earth &amp; Ocean Sci, Pk Pl, Cardiff CF10 3AT, S Glam, Wales.</t>
  </si>
  <si>
    <t>Roman-GonzalezA@cardiff.ac.uk</t>
  </si>
  <si>
    <t>Butler, Paul/D-1905-2012; Hall, Ian/C-2755-2009</t>
  </si>
  <si>
    <t>Butler, Paul/0000-0002-9924-0316; Roman Gonzalez, Alejandro/0000-0002-0801-3768; Brey, Thomas/0000-0002-6345-2851; Hall, Ian/0000-0001-6960-1419</t>
  </si>
  <si>
    <t>President's Research Scholarships from Cardiff University; Natural Environment Research Council [NE/N002733/1, NE/N001176/1, bas0100036, NE/P003087/1] Funding Source: researchfish; NERC [NE/N002733/1, bas0100036, NE/N001176/1, NE/P003087/1] Funding Source: UKRI</t>
  </si>
  <si>
    <t>President's Research Scholarships from Cardiff University; Natural Environment Research Council(UK Research &amp; Innovation (UKRI)Natural Environment Research Council (NERC)); NERC(UK Research &amp; Innovation (UKRI)Natural Environment Research Council (NERC))</t>
  </si>
  <si>
    <t>We want to give our most sincere thanks to the BAS scuba divers who collected the Y. eightsi specimens. I also want to thank the President's Research Scholarships from Cardiff University for funding this research. We also want to express our gratitude to Prof. Mike Bentley from Durham University, who highlighted the scientific interest of Y. eightsi for climate research. Last but not least we want to thank Dr. Alan Wanamaker Jr. from Iowa State University and an anonymous reviewer who contributed to improve the quality of the paper significantly with their comments and suggestions.</t>
  </si>
  <si>
    <t>10.1016/j.palaeo.2016.05.004</t>
  </si>
  <si>
    <t>EF7GV</t>
  </si>
  <si>
    <t>Green Submitted, Green Accepted, Green Published, hybrid</t>
  </si>
  <si>
    <t>WOS:000390499000002</t>
  </si>
  <si>
    <t>Menviel, L; Yu, J; Joos, F; Mouchet, A; Meissner, KJ; England, MH</t>
  </si>
  <si>
    <t>Menviel, L.; Yu, J.; Joos, F.; Mouchet, A.; Meissner, K. J.; England, M. H.</t>
  </si>
  <si>
    <t>Poorly ventilated deep ocean at the Last Glacial Maximum inferred from carbon isotopes: A data-model comparison study</t>
  </si>
  <si>
    <t>PALEOCEANOGRAPHY</t>
  </si>
  <si>
    <t>WESTERN NORTH-ATLANTIC; ATMOSPHERIC CO2; OVERTURNING CIRCULATION; SOUTHERN-OCEAN; RADIOCARBON CONSTRAINTS; TERRESTRIAL BIOSPHERE; FORAMINIFERAL CARBON; WATER FORMATION; PACIFIC; DELTA-C-13</t>
  </si>
  <si>
    <t>Atmospheric CO2 was similar to 90 ppmv lower at the Last Glacial Maximum (LGM) compared to the late Holocene, but the mechanisms responsible for this change remain elusive. Here we employ a carbon isotope-enabled Earth System Model to investigate the role of ocean circulation in setting the LGM oceanic delta C-13 distribution, thereby improving our understanding of glacial/interglacial atmospheric CO2 variations. We find that the mean ocean delta C-13 change can be explained by a 378 +/- 88 Gt C (2 sigma) smaller LGM terrestrial carbon reservoir compared to the Holocene. Critically, in this model, differences in the oceanic delta C-13 spatial pattern can only be reconciled with a LGM ocean circulation state characterized by a weak (10-15 Sv) and relatively shallow (2000-2500 m) North Atlantic Deep Water cell, reduced Antarctic Bottom Water transport (&lt;= 10 Sv globally integrated), and relatively weak (6-8 Sv) and shallow (1000-1500 m) North Pacific Intermediate Water formation. This oceanic circulation state is corroborated by results from the isotope-enabled Bern3D ocean model and further confirmed by high LGM ventilation ages in the deep ocean, particularly in the deep South Atlantic and South Pacific. This suggests a poorly ventilated glacial deep ocean which would have facilitated the sequestration of carbon lost from the terrestrial biosphere and atmosphere.</t>
  </si>
  <si>
    <t>[Menviel, L.; Meissner, K. J.; England, M. H.] Univ New South Wales, Climate Change Res Ctr, Sydney, NSW, Australia; [Menviel, L.; Meissner, K. J.; England, M. H.] ARC Ctr Excellence Climate Syst Sci, Sydney, NSW, Australia; [Yu, J.] Australian Natl Univ, Res Sch Earth Sci, Canberra, ACT, Australia; [Joos, F.] Univ Bern, Inst Phys, Climate &amp; Environm Phys, Bern, Switzerland; [Joos, F.] Univ Bern, Oeschger Ctr Climate Change Res, Bern, Switzerland; [Mouchet, A.] Univ Liege, Astrophys Geophys &amp; Oceanog Dept, Liege, Belgium; [Mouchet, A.] IPSL CEA CNRS UVSQ, Lab Sci Climat &amp; Environm, Gif Sur Yvette, France; [Mouchet, A.] Max Planck Inst Meteorol, Hamburg, Germany</t>
  </si>
  <si>
    <t>University of New South Wales Sydney; ARC Centre of Excellence for Climate System Science; Australian National University; University of Bern; University of Bern; University of Liege; Universite Paris Saclay; CEA; Centre National de la Recherche Scientifique (CNRS); Max Planck Society</t>
  </si>
  <si>
    <t>Menviel, L (corresponding author), Univ New South Wales, Climate Change Res Ctr, Sydney, NSW, Australia.;Menviel, L (corresponding author), ARC Ctr Excellence Climate Syst Sci, Sydney, NSW, Australia.</t>
  </si>
  <si>
    <t>l.menviel@unsw.edu.au</t>
  </si>
  <si>
    <t>England, Matthew/A-7539-2011; Joos, Fortunat/B-4118-2018; Menviel, Laurie/O-7833-2019; Yu, Jimin/I-7770-2012; Menviel, Laurie/D-6902-2013; Mouchet, Anne/K-1911-2014</t>
  </si>
  <si>
    <t>England, Matthew/0000-0001-9696-2930; Joos, Fortunat/0000-0002-9483-6030; Yu, Jimin/0000-0002-3896-1777; Menviel, Laurie/0000-0002-5068-1591; Meissner, Katrin/0000-0002-0716-7415; Mouchet, Anne/0000-0002-8846-3063</t>
  </si>
  <si>
    <t>Australian Research Council [DE150100107, FL100100214, FT140100993, DP140101393]; UNSW Faculty of Science Silverstar award; Swiss National Science Foundation; Australian Research Council [FL100100214, FT140100993, DE150100107] Funding Source: Australian Research Council</t>
  </si>
  <si>
    <t>Australian Research Council(Australian Research Council); UNSW Faculty of Science Silverstar award; Swiss National Science Foundation(Swiss National Science Foundation (SNSF)); Australian Research Council(Australian Research Council)</t>
  </si>
  <si>
    <t>We thank the Editor Ellen Thomas as well as two anonymous reviewers for their helpful comments. This project was supported by the Australian Research Council. L. Menviel, and M. England acknowledge funding from the Australian Research Council grants DE150100107 and FL100100214, respectively. J. Yu acknowledges funding from the Australian Research Council grants FT140100993, DP140101393, K. Meissner acknowledges support from a UNSW Faculty of Science Silverstar award. F.J. acknowledges funding by the Swiss National Science Foundation. LOVECLIM experiments were performed on a computational cluster owned by the Faculty of Science of the University of New South Wales, Sydney, Australia. Bern3D experiments were performed on a computational cluster owned by the Department of Environmental Physics of the University of Bern, Switzerland. Results of the modeling experiments are available at http://dx.doi.org/10.4225/41/58192cb8bff06 and under LGMc13 at http://climate-cms.unsw.wikispaces.net/ARCCSS+published+datasets.</t>
  </si>
  <si>
    <t>0883-8305</t>
  </si>
  <si>
    <t>1944-9186</t>
  </si>
  <si>
    <t>Paleoceanography</t>
  </si>
  <si>
    <t>10.1002/2016PA003024</t>
  </si>
  <si>
    <t>Geosciences, Multidisciplinary; Oceanography; Paleontology</t>
  </si>
  <si>
    <t>Geology; Oceanography; Paleontology</t>
  </si>
  <si>
    <t>EM0DP</t>
  </si>
  <si>
    <t>Bronze, Green Published</t>
  </si>
  <si>
    <t>WOS:000394989300001</t>
  </si>
  <si>
    <t>Salawitch, RJ; Bennett, BF; Hope, AP; Tribett, WR; Canty, TP</t>
  </si>
  <si>
    <t>Salawitch, RJ; Canty, TP; Hope, AP; Tribett, WR; Bennett, BF</t>
  </si>
  <si>
    <t>Salawitch, Ross J.; Bennett, Brian F.; Hope, Austin P.; Tribett, Walter R.; Canty, Timothy P.</t>
  </si>
  <si>
    <t>Earth's Climate System</t>
  </si>
  <si>
    <t>PARIS CLIMATE AGREEMENT: BEACON OF HOPE</t>
  </si>
  <si>
    <t>Springer Climate</t>
  </si>
  <si>
    <t>Paleoclimate; Anthropocene; Global warming; Greenhouse gases; Radiative forcing</t>
  </si>
  <si>
    <t>VOSTOK ICE CORE; NORTHERN-HEMISPHERE TEMPERATURES; ATMOSPHERIC CARBON-DIOXIDE; PARTICULATE AIR-POLLUTION; ANTARCTIC TEMPERATURE; ISOTOPIC COMPOSITION; CO2; EMISSIONS; EVOLUTION; OCEAN</t>
  </si>
  <si>
    <t>This chapter provides an overview of the factors that influence Earth's climate. The relation between reconstructions of global mean surface temperature and estimates of atmospheric carbon dioxide (CO2) over the past 500 million years is first described. Vast variations in climate on geologic time scales, driven by natural fluctuations of CO2, are readily apparent. We then shift attention to the time period 1765 to present, known as the Anthropocene, during which human activity has strongly influenced atmospheric CO2, other greenhouse gases (GHGs), and Earth's climate. Two mathematical concepts essential for quantitative understanding of climate change, radiative forcing and global warming potential, are described. Next, fingerprints of the impact of human activity on rising temperature and the abundance of various GHGs over the course of the Anthropocene are presented. We conclude by showing Earth is in the midst of a remarkable transformation. In the past, radiative forcing of climate represented a balance between warming due to rising GHGs and cooling due to the presence of suspended particles (aerosols) in the troposphere. There presently exists considerable uncertainty in the actual magnitude of radiative forcing of climate due to tropospheric aerosols, which has important consequences for our understanding of the climate system. In the future, climate will be driven mainly by GHG warming because aerosol precursors are being effectively removed from pollution sources, due to air quality legislation enacted in response to public health concerns.</t>
  </si>
  <si>
    <t>[Salawitch, Ross J.; Bennett, Brian F.; Hope, Austin P.; Tribett, Walter R.; Canty, Timothy P.] Univ Maryland, Dept Atmospher &amp; Ocean Sci, College Pk, MD 20742 USA; [Salawitch, Ross J.] Univ Maryland, Dept Chem &amp; Biochem, College Pk, MD 20742 USA; [Salawitch, Ross J.] Univ Maryland, Earth Syst Sci Interdisciplinary Ctr, College Pk, MD 20742 USA</t>
  </si>
  <si>
    <t>University System of Maryland; University of Maryland College Park; University System of Maryland; University of Maryland College Park; University System of Maryland; University of Maryland College Park</t>
  </si>
  <si>
    <t>Salawitch, RJ (corresponding author), Univ Maryland, Dept Atmospher &amp; Ocean Sci, College Pk, MD 20742 USA.;Salawitch, RJ (corresponding author), Univ Maryland, Dept Chem &amp; Biochem, College Pk, MD 20742 USA.;Salawitch, RJ (corresponding author), Univ Maryland, Earth Syst Sci Interdisciplinary Ctr, College Pk, MD 20742 USA.</t>
  </si>
  <si>
    <t>Salawitch, Ross/B-4605-2009; Canty, Tim/F-2631-2010</t>
  </si>
  <si>
    <t>Canty, Tim/0000-0003-0618-056X; Salawitch, Ross/0000-0001-8597-5832; Hope, Austin/0000-0002-4320-5837</t>
  </si>
  <si>
    <t>2352-0698</t>
  </si>
  <si>
    <t>2352-0701</t>
  </si>
  <si>
    <t>978-3-319-46939-3; 978-3-319-46938-6</t>
  </si>
  <si>
    <t>SPRINGER CLIMATE</t>
  </si>
  <si>
    <t>10.1007/978-3-319-46939-3_1</t>
  </si>
  <si>
    <t>10.1007/978-3-319-46939-3</t>
  </si>
  <si>
    <t>Environmental Studies; International Relations; Meteorology &amp; Atmospheric Sciences</t>
  </si>
  <si>
    <t>Environmental Sciences &amp; Ecology; International Relations; Meteorology &amp; Atmospheric Sciences</t>
  </si>
  <si>
    <t>BK9YD</t>
  </si>
  <si>
    <t>WOS:000445175800002</t>
  </si>
  <si>
    <t>Sun, B; Dennis, PG; Newsham, KK; Hopkins, DW; Hallett, PD</t>
  </si>
  <si>
    <t>Sun, Benhua; Dennis, Paul G.; Newsham, Kevin K.; Hopkins, David W.; Hallett, Paul D.</t>
  </si>
  <si>
    <t>Gelifluction and Thixotropy of Maritime Antarctic Soils: Small-Scale Measurements with a Rotational Rheometer</t>
  </si>
  <si>
    <t>PERMAFROST AND PERIGLACIAL PROCESSES</t>
  </si>
  <si>
    <t>soil; maritime Antarctic; gelifluction; thixotropy; yield stress; rotational rheometer</t>
  </si>
  <si>
    <t>PERIGLACIAL SOLIFLUCTION; LABORATORY SIMULATION; VISCOUS-FLOW; WET SOILS; TEMPERATURE; NORTHERN; CREEP; MOUNTAINS; IMPACT; MODEL</t>
  </si>
  <si>
    <t>Gelifluction, thixotropy and yield stress were measured from &lt; 5 g soil samples taken from Signy, Alectoria, Greenwich, Wiencke and Livingston islands in the maritime Antarctic using a temperature-controlled rotational rheometer. The small sample size that this method permitted is compatible with sampling from sensitive sample locations. An oscillating 10 Pa shear stress was applied to samples at -0.5 kPa water potential. Two freeze-thaw cycles had temperature ramps from 5 degrees C to -10 degrees C over 2 h, followed by -10 degrees C to 5 degrees C over 2 h and finally at 5 degrees C for 1 h. At freezing onset, the shear modulus, G, dropped to 4-50 per cent of thawed G, with no differences between locations. At thawing onset, G dropped to 8-32 per cent of thawed G, with significant differences between locations (P &lt; 0.001). Thixotropy was then measured by applying a 2 kPa oscillating shear stress for 10 min, followed by relaxation at 10 Pa for 2 h. The increased shear stress caused G to drop to less than 8 per cent of the pre-stressed value, with no difference between locations. After 0.1 and 2 h, G was 18-65 per cent and 31-82 per cent of the pre-stressed value, respectively. A shear ramp determined yield stresses ranging from 494-2217 Pa. These findings demonstrate the potential risk of more frequent freeze-thaw cycles or the occurrence of thawed soil to the stability of polar soils. Gelifluction through more frequent freeze-thaw cycles could result in increased slope movement, whereas thixotropy caused by trampling of thawed soils could exacerbate mechanical damage of surface soils. Copyright (c) 2016 John Wiley &amp; Sons, Ltd.</t>
  </si>
  <si>
    <t>[Sun, Benhua] Northwest A&amp;F Univ, Coll Nat Resources &amp; Environm, Yangling, Shaanxi, Peoples R China; [Dennis, Paul G.] Univ Queensland, Sch Agr &amp; Food Sci, St Lucia, Qld, Australia; [Newsham, Kevin K.] British Antarctic Survey, Nat Environm Res Council, Cambridge, England; [Newsham, Kevin K.] Univ Ctr Svalbard, Dept Arctic Biol, Longyearbyen, Svalbard, Norway; [Hopkins, David W.] Royal Agr Univ, Cirencester, England; [Hallett, Paul D.] Univ Aberdeen, Inst Biol &amp; Environm Sci, Cruickshank Bldg,St Machar Dr, Aberdeen AB24 3UU, Scotland</t>
  </si>
  <si>
    <t>Northwest A&amp;F University - China; University of Queensland; UK Research &amp; Innovation (UKRI); Natural Environment Research Council (NERC); NERC British Antarctic Survey; University Centre Svalbard (UNIS); University of Aberdeen</t>
  </si>
  <si>
    <t>Hallett, PD (corresponding author), Univ Aberdeen, Inst Biol &amp; Environm Sci, Cruickshank Bldg,St Machar Dr, Aberdeen AB24 3UU, Scotland.</t>
  </si>
  <si>
    <t>paul.hallett@abdn.ac.uk</t>
  </si>
  <si>
    <t>Dennis, Paul G/H-2141-2017; Hallett, Paul/C-9233-2011</t>
  </si>
  <si>
    <t>Hallett, Paul/0000-0001-7542-7832; Sun, Benhua/0000-0001-8490-3642</t>
  </si>
  <si>
    <t>UK Natural Environment Research Council through the Antarctic Funding Initiative [AFI 7/05, NE/D00893X/1]; China Scholarship Council, 111 Project [12007]; NERC [bas0100036] Funding Source: UKRI; Natural Environment Research Council [bas0100036] Funding Source: researchfish</t>
  </si>
  <si>
    <t>UK Natural Environment Research Council through the Antarctic Funding Initiative; China Scholarship Council, 111 Project; NERC(UK Research &amp; Innovation (UKRI)Natural Environment Research Council (NERC)); Natural Environment Research Council(UK Research &amp; Innovation (UKRI)Natural Environment Research Council (NERC))</t>
  </si>
  <si>
    <t>Funding was supplied by the UK Natural Environment Research Council through the Antarctic Funding Initiative (AFI 7/05; NE/D00893X/1). Logistical support was provided by the British Antarctic Survey's Operations Group and the Royal Navy (HMS Endurance). We thank Peter Fretwell of the British Antarctic Survey for drawing Figure 1. We are grateful to the China Scholarship Council which supported Dr Benhua Sun through a Special Western Project, for support from 111 Project No. 12007. The work was carried out at the Scottish Crop Research Institute, which received funding from the Scottish Government.</t>
  </si>
  <si>
    <t>1045-6740</t>
  </si>
  <si>
    <t>1099-1530</t>
  </si>
  <si>
    <t>PERMAFROST PERIGLAC</t>
  </si>
  <si>
    <t>Permafrost Periglacial Process.</t>
  </si>
  <si>
    <t>10.1002/ppp.1886</t>
  </si>
  <si>
    <t>EL2DI</t>
  </si>
  <si>
    <t>WOS:000394429900026</t>
  </si>
  <si>
    <t>Gregory, S; Collins, MA; Belchier, M</t>
  </si>
  <si>
    <t>Gregory, Susan; Collins, Martin A.; Belchier, Mark</t>
  </si>
  <si>
    <t>Demersal fish communities of the shelf and slope of South Georgia and Shag Rocks (Southern Ocean)</t>
  </si>
  <si>
    <t>South Georgia; Fish; Demersal; Slope; Community; Distribution</t>
  </si>
  <si>
    <t>TOOTHFISH DISSOSTICHUS-ELEGINOIDES; PORCUPINE SEABIGHT; ATLANTIC-OCEAN; DIVERSITY; ABUNDANCE; ECOLOGY; BIOLOGY; SIZE; POPULATIONS; GRENADIER</t>
  </si>
  <si>
    <t>This research is the first to investigate deepwater demersal fish distribution and community structure around South Georgia and Shag Rocks. Analysis of catch data from a trawl survey conducted in 2003 indicated that depth and location have a marked influence over demersal fish community structure in the region. Three distinct, depth-stratified fish assemblages were observed. The demersal fish assemblage found on the shelf to depths of around 400 m was dominated by nototheniids and was comprised largely of species endemic to the Southern Ocean and Scotia Sea. At the greatest depths sampled (&gt; 600 m) the demersal fish community was dominated by gadiform fishes including members of the Macrouridae and Moridae, many of which are not endemic to the Southern Ocean. From 400 to 600 m there was a transitional zone with demersal fish representatives of both the shelf and deeper slope communities. Clear geographic differences in the shelf community were apparent with differences observed in community structure between South Georgia and Shag Rocks to depths of around 400 m. These data provide valuable baseline information to aid environmental management decisions and assess potential impacts of rapid ocean warming around South Georgia.</t>
  </si>
  <si>
    <t>[Gregory, Susan; Belchier, Mark] British Antarctic Survey, NERC, High Cross, Cambridge CB3 0ET, England; [Collins, Martin A.] Govt South Georgia &amp; South Sandwich Islands, Govt House, Stanley FIQQ 1ZZ, Falkland Island</t>
  </si>
  <si>
    <t>Gregory, S (corresponding author), British Antarctic Survey, NERC, High Cross, Cambridge CB3 0ET, England.</t>
  </si>
  <si>
    <t>sgreg@bas.ac.uk</t>
  </si>
  <si>
    <t>, Martin/ABE-6728-2020; Collins, Martin A/J-8560-2017</t>
  </si>
  <si>
    <t>, Martin/0000-0001-7132-8650;</t>
  </si>
  <si>
    <t>Government of South Georgia; South Sandwich Islands; Natural Environment Research Council [bas0100035] Funding Source: researchfish; NERC [bas0100035] Funding Source: UKRI</t>
  </si>
  <si>
    <t>Government of South Georgia; South Sandwich Islands; Natural Environment Research Council(UK Research &amp; Innovation (UKRI)Natural Environment Research Council (NERC)); NERC(UK Research &amp; Innovation (UKRI)Natural Environment Research Council (NERC))</t>
  </si>
  <si>
    <t>We would like to extend thanks to the captain and crew of the Fisheries Patrol/Research Vessel Dorada, and scientists from the British Antarctic Survey, Marine Resources Assessment Group and Aberdeen University who undertook the survey, and to Dr. Mark Jessopp for his advice on statistical tests. Sample processing was carried out at the King Edward Point Applied Fisheries Laboratory, South Georgia, and the research was funded by the Government of South Georgia and the South Sandwich Islands. We are grateful to three anonymous reviewers for their constructive comments on earlier versions of this manuscript.</t>
  </si>
  <si>
    <t>10.1007/s00300-016-1929-7</t>
  </si>
  <si>
    <t>WOS:000391401900009</t>
  </si>
  <si>
    <t>Krüger, L; Paiva, VH; Petry, MV; Ramos, JA</t>
  </si>
  <si>
    <t>Kruger, Lucas; Paiva, Vitor H.; Petry, Maria V.; Ramos, Jaime A.</t>
  </si>
  <si>
    <t>Strange lights in the night: using abnormal peaks of light in geolocator data to infer interaction of seabirds with nocturnal fishing vessels</t>
  </si>
  <si>
    <t>Antarctica; Light sensor data; Remote sensing; Seabird ecology; Spatial ecology; Squid fisheries</t>
  </si>
  <si>
    <t>GIANT PETRELS MACRONECTES; PELAGIC LONGLINE FISHERY; STABLE-ISOTOPES; GPS-TRACKING; HABITAT USE; ALBATROSSES; MORTALITY; OVERLAP; BYCATCH; PATAGONIA</t>
  </si>
  <si>
    <t>Many seabird species forage at night and potentially interact with nocturnal fishing activities. Jigging fisheries use powerful lights to attract squid, and such high intensity lights can be recorded using global location-sensing loggers (geolocators) attached to seabirds. We use this potential source of information as evidence for interaction of southern giant petrels Macronectes giganteus with night fisheries during the non-breeding season. We compared the number of light spikes at night between sexes and evaluated whether the intensity of the light on those geolocator records matched periods of water immersion (wet-dry) of geolocators, as a measure of foraging activity. Females had more night light spikes than males, and although the activity on water was higher during nights with light spikes than nights without light spikes for both sexes, females had a higher probability to be resting on the water when peaks of light were higher. Females moved further north than males and used areas of higher squid fishery activities within Patagonian waters. This type of information is useful to record potential interactions with night fisheries and proposes that future studies should relate the accurate distribution of individuals (from GPS loggers) with light information (geolocators data) to highlight this undocumented interaction. Southern giant petrels are recognized as interacting intensively with fisheries off Patagonia waters with consequences for population dynamics (e.g. mortality through bycatch events).</t>
  </si>
  <si>
    <t>[Kruger, Lucas; Paiva, Vitor H.; Ramos, Jaime A.] Univ Coimbra, Dept Life Sci, MARE Marine &amp; Environm Sci Ctr, Coimbra, Portugal; [Petry, Maria V.] Univ Vale Rio dos Sinos, Lab Ornitol &amp; Animais Marinhos, Sao Leopoldo, Brazil; [Kruger, Lucas; Petry, Maria V.] Inst Nacl Ciencia &amp; Tecnol Antart Pesquisas Ambie, Rio De Janeiro, Brazil</t>
  </si>
  <si>
    <t>Universidade de Coimbra; Universidade do Vale do Rio dos Sinos (Unisinos)</t>
  </si>
  <si>
    <t>Krüger, L (corresponding author), Univ Coimbra, Dept Life Sci, MARE Marine &amp; Environm Sci Ctr, Coimbra, Portugal.;Krüger, L (corresponding author), Inst Nacl Ciencia &amp; Tecnol Antart Pesquisas Ambie, Rio De Janeiro, Brazil.</t>
  </si>
  <si>
    <t>biokruger@gmail.com</t>
  </si>
  <si>
    <t>Krüger, Lucas/O-8912-2015; Ramos, Jaime A./B-6616-2018; Paiva, Vitor Hugo/GRX-9179-2022; Petry, Maria Virginia/AAG-5333-2021; Paiva, Vitor H./J-1092-2019; petry, maria/K-8410-2013</t>
  </si>
  <si>
    <t>Krüger, Lucas/0000-0003-4637-5302; Ramos, Jaime A./0000-0002-9533-987X; Paiva, Vitor H./0000-0001-6368-9579; petry, maria/0000-0002-7870-7394</t>
  </si>
  <si>
    <t>National Council of Technological and Scientific Development CNPq [245540/2012-1]; Fundacao para a Ciencia e Tecnologia [SFRH/BPD/85024/2012]; Brazilian Navy; National Institute of Science and Technology Antarctic Environmental Research (INCT-APA); National Council for Research and Development (CNPq) [574018/2008-5]; Carlos Chagas Research Support Foundation of the State of Rio de Janeiro (FAPERJ) [E-16/170.023/2008]; Brazilian Ministry of Science, Technology and Innovation (MCTI); Brazilian Ministry of Environment (MMA); Brazilian Ministry of Inter-Ministry Commission for Sea Resources (CIRM); FCT [MARE-UID/MAR/04292/2013]</t>
  </si>
  <si>
    <t>National Council of Technological and Scientific Development CNPq(Conselho Nacional de Desenvolvimento Cientifico e Tecnologico (CNPQ)); Fundacao para a Ciencia e Tecnologia(Fundacao para a Ciencia e a Tecnologia (FCT)); Brazilian Navy; National Institute of Science and Technology Antarctic Environmental Research (INCT-APA);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Ministry of Science, Technology and Innovation (MCTI); Brazilian Ministry of Environment (MMA); Brazilian Ministry of Inter-Ministry Commission for Sea Resources (CIRM); FCT(Fundacao para a Ciencia e a Tecnologia (FCT))</t>
  </si>
  <si>
    <t>LK acknowledges the National Council of Technological and Scientific Development CNPq for his Ph.D. scholarship (Programa Ciencia sem Fronteiras processo 245540/2012-1). VHP acknowledges the postdoctoral grant given by 'Fundacao para a Ciencia e Tecnologia' (SFRH/BPD/85024/2012). We acknowledge the Brazilian Navy for field research support in Antarctica. The project received funding from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No. E-16/170.023/2008). The authors also acknowledge the support of the Brazilian Ministries of Science, Technology and Innovation (MCTI), of Environment (MMA) and Inter-Ministry Commission for Sea Resources (CIRM). This study benefited from the strategic program of MARE, financed by FCT (MARE-UID/MAR/04292/2013). LK thanks Julia Finger, Elisa Petersen and colleagues for field work support. Authors acknowledge Naomi Tremble for English review.</t>
  </si>
  <si>
    <t>10.1007/s00300-016-1933-y</t>
  </si>
  <si>
    <t>WOS:000391401900018</t>
  </si>
  <si>
    <t>Waller, CL; Overall, A; Fitzcharles, EM; Griffiths, H</t>
  </si>
  <si>
    <t>Waller, Catherine L.; Overall, Andy; Fitzcharles, Elaine M.; Griffiths, Huw</t>
  </si>
  <si>
    <t>First report of Laternula elliptica in the Antarctic intertidal zone</t>
  </si>
  <si>
    <t>Ecophysiology; Temperature; Stenothermal; Climate change; Bivalve</t>
  </si>
  <si>
    <t>TEMPERATURE; BIVALVE; LIMITS</t>
  </si>
  <si>
    <t>Many Antarctic marine invertebrates are considered to be highly stenothermal, subjected to loss of functionality at increased temperatures and so at high risk of mortality in a rapidly warming environment. The bivalve Laternula elliptica is often used as a model taxon to test these theories. Here, we report the first instance L. elliptica from an intertidal site. Genetic analysis of the tissue confirms the species identity. A total of seven animals ranging in length from 6 to 85 mm were collected from 3 x 0.25 m(2) quadrats of intertidal sediments at St Martha Cove on James Ross Island, Eastern Antarctic Peninsula. Ambient temperatures of 7.5 A degrees C within the sediment and 10 A degrees C (air) were recorded. This raises questions as to the current perception that many Antarctic marine invertebrates cannot adapt to higher temperatures.</t>
  </si>
  <si>
    <t>[Waller, Catherine L.] Univ Hull, Ctr Marine &amp; Environm Sci, Filey Rd, Scarborough YO11 3AZ, England; [Overall, Andy] Univ Brighton, Sch Pharm &amp; Biomol Sci, Brighton BN2 4GJ, E Sussex, England; [Fitzcharles, Elaine M.; Griffiths, Huw] British Antarctic Survey, Cambridge CB3 0ET, England</t>
  </si>
  <si>
    <t>University of Hull; University of Brighton; UK Research &amp; Innovation (UKRI); Natural Environment Research Council (NERC); NERC British Antarctic Survey</t>
  </si>
  <si>
    <t>Waller, CL (corresponding author), Univ Hull, Ctr Marine &amp; Environm Sci, Filey Rd, Scarborough YO11 3AZ, England.</t>
  </si>
  <si>
    <t>c.l.waller@hull.ac.uk</t>
  </si>
  <si>
    <t>Griffiths, Huw J/D-4234-2009</t>
  </si>
  <si>
    <t>Griffiths, Huw J/0000-0003-1764-223X; Waller, Catherine L/0000-0002-0836-3223</t>
  </si>
  <si>
    <t>Natural Environment Research Council [bas0100036] Funding Source: researchfish; NERC [bas0100036] Funding Source: UKRI</t>
  </si>
  <si>
    <t>Natural Environment Research Council(UK Research &amp; Innovation (UKRI)Natural Environment Research Council (NERC)); NERC(UK Research &amp; Innovation (UKRI)Natural Environment Research Council (NERC))</t>
  </si>
  <si>
    <t>10.1007/s00300-016-1941-y</t>
  </si>
  <si>
    <t>WOS:000391401900019</t>
  </si>
  <si>
    <t>Hofman, RJ</t>
  </si>
  <si>
    <t>Hofman, Robert J.</t>
  </si>
  <si>
    <t>Sealing, whaling and krill fishing in the Southern Ocean: past and possible future effects on catch regulations</t>
  </si>
  <si>
    <t>ECOSYSTEM MANAGEMENT; MANAGING FISHERIES; MARINE ECOSYSTEM; ANTARCTIC KRILL; SCOTIA SEA; WHALES; CONSERVATION; ABUNDANCE; BIOMASS; ICE</t>
  </si>
  <si>
    <t>This paper (1) reviews the history of sealing and whaling in the Southern Ocean to illustrate how market demands combined with no or ineffective regulation of catches led to the overexploitation and near extinction of southern fur seals, southern elephant seals and all but one of the Southern Ocean populations of large whales; (2) indicates how the overexploitation and depletion of krill-eating whales led to the Krill Surplus Hypothesis, and the development of the Antarctic krill fishery and the Convention on the Conservation of Antarctic Marine Living Resources (CCAMLR); (3) points out how misinterpretation of the reference to 'rational use' in CCAMLR Article II(2), combined with consensus decision-making and the potential growth of markets for Antarctic krill, could lead to ineffective regulation of the krill fishery and adverse effects on the krill resource, on recovery of depleted populations of krill-dependent whales, and on other ecologically related species and populations; and (4) identifies reasonable actions that could be taken cooperatively by the International Whaling Commission and the CCAMLR Commission to minimise the risk that the krill fishery will prevent or impede recovery of depleted populations of krill-dependent whales.</t>
  </si>
  <si>
    <t>[Hofman, Robert J.] US Marine Mammal Commiss, 4340 East West Highway,Room 700, Bethesda, MD 20814 USA</t>
  </si>
  <si>
    <t>Hofman, RJ (corresponding author), US Marine Mammal Commiss, 4340 East West Highway,Room 700, Bethesda, MD 20814 USA.</t>
  </si>
  <si>
    <t>bhofman@mmc.gov</t>
  </si>
  <si>
    <t>10.1017/S0032247416000644</t>
  </si>
  <si>
    <t>WOS:000394588900008</t>
  </si>
  <si>
    <t>Leane, E; Philpott, C</t>
  </si>
  <si>
    <t>Leane, Elizabeth; Philpott, Carolyn</t>
  </si>
  <si>
    <t>What's wrong with 'expeditioner'?</t>
  </si>
  <si>
    <t>[Leane, Elizabeth] Univ Tasmania, Sch Humanities, Inst Marine &amp; Antarctic Studies, Private Bag 41, Hobart, Tas 7001, Australia; [Philpott, Carolyn] Univ Tasmania, Tasmanian Coll Arts Conservatorium Mus, Private Bag 63, Hobart, Tas 7001, Australia</t>
  </si>
  <si>
    <t>Leane, E (corresponding author), Univ Tasmania, Sch Humanities, Inst Marine &amp; Antarctic Studies, Private Bag 41, Hobart, Tas 7001, Australia.</t>
  </si>
  <si>
    <t>Elizabeth.Leane@utas.edu.au</t>
  </si>
  <si>
    <t>Leane, Elizabeth M/J-7138-2014</t>
  </si>
  <si>
    <t>Leane, Elizabeth/0000-0002-7954-6529; Philpott, Carolyn/0000-0002-5778-5748</t>
  </si>
  <si>
    <t>10.1017/S0032247416000772</t>
  </si>
  <si>
    <t>WOS:000394588900011</t>
  </si>
  <si>
    <t>Gordeev, II; Mikryakov, DV; Balabanova, LV; Mikryakov, VR</t>
  </si>
  <si>
    <t>Gordeev, Ilya I.; Mikryakov, Daniil V.; Balabanova, Lyudmila V.; Mikryakov, Veniamin R.</t>
  </si>
  <si>
    <t>Composition of leucocytes in peripheral blood of Patagonian toothfish (Dissostichus eleginoides, Smitt, 1898) (Nototheniidae)</t>
  </si>
  <si>
    <t>Patagonian toothfish; blood; Nototheniidae; leukocytes</t>
  </si>
  <si>
    <t>HEAD KIDNEY; FISH</t>
  </si>
  <si>
    <t>The composition of leukocytes in the Patagonian toothfish (Dissostichus eleginoides Smitt, 1898), caught in the Scotia Sea at a depth of more than 1000 m, was studied. Cells with various morphofunctional characteristics and cell structure were found. Lymphocytes were predominant, followed by, in decreasing order, eosinophils, monocytes, blast forms and neutrophils. The composition of leukocytes in the Patagonian toothfish consists of the same types of leukocytes as the earlier studied Antarctic toothfish (Dissostichus mawsoni Norman, 1937), but the percentage of white blood cells in the leukocyte formula differs between the two species.</t>
  </si>
  <si>
    <t>[Gordeev, Ilya I.] Russian Fed Res Inst Fisheries &amp; Oceanog, Lab Pacific Salmons, 17 V Krasnoselskaya Str, Moscow 107140, Russia; [Mikryakov, Daniil V.; Balabanova, Lyudmila V.; Mikryakov, Veniamin R.] Russian Acad Sci, ID Papanin Inst Biol Inland Waters, Yaroslavl Region, Russia</t>
  </si>
  <si>
    <t>Research lnstitute of Fisheries &amp; Oceanography; Russian Academy of Sciences; Papanin Institute for Biology of Inland Waters</t>
  </si>
  <si>
    <t>Gordeev, II (corresponding author), Russian Fed Res Inst Fisheries &amp; Oceanog, Lab Pacific Salmons, 17 V Krasnoselskaya Str, Moscow 107140, Russia.</t>
  </si>
  <si>
    <t>gordeev_ilya@bk.ru</t>
  </si>
  <si>
    <t>Gordeev, Ilya/F-2972-2017; Mikryakov, Veniamin/P-2273-2015</t>
  </si>
  <si>
    <t>Gordeev, Ilya/0000-0002-6650-9120; Mikryakov, Veniamin/0000-0001-9052-223X</t>
  </si>
  <si>
    <t>Russian Foundation for Basic Research [15-04-02645]</t>
  </si>
  <si>
    <t>The work was supported by the Russian Foundation for Basic Research grant no. 15-04-02645.</t>
  </si>
  <si>
    <t>OPEN ACADEMIA AB</t>
  </si>
  <si>
    <t>SPANGA</t>
  </si>
  <si>
    <t>STORMBYVAGEN 6, SPANGA, SE-163 55, SWEDEN</t>
  </si>
  <si>
    <t>POLAR RES-SWEDEN</t>
  </si>
  <si>
    <t>10.1080/17518369.2017.1374126</t>
  </si>
  <si>
    <t>FJ0NL</t>
  </si>
  <si>
    <t>WOS:000412405800001</t>
  </si>
  <si>
    <t>Principles of Thermal Ecology Temperature, Energy and Life Introduction</t>
  </si>
  <si>
    <t>WOS:000434941300002</t>
  </si>
  <si>
    <t>Principles of Thermal Ecology Temperature, Energy and Life Preface</t>
  </si>
  <si>
    <t>METABOLIC COLD ADAPTATION; ENTHALPY-ENTROPY COMPENSATION; ALLOMETRIC SCALING LAWS; AEROBIC CAPACITY MODEL; ICE-BINDING PROTEINS; ACID-BASE REGULATION; PINE ISLAND GLACIER; ANTARCTIC SEA-ICE; LONG-TERM CHANGES; INTRACELLULAR ANTIFREEZE PROTEIN</t>
  </si>
  <si>
    <t>WOS:000434941300001</t>
  </si>
  <si>
    <t>Simmons, AJ; Berrisford, P; Dee, DP; Hersbach, H; Hirahara, S; Thépaut, JN</t>
  </si>
  <si>
    <t>Simmons, A. J.; Berrisford, P.; Dee, D. P.; Hersbach, H.; Hirahara, S.; Thepaut, J. -N.</t>
  </si>
  <si>
    <t>A reassessment of temperature variations and trends from global reanalyses and monthly surface climatological datasets</t>
  </si>
  <si>
    <t>reanalysis; temperature trends; Arctic warming; El Nino; atmospheric energy</t>
  </si>
  <si>
    <t>LOW-FREQUENCY VARIABILITY; AIR; MODEL</t>
  </si>
  <si>
    <t>The ERA-Interim and JRA-55 reanalyses of synoptic data and several conventional analyses of monthly climatological data provide similar estimates of global-mean surface warming since 1979. They broadly agree on the character of interannual variability and the extremity of the 2015/2016 warm spell to which a strong El Nino and low Arctic sea-ice cover contribute. Nevertheless global and regional averages differ on various time-scales due to differences in data coverage and sea-surface temperature analyses; averages from those conventional datasets that infill where they lack direct observations agree better with the averages from the reanalyses. The latest warm event is less extreme when viewed in terms of atmospheric energy, which gives more weight to variability in the Tropics, where the thermal signal has greater vertical penetration and latent energy is a larger factor. Surface warming from 1998 to 2012 is larger than indicated by earlier versions of the conventional datasets used to characterize what the Fifth Assessment Report of the Intergovernmental Panel on Climate Change termed a hiatus in global warming. None of the datasets exhibit net warming over the Antarctic since 1979. Centennial trends from the conventional datasets, HadCRUT4 on the one hand and GISTEMP and NOAAGlobalTemp on the other, differ mainly because sea-surface temperatures differ. Infilling of values where direct observations are lacking is more questionable for the data-sparse earlier decades. Change since the eighteenth century is inevitably more uncertain than change over and after a modern baseline period. The latter is arguably best estimated separately for taking stock of actions to limit climate change, exploiting reanalyses and using satellite data to refine the conventional approach. Nevertheless, early in 2016 the global temperature appears to have first touched or briefly breached a level 1.5 degrees C above that early in the Industrial Revolution, having touched the 1.0 degrees C level in 1998 during a previous El Nino.</t>
  </si>
  <si>
    <t>[Simmons, A. J.; Berrisford, P.; Dee, D. P.; Hersbach, H.; Hirahara, S.; Thepaut, J. -N.] European Ctr Medium Range Weather Forecasts, Reading, Berks, England</t>
  </si>
  <si>
    <t>European Centre for Medium-Range Weather Forecasts (ECMWF)</t>
  </si>
  <si>
    <t>Simmons, AJ (corresponding author), ECMWF, Reading RG2 9AX, Berks, England.</t>
  </si>
  <si>
    <t>adrian.simmons@ecmwf.int</t>
  </si>
  <si>
    <t>THEPAUT, Jean-Noel/AAK-7546-2020; Thepaut, Jean-Noel/IWU-7629-2023; Dee, Dick/B-8931-2015</t>
  </si>
  <si>
    <t>Hirahara, Shoji/0000-0001-8415-3263; Dee, Dick/0000-0002-8321-9125</t>
  </si>
  <si>
    <t>Copernicus Climate Change Service; NCAS-Climate; Natural Environment Research Council [ncas10009] Funding Source: researchfish</t>
  </si>
  <si>
    <t>Copernicus Climate Change Service; NCAS-Climate; Natural Environment Research Council(UK Research &amp; Innovation (UKRI)Natural Environment Research Council (NERC))</t>
  </si>
  <si>
    <t>This study has been partially funded by the Copernicus Climate Change Service. ECMWF implements this Service and the Copernicus Atmosphere Monitoring Service on behalf of the European Commission. Paul Berrisford's contribution has been supported by NCAS-Climate. The three reviewers of this paper are thanked for many helpful comments on the original text and figures.</t>
  </si>
  <si>
    <t>10.1002/qj.2949</t>
  </si>
  <si>
    <t>WOS:000394990800007</t>
  </si>
  <si>
    <t>Kolstad, EW; Bracegirdle, TJ</t>
  </si>
  <si>
    <t>Kolstad, E. W.; Bracegirdle, T. J.</t>
  </si>
  <si>
    <t>Sensitivity of an apparently hurricane-like polar low to sea-surface temperature</t>
  </si>
  <si>
    <t>polar lows; Arctic; air-sea interaction; surface heat fluxes; numerical modelling</t>
  </si>
  <si>
    <t>FUTURE; MODEL; CISK; BAROCLINICITY; CLIMATOLOGY</t>
  </si>
  <si>
    <t>Polar lows are intense, small-scale cyclones in the high latitudes. Typically, polar lows are initiated through baroclinic processes, but they sometimes evolve into a post-baroclinic mature stage where air-sea interaction becomes more important. In this stage some polar lows have developed hurricane-like cloud structures, and idealized axisymmetric hurricane models have indicated that air-sea interaction-fuelled pressure drops of up to 50 hPa are theoretically possible in polar environments. Here we study a polar low that formed in an extreme marine cold air outbreak over the Barents Sea and which had cloud structures with similarities to hurricanes. Using a high-resolution weather model, we artificially modified the sea-surface temperatures (SSTs) to assess if the polar low was close to developing into a true hurricane-like system, with air-sea interaction processes leading to intensification in the post-baroclinic, mature phase of its life cycle. The polar low simulations with SSTs augmented by 2-6K produced more intense mature phases than the control experiment (with unmodified SSTs). The intensity of the polar low in the last of these, which it must be pointed out was unrealistic with an SST increase of 6 K, surpassed the intensity in the earlier baroclinic phase. The experiment where the SSTs were reduced by 2K did not produce a much weaker polar low than the control run. Broadly speaking, our experiments suggest that in this case large and unrealistic SST increases would be needed for apparently hurricane-like polar lows to exhibit true hurricane-like behaviour, but nevertheless air-sea interaction did drive a more intense and prolonged mature phase.</t>
  </si>
  <si>
    <t>[Kolstad, E. W.] Bjerknes Ctr Climate Res, Uni Res Climate, Bergen, Norway; [Bracegirdle, T. J.] British Antarctic Survey, Cambridge, England</t>
  </si>
  <si>
    <t>Bjerknes Centre for Climate Research; UK Research &amp; Innovation (UKRI); Natural Environment Research Council (NERC); NERC British Antarctic Survey</t>
  </si>
  <si>
    <t>Kolstad, EW (corresponding author), Uni Res Climate, Allegaten 70, N-5007 Bergen, Norway.</t>
  </si>
  <si>
    <t>erik.kolstad@uni.no</t>
  </si>
  <si>
    <t>Kolstad, Erik/A-2311-2015; Bracegirdle, Tom/AAD-6060-2020; Kolstad, Erik Olsøybakk/GYJ-6310-2022</t>
  </si>
  <si>
    <t>Kolstad, Erik/0000-0001-5394-9541; Bracegirdle, Thomas/0000-0002-8868-4739</t>
  </si>
  <si>
    <t>Norwegian Research Council through the Hordaklim project [245403]; Norwegian Research Council through the R3 project [255397]; NERC [nceo020007, bas0100032] Funding Source: UKRI; Natural Environment Research Council [bas0100032, nceo020007] Funding Source: researchfish</t>
  </si>
  <si>
    <t>Norwegian Research Council through the Hordaklim project(Research Council of Norway); Norwegian Research Council through the R3 project(Research Council of Norway); NERC(UK Research &amp; Innovation (UKRI)Natural Environment Research Council (NERC)); Natural Environment Research Council(UK Research &amp; Innovation (UKRI)Natural Environment Research Council (NERC))</t>
  </si>
  <si>
    <t>The authors would like to thank two anonymous reviewers for their comments, which led to an improved article. We also thank the vast community that has developed and continues tomaintain the WRF model, as well as the ECMWF for providing the ERAInterim reanalysis data. EWKwas partly funded by the Norwegian Research Council through the Hordaklim (grant 245403) and R3 (grant 255397) projects.</t>
  </si>
  <si>
    <t>10.1002/qj.2980</t>
  </si>
  <si>
    <t>EO2XY</t>
  </si>
  <si>
    <t>WOS:000396560600030</t>
  </si>
  <si>
    <t>Hayssen, V; Orr, T</t>
  </si>
  <si>
    <t>Hayssen, Virginia; Orr, Teri</t>
  </si>
  <si>
    <t>REPRODUCTION IN MAMMALS The Female Perspective Preface</t>
  </si>
  <si>
    <t>REPRODUCTION IN MAMMALS: THE FEMALE PERSPECTIVE</t>
  </si>
  <si>
    <t>HYENA CROCUTA-CROCUTA; DEER CERVUS-ELAPHUS; OVULATION-INDUCING FACTOR; ANTARCTIC FUR SEALS; NAKED MOLE-RATS; DELAYED EMBRYONIC-DEVELOPMENT; SERENGETI SPOTTED HYAENAS; FISSION-FUSION DYNAMICS; JUVENILE RANK RELATIONS; LIFE-HISTORY VARIATION</t>
  </si>
  <si>
    <t>JOHNS HOPKINS UNIV PRESS</t>
  </si>
  <si>
    <t>BALTIMORE</t>
  </si>
  <si>
    <t>2715 N CHARLES ST, BALTIMORE, MD 21218-4319 USA</t>
  </si>
  <si>
    <t>978-1-4214-2316-6; 978-1-4214-2315-9</t>
  </si>
  <si>
    <t>IX</t>
  </si>
  <si>
    <t>Reproductive Biology; Zoology</t>
  </si>
  <si>
    <t>BM7BH</t>
  </si>
  <si>
    <t>WOS:000467684100001</t>
  </si>
  <si>
    <t>Raymond, TC; Snape, I</t>
  </si>
  <si>
    <t>Raymond, Tania C.; Snape, Ian</t>
  </si>
  <si>
    <t>Using triage for environmental remediation in Antarctica</t>
  </si>
  <si>
    <t>Antarctic Treaty; clean-up; decision-making; environmental protection; human impact; remediate</t>
  </si>
  <si>
    <t>WASTE-DISPOSAL SITE; EAST ANTARCTICA; STATION; IMPACTS; ISLANDS; CASEY; WATER; IF</t>
  </si>
  <si>
    <t>Remediation of sites impacted by human activity in Antarctica is a difficult and resource intensive process. With increasing activity and climate change, the extent of damage from human activities is expected to increase and it will not be feasible to protect the environment entirely. We recommend a triage process be used to provide informed and transparent management decisions for comprehensive and adequate environmental remediation in Antarctica. We provide examples that demonstrate realistic outcomes where we have avoided tying up resources on disturbed sites that will recover naturally, are stable, or too damaged to recover, and that also incorporate feasible operational practices. Not all disturbed sites will be remediated and many of those that are, are unlikely to be returned to pristine condition. The decisions around remediation are not based solely on the desired environmental outcome. In the absence of effective legal obligation, we recognize that financial, social, policy, health and safety, technological confidence, and operational feasibility are part of the decision-making process.</t>
  </si>
  <si>
    <t>[Raymond, Tania C.; Snape, Ian] Australian Antarctic Div, 203 Channel Highway, Kingston, Tas 7050, Australia</t>
  </si>
  <si>
    <t>Raymond, TC (corresponding author), Australian Antarctic Div, 203 Channel Highway, Kingston, Tas 7050, Australia.</t>
  </si>
  <si>
    <t>Tania.Raymond@aad.gov.au</t>
  </si>
  <si>
    <t>Australian Antarctic Division, AAS projects [1163, 4036]</t>
  </si>
  <si>
    <t>Australian Antarctic Division, AAS projects</t>
  </si>
  <si>
    <t>We thank J. Allan, D. Bergstrom, B. De La Mare, E. McIvor, and D. Terry for reviewing this manuscript. This work was funded and supported by the Australian Antarctic Division, AAS projects 1163 and 4036.</t>
  </si>
  <si>
    <t>10.1111/rec.12383</t>
  </si>
  <si>
    <t>WOS:000396475900016</t>
  </si>
  <si>
    <t>Menezes, VV; Macdonald, AM; Schatzman, C</t>
  </si>
  <si>
    <t>Menezes, Viviane V.; Macdonald, Alison M.; Schatzman, Courtney</t>
  </si>
  <si>
    <t>Accelerated freshening of Antarctic Bottom Water over the last decade in the Southern Indian Ocean</t>
  </si>
  <si>
    <t>SEA; DEEP; 140-DEGREES-E</t>
  </si>
  <si>
    <t>Southern Ocean abyssal waters, in contact with the atmosphere at their formation sites around Antarctica, not only bring signals of a changing climate with them as they move around the globe but also contribute to that change through heat uptake and sea level rise. A repeat hydrographic line in the Indian sector of the Southern Ocean, occupied three times in the last two decades (1994, 2007, and, most recently, 2016), reveals that Antarctic Bottom Water (AABW) continues to become fresher (0.004 +/- 0.001 kg/g decade(-1)), warmer (0.06 degrees +/- 0.01 degrees C decade(-1)), and less dense (0.011 +/- 0.002 kg/m(3) decade(-1)). The most recent observations in the Australian-Antarctic Basin show a particularly striking acceleration in AABW freshening between 2007 and 2016 (0.008 +/- 0.001 kg/g decade(-1)) compared to the 0.002 +/- 0.001 kg/g decade(-1) seen between 1994 and 2007. Freshening is, in part, responsible for an overall shift of the mean temperature-salinity curve toward lower densities. The marked freshening may be linked to an abrupt iceberg-glacier collision and calving event that occurred in 2010 on the George V/Adelie Land Coast, the main source region of bottom waters for the Australian-Antarctic Basin. Because AABW is a key component of the global overturning circulation, the persistent decrease in bottom water density and the associated increase in steric height that result from continued warming and freshening have important consequences beyond the Southern Indian Ocean.</t>
  </si>
  <si>
    <t>[Menezes, Viviane V.; Macdonald, Alison M.] Woods Hole Oceanog Inst, Dept Phys Oceanog, 266 Woods Hole Rd MS 21, Woods Hole, MA 02543 USA; [Schatzman, Courtney] Univ Calif San Diego, Scripps Inst Oceanog, Oceanog Data Facil, La Jolla, CA 92093 USA</t>
  </si>
  <si>
    <t>Woods Hole Oceanographic Institution; University of California System; University of California San Diego; Scripps Institution of Oceanography</t>
  </si>
  <si>
    <t>Menezes, VV (corresponding author), Woods Hole Oceanog Inst, Dept Phys Oceanog, 266 Woods Hole Rd MS 21, Woods Hole, MA 02543 USA.</t>
  </si>
  <si>
    <t>vmenezes@whoi.edu</t>
  </si>
  <si>
    <t>Menezes, Viviane/AAG-8235-2020</t>
  </si>
  <si>
    <t>Menezes, Viviane/0000-0002-4885-2056; Macdonald, Alison/0000-0003-4688-6137</t>
  </si>
  <si>
    <t>National Oceanic and Atmospheric Administration (NOAA); NSF [OCE-1437015, OCE-1435665, OCE-1356630]; NOAA [NA11OAR4310063]; Directorate For Geosciences; Division Of Ocean Sciences [1437015] Funding Source: National Science Foundation</t>
  </si>
  <si>
    <t>National Oceanic and Atmospheric Administration (NOAA)(National Oceanic Atmospheric Admin (NOAA) - USA); NSF(National Science Foundation (NSF)); NOAA(National Oceanic Atmospheric Admin (NOAA) - USA); Directorate For Geosciences; Division Of Ocean Sciences(National Science Foundation (NSF)NSF - Directorate for Geosciences (GEO))</t>
  </si>
  <si>
    <t>The 2016 I08S cruise and the analysis and science performed at sea, as well as the individual principal investigators were funded through multiple National Oceanic and Atmospheric Administration (NOAA) and NSF grants including NSF grant OCE-1437015. The research for this article was mainly completed at sea. For land-based work, V.V.M. relied on her postdoctoral funding through NSF grant OCE-1435665, and A.M.M. was supported in part by NSF grant OCE-1356630 and NOAA grant NA11OAR4310063.</t>
  </si>
  <si>
    <t>e1601426</t>
  </si>
  <si>
    <t>10.1126/sciadv.1601426</t>
  </si>
  <si>
    <t>EK2XI</t>
  </si>
  <si>
    <t>WOS:000393789900015</t>
  </si>
  <si>
    <t>Pereira, JL; Pereira, P; Padeiro, A; Gonçalves, F; Amaro, E; Leppe, M; Verkulich, S; Hughes, KA; Peter, HU; Canário, J</t>
  </si>
  <si>
    <t>Pereira, Joana Luisa; Pereira, Patricia; Padeiro, Ana; Goncalves, Fernando; Amaro, Eduardo; Leppe, Marcelo; Verkulich, Sergey; Hughes, Kevin A.; Peter, Hans-Ulrich; Canario, Joao</t>
  </si>
  <si>
    <t>Environmental hazard assessment of contaminated soils in Antarctica: Using a structured tier 1 approach to inform decision-making</t>
  </si>
  <si>
    <t>Antarctica soils; Environmental Risk Assessment; Trace-element contamination; Elutriate ecotoxicity; Ecotoxicological Line of Evidence; Chemical Line of Evidence</t>
  </si>
  <si>
    <t>TRACE-ELEMENT CONTAMINATION; ECOLOGICAL RISK-ASSESSMENT; KING GEORGE ISLAND; GROWTH-INHIBITION TEST; LEMNA-MINOR L.; HEAVY-METALS; SEDIMENT QUALITY; ECOTOXICOLOGICAL ASSESSMENT; DESCHAMPSIA-ANTARCTICA; EXTRACTION PROCEDURES</t>
  </si>
  <si>
    <t>Generally, Antarctica is considered to be an untouched area of the planet; however, the region's ecosystems have been subject to increased human pressure for at least the past half-century. This study assessed soils of Fildes Peninsula, where trace element pollution is thought to prevail. Four soil samples were collected from different locations and assessed following tier 1 methodologies for chemical and ecotoxicological lines of evidence (LoE) used in typical soil Environmental Risk Assessment (ERA). Trace element quantification was run on soil samples and sequential extracts, and elutriates were used to address their ecotoxicity using a standard ecotoxicological battery. The highest levels of trace elements were found for Cr, Cu, Ni and Zn, which were well above baseline levels in two sites located near previously identified contamination sources. Trace element concentrations in soils were compared with soil quality guidelines to estimate the contribution of the chemical LoE for integrated risk calculations; risk was found high, above 0.5 for all samples. Total concentrations in soil were consistent with corresponding sequentially extracted percentages, with Cu and Zn being the most bioavailable elements. Bacteria did not respond consistently to the elutriate samples and cladocerans did not respond at all. In contrast, the growth of microalgae and macrophytes was significantly impaired by elutriates of all soil samples, consistently to estimated trace element concentrations in the elutriate matrix. These results translated into lower risk values for the ecotoxicological compared to the chemical LoE. Nevertheless, integrated risk calculations generated either an immediate recommendation for further analysis to better understand the hazardous potential of the tested soils or showed that the soils could not adequately sustain natural ecosystem functions. This study suggests that the soil ecosystem in Fildes has been inadequately protected and supports previous claims on the need to reinforce protection measures and remediation activities. (C) 2016 Elsevier B.V. All rights reserved.</t>
  </si>
  <si>
    <t>[Pereira, Joana Luisa; Pereira, Patricia; Goncalves, Fernando] Univ Aveiro, Dept Biol, CESAM, Aveiro, Portugal; [Padeiro, Ana; Amaro, Eduardo; Canario, Joao] Univ Lisbon, Inst Super Tecn, Ctr Quim Estrutural, Lisbon, Portugal; [Leppe, Marcelo] Chilean Antarct Inst, INACH, Punta Arenas, Chile; [Verkulich, Sergey] Arctic &amp; Antarctic Res Inst, St Petersburg, Russia; [Hughes, Kevin A.] British Antarctic Survey, Nat Environm Res Council, Madingley Rd, Cambridge CB3 0ET, England; [Peter, Hans-Ulrich] Friedrich Schiller Univ Jena, Inst Ecol, Polar &amp; Bird Ecol Grp, Jena, Germany</t>
  </si>
  <si>
    <t>Universidade de Aveiro; Universidade de Lisboa; Arctic &amp; Antarctic Research Institute; UK Research &amp; Innovation (UKRI); Natural Environment Research Council (NERC); NERC British Antarctic Survey; Friedrich Schiller University of Jena</t>
  </si>
  <si>
    <t>Pereira, JL (corresponding author), Univ Aveiro, Dept Biol, Aveiro, Portugal.;Pereira, JL (corresponding author), Univ Aveiro, CESAM Ctr Environm &amp; Marine Studies, Aveiro, Portugal.</t>
  </si>
  <si>
    <t>jpereira@ua.pt</t>
  </si>
  <si>
    <t>Hughes, Kevin/JVZ-0793-2024; Leppe, Marcelo/L-5447-2014; Canário, João/B-1193-2008; Canário, João/O-7189-2019; Pereira, Joana Luísa/A-5003-2009; Pereira, Joana/IQT-1620-2023; Goncalves, Fernando J. M./B-8000-2008; Pereira, Patrícia/G-3117-2014</t>
  </si>
  <si>
    <t>Leppe, Marcelo/0000-0002-1545-8167; Canário, João/0000-0002-5190-446X; Canário, João/0000-0002-5190-446X; Pereira, Joana Luísa/0000-0001-7573-6184; Goncalves, Fernando J. M./0000-0002-9326-187X; Pereira, Patrícia/0000-0001-7613-0635</t>
  </si>
  <si>
    <t>CQE [UID/QUI/00100/2013]; CESAM [UID/AMB/50017]; FCT/MEC through national funds; FEDER; Portuguese Polar Programme (PROPOLAR) by the Portuguese Foundation for Science and Technology (FCT); FCT [SFRH/BPD/01971/2014, SFRH/BPD/69563/2010]; programme PROPOLAR, Bolsas de Mobilidade de Jovens Cientistas Polares; Natural Environment Research Council [bas010011] Funding Source: researchfish; NERC [bas010011] Funding Source: UKRI</t>
  </si>
  <si>
    <t>CQE; CESAM; FCT/MEC through national funds(Fundacao para a Ciencia e a Tecnologia (FCT)); FEDER(European Union (EU)Spanish Government); Portuguese Polar Programme (PROPOLAR) by the Portuguese Foundation for Science and Technology (FCT); FCT(Fundacao para a Ciencia e a Tecnologia (FCT)); programme PROPOLAR, Bolsas de Mobilidade de Jovens Cientistas Polares; Natural Environment Research Council(UK Research &amp; Innovation (UKRI)Natural Environment Research Council (NERC)); NERC(UK Research &amp; Innovation (UKRI)Natural Environment Research Council (NERC))</t>
  </si>
  <si>
    <t>Authors would like to thank the Portuguese Polar Programme and the Chilean Antarctic Institute for logistic support. Thanks are also due for the financial support to CQE (UID/QUI/00100/2013) and CESAM (UID/AMB/50017), to FCT/MEC through national funds, and the co-funding by the FEDER, within the PT2020 Partnership Agreement and Compete 2020. This study received financial support through the Portuguese Polar Programme (PROPOLAR) by the Portuguese Foundation for Science and Technology (FCT). Joana L. Pereira and Patricia Pereira were recipients of grants from the FCT (SFRH/BPD/01971/2014 and SFRH/BPD/69563/2010, respectively). Ana Padeiro and Eduardo Amaro were supported by the programme PROPOLAR, Bolsas de Mobilidade de Jovens Cientistas Polares. This paper contributes to the 'State of the Antarctic Ecosystem' research programme (AntEco) of the Scientific Committee on Antarctic Research (SCAR).</t>
  </si>
  <si>
    <t>10.1016/j.scitotenv.2016.09.091</t>
  </si>
  <si>
    <t>ED7ZA</t>
  </si>
  <si>
    <t>WOS:000389090100043</t>
  </si>
  <si>
    <t>Tsutsumi, M; Sato, K; Sato, T; Kohma, M; Nakamura, T; Nishimura, K; Tomikawa, Y</t>
  </si>
  <si>
    <t>Tsutsumi, Masaki; Sato, Kaoru; Sato, Toru; Kohma, Masashi; Nakamura, Takuji; Nishimura, Koji; Tomikawa, Yoshihiro</t>
  </si>
  <si>
    <t>Characteristics of Mesosphere Echoes over Antarctica Obtained Using PANSY and MF Radars</t>
  </si>
  <si>
    <t>POLAR MESOSPHERE; WINTER ECHOES; TURBULENCE; BACKSCATTER; LATITUDES; TRIANGLE</t>
  </si>
  <si>
    <t>We investigated characteristics of mesosphere echoes over Syowa Station (69S) in the Antarctic, which were detected by the Program of the Antarctic Syowa Mesosphere, Stratosphere and Troposphere/Incoherent Scatter (PANSY) radar (47 MHz) and Medium Frequency (MF) radar (2.4 MHz). Winter echoes from the PANSY radar and low altitude MF echoes below approximately 70-75 km mostly coexisted, appearing during the daytime as well as for a few hours post sunset. Summer echoes in the lower height region were absent in both radar observations, suggesting a close relationship in the generation mechanisms of these two radar echoes. High correlation between local K-index and the occurrence of winter echoes suggested that electron density enhancement due to ionized particle precipitation was one of the triggers of echo generation. Angles of arrival of the MF echoes were more isotropic in winter. Because gravity wave activity is much higher in winter over Syowa, higher turbulence energy caused by gravity wave breaking may also be responsible for the generation of the winter echoes and their isotropic behavior. The horizontal wind velocities of the two systems were further compared and agreed well throughout the height region of 60-90 km.</t>
  </si>
  <si>
    <t>[Tsutsumi, Masaki; Nakamura, Takuji; Nishimura, Koji; Tomikawa, Yoshihiro] Natl Inst Polar Res, 10-3 Midori Cho, Tachikawa, Tokyo 1908518, Japan; [Tsutsumi, Masaki; Nakamura, Takuji; Nishimura, Koji; Tomikawa, Yoshihiro] SOKENDAI Grad Univ Adv Studies, Dept Polar Sci, Tachikawa, Tokyo, Japan; [Sato, Kaoru; Kohma, Masashi] Univ Tokyo, Dept Earth &amp; Planetary Sci, Tokyo, Japan; [Sato, Toru] Kyoto Univ, Dept Commun &amp; Comp Engn, Kyoto, Japan</t>
  </si>
  <si>
    <t>Research Organization of Information &amp; Systems (ROIS); National Institute of Polar Research (NIPR) - Japan; Graduate University for Advanced Studies - Japan; University of Tokyo; Kyoto University</t>
  </si>
  <si>
    <t>Tsutsumi, M (corresponding author), Natl Inst Polar Res, 10-3 Midori Cho, Tachikawa, Tokyo 1908518, Japan.</t>
  </si>
  <si>
    <t>tutumi@nipr.ac.jp</t>
  </si>
  <si>
    <t>Sato, Toru/F-3818-2012; Tomikawa, Yoshihiro/D-5304-2012; Kohma, Masashi/C-8055-2015; Sato, Kaoru/E-1693-2012</t>
  </si>
  <si>
    <t>Tomikawa, Yoshihiro/0000-0002-5652-3017; Kohma, Masashi/0000-0001-9875-3032; Sato, Kaoru/0000-0002-6225-6066; Nakamura, Takuji/0000-0002-3876-2946</t>
  </si>
  <si>
    <t>Grants-in-Aid for Scientific Research [15H02137] Funding Source: KAKEN</t>
  </si>
  <si>
    <t>13A</t>
  </si>
  <si>
    <t>10.2151/sola.13A-004</t>
  </si>
  <si>
    <t>GE4KK</t>
  </si>
  <si>
    <t>WOS:000431184600003</t>
  </si>
  <si>
    <t>Oughton, EJ; Skelton, A; Horne, RB; Thomson, AWP; Gaunt, CT</t>
  </si>
  <si>
    <t>Oughton, Edward J.; Skelton, Andrew; Horne, Richard B.; Thomson, Alan W. P.; Gaunt, Charles T.</t>
  </si>
  <si>
    <t>Quantifying the daily economic impact of extreme space weather due to failure in electricity transmission infrastructure</t>
  </si>
  <si>
    <t>SPACE WEATHER-THE INTERNATIONAL JOURNAL OF RESEARCH AND APPLICATIONS</t>
  </si>
  <si>
    <t>GEOMAGNETICALLY INDUCED CURRENTS; CORONAL MASS EJECTION; GEOELECTRIC FIELDS; STORM; SIMULATION; REDUCTION; AURORAS; EVENT; WIOD</t>
  </si>
  <si>
    <t>Extreme space weather due to coronal mass ejections has the potential to cause considerable disruption to the global economy by damaging the transformers required to operate electricity transmission infrastructure. However, expert opinion is split between the potential outcome being one of a temporary regional blackout and of a more prolonged event. The temporary blackout scenario proposed by some is expected to last the length of the disturbance, with normal operations resuming after a couple of days. On the other hand, others have predicted widespread equipment damage with blackout scenarios lasting months. In this paper we explore the potential costs associated with failure in the electricity transmission infrastructure in the U.S. due to extreme space weather, focusing on daily economic loss. This provides insight into the direct and indirect economic consequences of how an extreme space weather event may affect domestic production, as well as other nations, via supply chain linkages. By exploring the sensitivity of the blackout zone, we show that on average the direct economic cost incurred from disruption to electricity represents only 49% of the total potential macroeconomic cost. Therefore, if indirect supply chain costs are not considered when undertaking cost-benefit analysis of space weather forecasting and mitigation investment, the total potential macroeconomic cost is not correctly represented. The paper contributes to our understanding of the economic impact of space weather, as well as making a number of key methodological contributions relevant for future work. Further economic impact assessment of this threat must consider multiday, multiregional events.</t>
  </si>
  <si>
    <t>[Oughton, Edward J.; Skelton, Andrew] Univ Cambridge, Judge Business Sch, Ctr Risk Studies, Cambridge, England; [Horne, Richard B.] British Antarctic Survey, Nat Environm Res Council, Cambridge, England; [Thomson, Alan W. P.] British Geol Survey, Nat Environm Res Council, Edinburgh, Midlothian, Scotland; [Gaunt, Charles T.] Univ Cape Town, Dept Elect Engn, Cape Town, South Africa</t>
  </si>
  <si>
    <t>University of Cambridge; UK Research &amp; Innovation (UKRI); Natural Environment Research Council (NERC); NERC British Antarctic Survey; UK Research &amp; Innovation (UKRI); Natural Environment Research Council (NERC); NERC British Geological Survey; University of Cape Town</t>
  </si>
  <si>
    <t>Oughton, EJ (corresponding author), Univ Cambridge, Judge Business Sch, Ctr Risk Studies, Cambridge, England.</t>
  </si>
  <si>
    <t>e.oughton@jbs.cam.ac.uk</t>
  </si>
  <si>
    <t>Oughton, Edward/C-4376-2018; Horne, Richard B/U-3764-2019</t>
  </si>
  <si>
    <t>Oughton, Edward/0000-0002-2766-008X; Horne, Richard B/0000-0002-0412-6407; Gaunt, Charles/0000-0001-7518-0446</t>
  </si>
  <si>
    <t>American International Group; UK Engineering and Physical Science Research Council [EP/N017064/1]; Natural Environment Research Council (NERC); EPSRC [EP/N017064/1] Funding Source: UKRI; NERC [bgs05003, bas0100031, NE/P01738X/1] Funding Source: UKRI; Engineering and Physical Sciences Research Council [EP/N017064/1] Funding Source: researchfish; Natural Environment Research Council [bgs05003, NE/P01738X/1, bas0100031] Funding Source: researchfish</t>
  </si>
  <si>
    <t>American International Group; UK Engineering and Physical Science Research Council(UK Research &amp; Innovation (UKRI)Engineering &amp; Physical Sciences Research Council (EPSRC)); Natural Environment Research Council (NERC)(UK Research &amp; Innovation (UKRI)Natural Environment Research Council (NERC));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</si>
  <si>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The authors acknowledge partial financial support from American International Group during the research and especially thank Brad Fischtrom, Siddhartha Dalal, and their team for providing useful comments and insights as the research progressed. We also thank attendees of the workshop held at the Cambridge Judge Business School in July 2015. Three anonymous reviewers are acknowledged for providing useful comments and feedback on the paper. Oughton was partially supported by the UK Engineering and Physical Science Research Council under grant EP/N017064/1: Multiscale InfraSTRucture systems AnaLytics. Horne and Thomson would like to acknowledge the support of the Natural Environment Research Council (NERC). This paper is published by permission of the Executive Director, British Geological Survey (NERC). The authors have no conflicts of interests. While undertaking this work Jennifer Copic provided invaluable research assistance and Tamara Evans kindly proofread various versions of the manuscript. We also thank senior members of the Cambridge Centre for Risk Studies for their ongoing support, including Simon Ruffle, Andrew Coburn, Danny Ralph, and Michele Tuveson. Specialist subject matter guidance was also provided by David Boteler, Helen Mason, and Mark Clilverd. Data used in this analysis are available from the U.S. Bureau of Economic Analysis (http://www.bea.gov/), U.S. Census Bureau (https://www.census.gov/), and World Input-Output Database (http://www.wiod.org/new_site/home.htm). The data leading to the conclusions drawn in this paper have been provided in the supporting information. The code required to reproduce the analysis is available from the authors upon request (e.oughtonb@jbs.cam.ac.uk).</t>
  </si>
  <si>
    <t>1542-7390</t>
  </si>
  <si>
    <t>SPACE WEATHER</t>
  </si>
  <si>
    <t>Space Weather</t>
  </si>
  <si>
    <t>10.1002/2016SW001491</t>
  </si>
  <si>
    <t>Astronomy &amp; Astrophysics; Geochemistry &amp; Geophysics; Meteorology &amp; Atmospheric Sciences</t>
  </si>
  <si>
    <t>EL4GT</t>
  </si>
  <si>
    <t>WOS:000394580400008</t>
  </si>
  <si>
    <t>Brunn, B; Nitschke, A; Bederke, C</t>
  </si>
  <si>
    <t>Brunn, Benjamin; Nitschke, Andreas; Bederke, Christian</t>
  </si>
  <si>
    <t>Container Connection for the New Indian Antarctic Research Station - A new Type of Connection for complex Container Buildings</t>
  </si>
  <si>
    <t>STAHLBAU</t>
  </si>
  <si>
    <t>German</t>
  </si>
  <si>
    <t>[Brunn, Benjamin; Nitschke, Andreas] Ramboll IMS Ingn Gesell mbH, Stadtdeich 7, D-20097 Hamburg, Germany; [Bederke, Christian] SEC Ships Equipment Ctr Bremen GmbH &amp; Co KG, Speicherhof 5, D-28217 Bremen, Germany</t>
  </si>
  <si>
    <t>Brunn, B (corresponding author), Ramboll IMS Ingn Gesell mbH, Stadtdeich 7, D-20097 Hamburg, Germany.</t>
  </si>
  <si>
    <t>benjamin.brunn@ramboll.com; andreas.nitschke@ramboll.com; bederke@sec-bremen.com</t>
  </si>
  <si>
    <t>ERNST &amp; SOHN</t>
  </si>
  <si>
    <t>ROTHERSTRASSE 21, BERLIN, DEUTSCHLAND 10245, GERMANY</t>
  </si>
  <si>
    <t>0038-9145</t>
  </si>
  <si>
    <t>1437-1049</t>
  </si>
  <si>
    <t>Stahlbau</t>
  </si>
  <si>
    <t>10.1002/stab.201710449</t>
  </si>
  <si>
    <t>Construction &amp; Building Technology; Engineering, Civil</t>
  </si>
  <si>
    <t>Construction &amp; Building Technology; Engineering</t>
  </si>
  <si>
    <t>EL4LG</t>
  </si>
  <si>
    <t>WOS:000394592100009</t>
  </si>
  <si>
    <t>Lupachev, AV; Deeva, NP; Aladin, DY; Sevostyanov, SM; Demin, DV</t>
  </si>
  <si>
    <t>Lupachev, A. V.; Deeva, N. Ph.; Aladin, D. Y.; Sevostyanov, S. M.; Demin, D. V.</t>
  </si>
  <si>
    <t>Analysis of pollution with oil products and organochlorines of soils in the vicinity of Russian Antarctic stations</t>
  </si>
  <si>
    <t>THEORETICAL AND APPLIED ECOLOGY</t>
  </si>
  <si>
    <t>Antarctica; anthropogenic pollution; petroleum; diesel fuel; persistent organic pollutants (POPs); DDT</t>
  </si>
  <si>
    <t>The investigations were conducted on the content of petroleum hydrocarbons and its derivatives of anthropogenic origin together with natural organic hydrocarbons in soils; organochlorine compounds in ornithogenic sediments, in animal tissues and in organogenic horizons of soils in the vicinity of Russian polar research stations in the Antarctic. Soils and grounds under the linear facilities and near oil depots accumulate petroleum hydrocarbons and its derivatives, their amount is from 150 to 600 mg/kg on the average, in local cases up to 2200 mg/kg or more. It was re-established that the major share in the composition of petroleum hydrocarbons in anthropogenically contaminated soils and grounds comprises heavy and slightly toxic fractions; the most toxic volatile fractions are not accumulated as a result of harsh weather conditions (primarily, wind and insolation regimes), as well as of a high degree of skeletal fraction of substrates. A number of persistent organic pollutants (POPs), such as pesticides, herbicides, and their metabolites are found in the submitted sample. All samples contain hexachlorobenzene (HCB). The presence of high doses of dichlor-diphenyltrichlor-ethane (DDT) and its extremely high content of metabolites in animal tissues indicates that there is no decrease in the level of this chemical in Antarctic ecosystems. The accumulation of POPs is due to both cross-border transfer in the form of aerosols (detected by moss-lichen associations), and to the influx of ocean water, to further movement through food chains in the ecosystem and access with waste products (guano and birds and animal tissues).</t>
  </si>
  <si>
    <t>[Lupachev, A. V.] RAS, Inst Physicochem &amp; Biol Problems Soil Sci, 2 Inst Skaya St, Pushchino 142290, Moscow Region, Russia; [Deeva, N. Ph.; Aladin, D. Y.; Sevostyanov, S. M.; Demin, D. V.] RAS, Inst Basic Biol Problems, 1,2 Inst Skaya St, Pushchino 142290, Moscow Region, Russia</t>
  </si>
  <si>
    <t>Russian Academy of Sciences; Pushchino Scientific Center for Biological Research (PSCBI) of the Russian Academy of Sciences; Institute of Physicohemical &amp; Biological Problems of Soil Science; Russian Academy of Sciences</t>
  </si>
  <si>
    <t>Lupachev, AV (corresponding author), RAS, Inst Physicochem &amp; Biol Problems Soil Sci, 2 Inst Skaya St, Pushchino 142290, Moscow Region, Russia.</t>
  </si>
  <si>
    <t>a.lupachev@gmail.com</t>
  </si>
  <si>
    <t>Aladin, Danila/ABG-7989-2021; Sevostyanov, Sergey/ABG-7984-2021</t>
  </si>
  <si>
    <t>Aladin, Danila/0000-0002-4800-0013; Sevostyanov, Sergey/0000-0003-2281-6927; Demin, Dmitry/0000-0002-0469-7015</t>
  </si>
  <si>
    <t>LLC PUBLISHING HOUSE, KAMERTON</t>
  </si>
  <si>
    <t>9, STROMYNKA ST, MOSCOW, 107014, RUSSIA</t>
  </si>
  <si>
    <t>1995-4301</t>
  </si>
  <si>
    <t>2618-8406</t>
  </si>
  <si>
    <t>THEOR APPL ECOL</t>
  </si>
  <si>
    <t>Theor. Appl. Ecol.</t>
  </si>
  <si>
    <t>VI2YY</t>
  </si>
  <si>
    <t>WOS:000468547000009</t>
  </si>
  <si>
    <t>Sutherland, WJ; Barnard, P; Broad, S; Clout, M; Connor, B; Cote, IM; Dicks, LV; Doran, H; Entwistle, AC; Fleishman, E; Fox, M; Gaston, KJ; Gibbons, DW; Jiang, Z; Keim, B; Lickorish, FA; Markillie, P; Monk, KA; Pearce-Higgins, JW; Peck, LS; Pretty, J; Spalding, MD; Tonneijck, FH; Wintle, BC; Ockendon, N</t>
  </si>
  <si>
    <t>Sutherland, William J.; Barnard, Phoebe; Broad, Steven; Clout, Mick; Connor, Ben; Cote, Isabelle M.; Dicks, Lynn V.; Doran, Helen; Entwistle, Abigail C.; Fleishman, Erica; Fox, Marie; Gaston, Kevin J.; Gibbons, David W.; Jiang, Zhigang; Keim, Brandon; Lickorish, Fiona A.; Markillie, Paul; Monk, Kathryn A.; Pearce-Higgins, James W.; Peck, Lloyd S.; Pretty, Jules; Spalding, Mark D.; Tonneijck, Femke H.; Wintle, Bonnie C.; Ockendon, Nancy</t>
  </si>
  <si>
    <t>A 2017 Horizon Scan of Emerging Issues for Global Conservation and Biological Diversity</t>
  </si>
  <si>
    <t>TRENDS IN ECOLOGY &amp; EVOLUTION</t>
  </si>
  <si>
    <t>GENE DRIVE; AGRICULTURE; BEHAVIOR; SYSTEM; SAND; REEF; SEX</t>
  </si>
  <si>
    <t>We present the results of our eighth annual horizon scan of emerging issues likely to affect global biological diversity, the environment, and conservation efforts in the future. The potential effects of these novel issues might not yet be fully recognized or understood by the global conservation community, and the issues can be regarded as both opportunities and risks. A diverse international team with collective expertise in horizon scanning, science communication, and conservation research, practice, and policy reviewed 100 potential issues and identified 15 that qualified as emerging, with potential substantial global effects. These issues include new developments in energy storage and fuel production, sand extraction, potential solutions to combat coral bleaching and invasive marine species, and blockchain technology.</t>
  </si>
  <si>
    <t>[Sutherland, William J.; Pearce-Higgins, James W.; Ockendon, Nancy] Univ Cambridge, Dept Zool, Conservat Sci Grp, David Attenborough Bldg,Pembroke St, Cambridge CB2 3QZ, England; [Barnard, Phoebe] South African Natl Biodivers Inst, Biodivers Futures Program, Private Bag X7, ZA-7735 Claremont, South Africa; [Barnard, Phoebe] FitzPatrick Inst African Ornithol, DST NRF Ctr Excellence, ZA-7700 Rondebosch, South Africa; [Broad, Steven] TRAFFIC, David Attenborough Bldg,Pembroke St, Cambridge CB2 3QZ, England; [Clout, Mick] Univ Auckland, Sch Biol Sci, Ctr Biodivers &amp; Biosecur, PB 92019, Auckland, New Zealand; [Connor, Ben] British Ecol Soc, Charles Darwin House,12 Roger St, London WC1N 2JL, England; [Cote, Isabelle M.] Simon Fraser Univ, Dept Biol Sci, Burnaby, BC V5A 1S6, Canada; [Dicks, Lynn V.] Univ East Anglia, Sch Biol Sci, Norwich NR4 7TJ, Norfolk, England; [Doran, Helen] Nat England, Shaftesbury Rd, Cambridge CB2 8DR, England; [Entwistle, Abigail C.] Fauna &amp; Flora Int, David Attenborough Bldg,Pembroke St, Cambridge CB2 3QZ, England; [Fleishman, Erica] Univ Calif Davis, John Muir Inst Environm, One Shields Ave, Davis, CA 95616 USA; [Fox, Marie] Environm Agcy, Horizon House,Deanery Rd, Bristol BS1 5AH, Avon, England; [Gaston, Kevin J.] Univ Exeter, Environm &amp; Sustainabil Inst, Penryn TR10 9FE, England; [Gibbons, David W.] Royal Soc Protect Birds, RSPB Ctr Conservat Sci, Sandy SG19 2DL, Beds, England; [Jiang, Zhigang] Chinese Acad Sci, Inst Zool, Beijing 100101, Peoples R China; [Jiang, Zhigang] Univ Chinese Acad Sci, Beijing 100049, Peoples R China; [Keim, Brandon] 721 Ohio St, Bangor, ME 04401 USA; [Lickorish, Fiona A.] Cranfield Univ, Cranfield Inst Resilient Futures, Cranfield MK43 0AL, Beds, England; [Markillie, Paul] 25 St Jamess St, London SW1A 1HG, England; [Monk, Kathryn A.] Nat Resources Wales, Cambria House,29 Newport Rd, Cardiff CF24 0TP, S Glam, Wales; [Pearce-Higgins, James W.] BTO, The Nunnery IP24 2PU, Thetford, England; [Peck, Lloyd S.] British Antarctic Survey, Nat Environm Res Council, High Cross,Madingley Rd, Cambridge CB3 0ET, England; [Pretty, Jules] Univ Essex, Ctr Environm &amp; Soc, Colchester CO4 3SQ, Essex, England; [Pretty, Jules] Univ Essex, Sch Biol Sci, Colchester CO4 3SQ, Essex, England; [Spalding, Mark D.] Univ Siena, Dept Phys Earth &amp; Environm Sci, Nat Conservancy, Global Marine Team, Pian Mantellini 44, I-53100 Siena, Italy; [Tonneijck, Femke H.] Wetlands Int, POB 471, NL-6700 AL Wageningen, Netherlands; [Wintle, Bonnie C.] Univ Cambridge, CSER, Ctr Res Arts Social Sci &amp; Humanities, David Attenborough Bldg,Pembroke St, Cambridge CB2 3QZ, England</t>
  </si>
  <si>
    <t>University of Cambridge; South African National Biodiversity Institute; National Research Foundation - South Africa; University of Auckland; Simon Fraser University; University of East Anglia; University of California System; University of California Davis; University of Exeter; Royal Society for Protection of Birds; Chinese Academy of Sciences; Institute of Zoology, CAS; Chinese Academy of Sciences; University of Chinese Academy of Sciences, CAS; Cranfield University; British Trust for Ornithology; UK Research &amp; Innovation (UKRI); Natural Environment Research Council (NERC); NERC British Antarctic Survey; University of Essex; University of Essex; University of Siena; University of Cambridge</t>
  </si>
  <si>
    <t>Sutherland, WJ (corresponding author), Univ Cambridge, Dept Zool, Conservat Sci Grp, David Attenborough Bldg,Pembroke St, Cambridge CB2 3QZ, England.</t>
  </si>
  <si>
    <t>w.sutherland@zoo.cam.ac.uk</t>
  </si>
  <si>
    <t>Cote, Isabelle/ABD-5898-2021; Sutherland, William/B-1291-2013; Monk, Kathryn/GRR-2773-2022; fox, marie/GSJ-3349-2022; Dicks, Lynn V./AFH-5289-2022; Spalding, Mark/GVU-0739-2022; Jiang 蒋, Zhigang 志刚/E-4598-2014; Pretty, Jules/D-4071-2012</t>
  </si>
  <si>
    <t>Dicks, Lynn V./0000-0002-8304-4468; Jiang 蒋, Zhigang 志刚/0000-0003-2154-8588; Wintle, Bonnie/0000-0003-0236-6906; Spalding, Mark/0000-0001-9456-4533; Lickorish, Fiona/0000-0002-0696-202X; Ockendon, Nancy/0000-0001-5055-1079; Gaston, Kevin J./0000-0002-7235-7928</t>
  </si>
  <si>
    <t>UK Natural Environment Research Council (NERC); Royal Society for the Protection of Birds; Arcadia; NERC [NE/N014472/1]; NERC [NE/K015419/1, NE/N014472/1, bas0100036] Funding Source: UKRI; Natural Environment Research Council [NE/K015419/1, bas0100036, NE/N014472/1] Funding Source: researchfish</t>
  </si>
  <si>
    <t>UK Natural Environment Research Council (NERC)(UK Research &amp; Innovation (UKRI)Natural Environment Research Council (NERC)); Royal Society for the Protection of Birds; Arcadia; NERC(UK Research &amp; Innovation (UKRI)Natural Environment Research Council (NERC)); NERC(UK Research &amp; Innovation (UKRI)Natural Environment Research Council (NERC)); Natural Environment Research Council(UK Research &amp; Innovation (UKRI)Natural Environment Research Council (NERC))</t>
  </si>
  <si>
    <t>This is an exercise of the Cambridge Conservation Initiative, funded by the UK Natural Environment Research Council (NERC) and the Royal Society for the Protection of Birds. We thank the large number of individuals who suggested issues or responded to queries. We thank Philine von Guretzky for suggesting the blockchain topic, Jonathan Wentworth for suggesting reverse photosynthesis, Anne Marie Gous for suggesting bumblebee invasions, Emilie Neubauer for suggesting manipulation of coral symbionts to avoid bleaching and Trina Leberer for suggesting sand mining. Stephen Awoyemi collated African issues. W.J.S. is funded by Arcadia. L.V.D. is funded by NERC (NE/N014472/1).</t>
  </si>
  <si>
    <t>ELSEVIER SCIENCE LONDON</t>
  </si>
  <si>
    <t>84 THEOBALDS RD, LONDON WC1X 8RR, ENGLAND</t>
  </si>
  <si>
    <t>0169-5347</t>
  </si>
  <si>
    <t>1872-8383</t>
  </si>
  <si>
    <t>TRENDS ECOL EVOL</t>
  </si>
  <si>
    <t>Trends Ecol. Evol.</t>
  </si>
  <si>
    <t>10.1016/j.tree.2016.11.005</t>
  </si>
  <si>
    <t>Ecology; Evolutionary Biology; Genetics &amp; Heredity</t>
  </si>
  <si>
    <t>Environmental Sciences &amp; Ecology; Evolutionary Biology; Genetics &amp; Heredity</t>
  </si>
  <si>
    <t>EI2XG</t>
  </si>
  <si>
    <t>WOS:000392352200008</t>
  </si>
  <si>
    <t>Stoll, HM; Mendez-Vicente, A; Abrevaya, L; Anderson, RF; Rigual-Hernández, AS; Gonzalez-Lemos, S</t>
  </si>
  <si>
    <t>Stoll, Heather M.; Mendez-Vicente, Ana; Abrevaya, Lorena; Anderson, Robert F.; Rigual-Hernandez, Andres S.; Gonzalez-Lemos, Saul</t>
  </si>
  <si>
    <t>Growth rate and size effect on carbon isotopic fractionation in diatom-bound organic matter in recent Southern Ocean sediments</t>
  </si>
  <si>
    <t>diatom; phytoplankton; carbon isotope; Southern Ocean; AESOPS; Polar Front</t>
  </si>
  <si>
    <t>PACIFIC SECTOR; BIOGENIC SILICA; FRAGILARIOPSIS-KERGUELENSIS; IRON AVAILABILITY; PHYTOPLANKTON; FLUXES; FE; VARIABILITY; DISSOLUTION; BIOVOLUME</t>
  </si>
  <si>
    <t>Carbon isotopic fractionation during photosynthesis (epsilon(p)) is used to reconstruct past CO2 and phytoplankton growth rates, typically by measuring the delta C-13 of biomarkers produced by coccolithophorids. However, organic molecules bound within diatom frustules represent another phase for measurement of delta C-13 and offer the opportunity to obtain epsilon(p) for specific diatom sizes and geometries. Here, from core top sediments covering a strong productivity gradient in the Southern Ocean, we present determinations of delta C-13 and ep from frustule-bound organic matter from a fine opal fraction dominated by pennate diatoms and a coarse opal fraction dominated by larger centric diatoms. The delta C-13 of the pennate diatom fraction is typically 2.8 parts per thousand more positive than that of the centric fraction. Both fractions show a comparable range of 9-10 parts per thousand over the core top transect. epsilon(p) is lowest (6.3 parts per thousand in pennate fraction) between the Polar Front (PF) and Southern Antarctic Circumpolar Current Front (SACCF) and increases both to the north and south, with maximum values at greatest distance from the PF (18 parts per thousand in the pennate fraction). These spatial changes in epsilon(p) are too large to arise from the rather modest variation in dissolved CO2 in surface waters across the core top transect. We suggest instead that the maximum epsilon(p) reflects higher diatom growth rates, and in the case of pennate diatom F. kerguelensis also an increase in the frustule width and volume to surface area ratio. Both processes may result from enhanced Fe supply due to upwelling of circumpolar deep water between the PF and SACCF. Farther south, diatom growth is strongly Fe-limited and farther north it is Fe and Si co-limited. The optima of growth rates between the PF and SACCF appears to be a general feature in all sectors of the Southern Ocean. Such growth rate-induced changes in diatom epsilon(p) allow us to resolve a 5 degrees northward displacement of the PF during glacial times compared to interglacial times. By estimating CO2 (aq) in equilibrium with the Holocene ice core atmospheric CO2 concentrations, we quantify this growth rate effect and document that it is strongly correlated with indicators of trace metal supply, such as frustule Zn content, as well as indicators of diatom productivity such as opal % and opal accumulation rates in sediments and sediment traps. These relationships may be applied to constrain the effect of growth rate variations on ep and more accurately derive CO2 variations from ep during periods prior to ice core CO2 proxy records. (C) 2016 Elsevier B.V. All rights reserved.</t>
  </si>
  <si>
    <t>[Stoll, Heather M.; Mendez-Vicente, Ana; Abrevaya, Lorena; Gonzalez-Lemos, Saul] Univ Oviedo, Dept Geol, Arias Velasco S-N, E-33005 Oviedo, Asturias, Spain; [Stoll, Heather M.] ETH, Dept Earth Sci, Inst Geol, G59,Sonneggstr 5, CH-8092 Zurich, Switzerland; [Anderson, Robert F.] Columbia Univ, Lamont Doherty Earth Observ, Palisades, NY 10964 USA; [Rigual-Hernandez, Andres S.] Macquarie Univ, Dept Biol Sci, Ctr Marine Res, N Ryde, NSW 2109, Australia</t>
  </si>
  <si>
    <t>University of Oviedo; Swiss Federal Institutes of Technology Domain; ETH Zurich; Columbia University; Macquarie University</t>
  </si>
  <si>
    <t>Stoll, HM (corresponding author), Univ Oviedo, Dept Geol, Arias Velasco S-N, E-33005 Oviedo, Asturias, Spain.;Stoll, HM (corresponding author), ETH, Dept Earth Sci, Inst Geol, G59,Sonneggstr 5, CH-8092 Zurich, Switzerland.</t>
  </si>
  <si>
    <t>heather.stoll@erdw.ethz.ch</t>
  </si>
  <si>
    <t>Gonzalez, Saul/L-3424-2016; Rigual-Hernández, Andrés/E-2041-2018; Stoll, Heather/G-9066-2012</t>
  </si>
  <si>
    <t>Gonzalez, Saul/0000-0003-1404-0903; Rigual-Hernández, Andrés/0000-0003-1521-3896; Anderson, Robert/0000-0002-8472-2494; Mendez, Ana/0000-0001-7275-7588; Stoll, Heather/0000-0002-2953-7835</t>
  </si>
  <si>
    <t>European Research Council [ERC-2009-STG-240222-PACE]; Spanish National Science Ministry grant OPERA [MICINN CTM2013-48639-C2-2-R]</t>
  </si>
  <si>
    <t>European Research Council(European Research Council (ERC)); Spanish National Science Ministry grant OPERA</t>
  </si>
  <si>
    <t>We thank Matthew Horn and Rebecca Robinson for instruction in methods for cleaning organic matter from diatom frustules. We thank Maria Teresa Hernandez Sanchez for useful discussion on biosynthesis of diatom -bound components. We thank Martin Frank for useful editorial suggestions and three anonymous reviewers for comments which significantly improved this work. This work was funded by European Research Council grant ERC-2009-STG-240222-PACE (to H.M.S.), and the Spanish National Science Ministry grant OPERA (MICINN CTM2013-48639-C2-2-R, to H.M.S.). This is a contribution of the Asturias Marine Observatory.</t>
  </si>
  <si>
    <t>10.1016/j.epsl.2016.09.028</t>
  </si>
  <si>
    <t>WOS:000389398000008</t>
  </si>
  <si>
    <t>Córdoba-Jabonero, C; Lopes, FJS; Landulfo, E; Cuevas, E; Ochoa, H; Gil-Ojeda, M</t>
  </si>
  <si>
    <t>Cordoba-Jabonero, Carmen; Lopes, Fabio J. S.; Landulfo, Eduardo; Cuevas, Emilio; Ochoa, Hector; Gil-Ojeda, Manuel</t>
  </si>
  <si>
    <t>Diversity on subtropical and polar cirrus clouds properties as derived from both ground-based lidars and CALIPSO/CALIOP measurements</t>
  </si>
  <si>
    <t>ATMOSPHERIC RESEARCH</t>
  </si>
  <si>
    <t>CALIPSO/CALIOP; Cirrus Cloud Optical Depth (CCOD); Cirrus clouds; Lidar; Polar regions; Subtropical latitudes</t>
  </si>
  <si>
    <t>MICRO-PULSE LIDAR; RADIATIVE PROPERTIES; OPTICAL-PROPERTIES; DEPOLARIZATION RATIO; PART I; AEROSOL; MIDLATITUDE; SCATTERING; RETRIEVAL; RAMAN</t>
  </si>
  <si>
    <t>Cirrus (Ci) cloud properties can change significantly from place to place over the globe as a result of weather processes, reflecting their likely different radiative and climate implications. In this work Cirrus clouds (Ci) features observed in late autumn/early winter season at both subtropical and polar latitudes are examined and compared to CALIPSO/CALIOP observations. Lidar measurements were carried out in three stations: Sao Paulo (MSP, Brazil) and Tenerife (SCO, Canary Islands, Spain), as subtropical sites, and the polar Belgrano II base (BEL., Argentina) in the Antarctic continent. The backscattering ratio (BSR) profiles and the top and base heights of the Ci layers together to their Cirrus Cloud Optical Depth (CCOD) and Lidar Ratio (LR) for Ci clouds were derived. In addition, temperatures at the top and base boundaries of the Ci clouds were also obtained from local radiosoundings to verify pure ice Ci clouds occurrence using a given temperature top threshold (&lt;-38 degrees C). Ci clouds observed along the day were assembled in groups based on their predominant CCOD, and classified according to four CCOD-based categories. Ci clouds were found to be vertically-distributed in relation with the temperature, forming subvisual Ci clouds at lower temperatures and higher altitudes than other Ci categories at both latitudes. Discrepancies shown on LR values for the three stations, but mainly remarked between subtropical and polar cases, can be associated to different temperature regimes for Ci formation, influencing the internal ice habits of the Ci clouds, and hence likely affecting the LR derived for the Ci layer. In comparison with literature values, daily mean CCOD/LR for SCO (0.4 +/- 0.4/21 +/- 10 sr), MSP (0.5 +/- 0.5/27 +/- 5 sr) and BEL (0.2 +/- 03/28 +/- 9 sr) are in good agreement; however, the variability of the Ci optical features along the day present large discrepancies. In comparison with CALIOP data, Ci clouds are observed at similar altitudes (around 10-13 km height); however, differences are found mostly in CCOD values for subtropical Ci clouds, whereas LR values are in a closer agreement. These differences are carefully examined in relation with the closest CALIPSO overpass time and distance from the station (&gt;70 km far), inferring the irregular extension and inhomogeneity of the Ci clouds over each study area. These considerations can be useful for assimilation of the Ci features into climate models and evaluation of future space-borne lidar observations of Ci clouds, especially for the future ESA/Copernicus-Sentinel and ESA/EarthCARE missions. (C) 2016 Elsevier B.V. All rights reserved.</t>
  </si>
  <si>
    <t>[Cordoba-Jabonero, Carmen; Gil-Ojeda, Manuel] INTA, Atmospher Res &amp; Instrumentat Branch, Ctra Ajalvir Km 4, Madrid 28850, Spain; [Lopes, Fabio J. S.] Univ Sao Paulo, Inst Astron Geofis &amp; Ciencias Atmosfer IAG, Sao Paulo, Brazil; [Lopes, Fabio J. S.; Landulfo, Eduardo] IPEN, Ctr Lasers &amp; Applicat, Sao Paulo, Brazil; [Cuevas, Emilio] Agenda Estatal Meteorol AEMET, Atmospher Res Ctr Izana, San Cristobal la Laguna, Spain; [Ochoa, Hector] IAA, DNA, Buenos Aires, DF, Argentina</t>
  </si>
  <si>
    <t>Consejo Superior de Investigaciones Cientificas (CSIC); CSIC - Centro de Astrobiologia (INTA); Universidade de Sao Paulo; Comissao Nacional de Energia Nuclear (CNEN); Instituto de Pesquisas Energeticas e Nucleares (IPEN); Agencia Estatal de Meteorologia (AEMET); Centro de Investigacion Atmosferica de Izana (CIAI)</t>
  </si>
  <si>
    <t>Córdoba-Jabonero, C (corresponding author), INTA, Atmospher Res &amp; Instrumentat Branch, Ctra Ajalvir Km 4, Madrid 28850, Spain.</t>
  </si>
  <si>
    <t>cordobajc@inta.es</t>
  </si>
  <si>
    <t>Landulfo, Eduardo/I-4187-2019; Cuevas, Emilio/L-2109-2013; Lopes, Fabio J. S./D-8630-2012; Lopes, Fabio Juliano da Silva/AAJ-9323-2021; Cordoba-Jabonero, Carmen/J-6331-2014</t>
  </si>
  <si>
    <t>Landulfo, Eduardo/0000-0002-9691-5306; Cuevas, Emilio/0000-0003-1843-8302; Lopes, Fabio J. S./0000-0001-7243-7197; Cordoba-Jabonero, Carmen/0000-0003-4859-471X</t>
  </si>
  <si>
    <t>Spanish Ministerio de Economia y Competitividad (MINECO) [CGL2014-55230-R]; INTA project [IGE03004]; NASA Radiation Sciences Program and Earth Observing System; Fundacao de Amparo a Pesquisa do Estado de Sao Paulo (FAPESP) [2011/14365-5, 2013/11836-2]; Fundacao de Amparo a Pesquisa do Estado de Sao Paulo (FAPESP) [13/11836-2] Funding Source: FAPESP</t>
  </si>
  <si>
    <t>Spanish Ministerio de Economia y Competitividad (MINECO)(Spanish Government); INTA project; NASA Radiation Sciences Program and Earth Observing System; Fundacao de Amparo a Pesquisa do Estado de Sao Paulo (FAPESP)(Fundacao de Amparo a Pesquisa do Estado de Sao Paulo (FAPESP)); Fundacao de Amparo a Pesquisa do Estado de Sao Paulo (FAPESP)(Fundacao de Amparo a Pesquisa do Estado de Sao Paulo (FAPESP))</t>
  </si>
  <si>
    <t>This work is supported by the Spanish Ministerio de Economia y Competitividad (MINECO) under grant CGL2014-55230-R (AVATAR) and the INTA project IGE03004. Authors wish to acknowledge the entire CALIPSO team for their substantial contributions and for the data obtained from the NASA Langley Research Center (LRC). The MPLNET project is funded by the NASA Radiation Sciences Program and Earth Observing System. Authors thank the Department of Atmospheric Science of the University of Wyoming for the radiosounding data profiles. Authors also are grateful to the staff of all the stations responsible for instrumentation maintenance and support, and M. Yela as manager of INTA Antarctic program at the Belgrano II base. F.J.S. Lopes and C. Cordoba-Jabonero thank the Fundacao de Amparo a Pesquisa do Estado de Sao Paulo (FAPESP) for their support under grants 2011/14365-5 and 2013/11836-2, respectively.</t>
  </si>
  <si>
    <t>0169-8095</t>
  </si>
  <si>
    <t>1873-2895</t>
  </si>
  <si>
    <t>ATMOS RES</t>
  </si>
  <si>
    <t>Atmos. Res.</t>
  </si>
  <si>
    <t>10.1016/j.atmosres.2016.08.015</t>
  </si>
  <si>
    <t>EA8CB</t>
  </si>
  <si>
    <t>WOS:000386861800013</t>
  </si>
  <si>
    <t>Palmer, J</t>
  </si>
  <si>
    <t>Palmer, Jane</t>
  </si>
  <si>
    <t>Mystery of 2km Antarctic ice circle solved</t>
  </si>
  <si>
    <t>NEW SCIENTIST</t>
  </si>
  <si>
    <t>REED BUSINESS INFORMATION LTD</t>
  </si>
  <si>
    <t>SUTTON</t>
  </si>
  <si>
    <t>QUADRANT HOUSE THE QUADRANT, SUTTON SM2 5AS, SURREY, ENGLAND</t>
  </si>
  <si>
    <t>0262-4079</t>
  </si>
  <si>
    <t>NEW SCI</t>
  </si>
  <si>
    <t>New Sci.</t>
  </si>
  <si>
    <t>DEC 31</t>
  </si>
  <si>
    <t>10.1016/S0262-4079(16)32307-7</t>
  </si>
  <si>
    <t>EE8JI</t>
  </si>
  <si>
    <t>WOS:000389871100006</t>
  </si>
  <si>
    <t>Pascoe, P; Lea, MA; Mattlin, RH; McMahon, CR; Harcourt, R; Thompson, D; Torres, L; Vinette-Herrin, K; Hindell, MA</t>
  </si>
  <si>
    <t>Pascoe, Penelope; Lea, Mary-Anne; Mattlin, Rob H.; McMahon, Clive R.; Harcourt, Robert; Thompson, David; Torres, Leigh; Vinette-Herrin, Kimberly; Hindell, Mark A.</t>
  </si>
  <si>
    <t>Assessing the utility of two- and three-dimensional behavioural metrics in habitat usage models</t>
  </si>
  <si>
    <t>MARINE ECOLOGY PROGRESS SERIES</t>
  </si>
  <si>
    <t>Foraging; Habitat; First passage time; Mirounga leonina</t>
  </si>
  <si>
    <t>SOUTHERN ELEPHANT SEALS; MIROUNGA-LEONINA; NEW-ZEALAND; PREDATOR; AREA; OCEANOGRAPHY; ENVIRONMENT; DIMENSION; LOCATION; TRACKING</t>
  </si>
  <si>
    <t>For deep-diving, wide-ranging marine predators, foraging behaviour is often inferred from movement data. Various metrics are used to do this, and recently, metrics have been developed that consider both horizontal movement and vertical dive behaviour to better describe the use of the 3-dimensional environment these animals inhabit. However, the efficacy of these different metrics in predicting behavioural state is poorly understood. We used first passage time (2-dimensional) and first bottom time (3-dimensional) analyses on tracks derived from satellite-relayed data loggers to quantify and determine seal behavioural state while foraging at sea. Movement and dive data were collected from 38 southern elephant seals Mirounga leonina from Macquarie and Campbell Islands (in the Pacific sector of the Southern Ocean). Using a suite of environmental variables, linear mixed-effect models were derived for the 2 broad habitats visited by the seals: shelf and open ocean. The best-fitting models for each foraging metric in each habitat were then compared using a cross validation analysis to identify which foraging metric produced the best predictions of habitat use. In shelf habitats, the 3-dimensional foraging metric provided better predictions than the 2-dimensional metric, while the 2-dimensional foraging metric resulted in the best predictive capacity in the open ocean habitats. These findings highlight the importance of considering the appropriate foraging metrics when modelling foraging behaviour.</t>
  </si>
  <si>
    <t>[Pascoe, Penelope; Lea, Mary-Anne; McMahon, Clive R.; Hindell, Mark A.] Univ Tasmania, Inst Marine &amp; Antarctic Studies, Battery Point 7004, Australia; [Lea, Mary-Anne; Hindell, Mark A.] Antarctic Climate &amp; Ecosyst CRC, Level 3, Battery Point, Tas 7004, Australia; [Mattlin, Rob H.] Marine Wildlife Res, Nelson 7050, New Zealand; [McMahon, Clive R.] Sydney Inst Marine Sci, Mosman, NSW 2088, Australia; [Harcourt, Robert] Macquarie Univ, Dept Biol Sci, Sydney, NSW 2109, Australia; [Thompson, David] Natl Inst Water &amp; Atmospher Res, Wellington 6021, New Zealand; [Torres, Leigh] Oregon State Univ, Hatfield Marine Sci Ctr, Marine Mammal Inst, Dept Fisheries &amp; Wildlife, Newport, OR 97365 USA; [Vinette-Herrin, Kimberly] Taronga Conservat Soc, Mosman, NSW 2088, Australia</t>
  </si>
  <si>
    <t>University of Tasmania; Sydney Institute of Marine Science; Macquarie University; National Institute of Water &amp; Atmospheric Research (NIWA) - New Zealand; Oregon State University; Taronga Conservation Society Australia</t>
  </si>
  <si>
    <t>Pascoe, P (corresponding author), Univ Tasmania, Inst Marine &amp; Antarctic Studies, Battery Point 7004, Australia.</t>
  </si>
  <si>
    <t>pennypascoe@gmail.com</t>
  </si>
  <si>
    <t>McMahon, Clive R/D-5713-2013; Hindell, Mark A/K-1131-2013; Lea, Mary-Anne/E-9054-2013</t>
  </si>
  <si>
    <t>McMahon, Clive R/0000-0001-5241-8917; Hindell, Mark/0000-0002-7823-7185; Harcourt, Robert/0000-0003-4666-2934; Lea, Mary-Anne/0000-0001-8318-9299</t>
  </si>
  <si>
    <t>NIWA New Zealand; Australian Antarctic science grants; Integrated Marine Observing System (IMOS)</t>
  </si>
  <si>
    <t>Funding for the project was supplied by NIWA New Zealand, Australian Antarctic science grants and Integrated Marine Observing System (IMOS). We also thank the Department of Conservation, Henk Haazen and crew of the yacht 'Tiama' for allowing and facilitating the work on Campbell Island. We thank Dave Boyle, Jim Roberts and Ian Field for their assistance in the field and Michael Sumner and Ben Raymond for help with the environmental data sets. The tracking data were sourced from the IMOS. IMOS is a national collaborative research infrastructure, supported by the Australian Government. Animal handling in this study was approved by the New Zealand Department of Conservation and the University of Tasmania Animal Ethics Committee - A12141. Animals were cared for and handled according to their guidelines.</t>
  </si>
  <si>
    <t>0171-8630</t>
  </si>
  <si>
    <t>1616-1599</t>
  </si>
  <si>
    <t>MAR ECOL PROG SER</t>
  </si>
  <si>
    <t>Mar. Ecol.-Prog. Ser.</t>
  </si>
  <si>
    <t>DEC 29</t>
  </si>
  <si>
    <t>10.3354/meps11947</t>
  </si>
  <si>
    <t>Ecology; Marine &amp; Freshwater Biology; Oceanography</t>
  </si>
  <si>
    <t>Environmental Sciences &amp; Ecology; Marine &amp; Freshwater Biology; Oceanography</t>
  </si>
  <si>
    <t>EK8OP</t>
  </si>
  <si>
    <t>WOS:000394183600014</t>
  </si>
  <si>
    <t>Janout, MA; Hölemann, J; Waite, AM; Krumpen, T; von Appen, WJ; Martynov, F</t>
  </si>
  <si>
    <t>Janout, Markus A.; Hoelemann, Jens; Waite, Anya M.; Krumpen, Thomas; von Appen, Wilken-Jon; Martynov, Fedor</t>
  </si>
  <si>
    <t>Sea-ice retreat controls timing of summer plankton blooms in the Eastern Arctic Ocean</t>
  </si>
  <si>
    <t>LAPTEV SEA; PHYTOPLANKTON BLOOMS; CALANUS-GLACIALIS; ALGAL PRODUCTION; CYCLE; MESOZOOPLANKTON; SEDIMENTATION; ZOOPLANKTON; VARIABILITY; PYCNOCLINE</t>
  </si>
  <si>
    <t>Two full-year mooring records of sea-ice, physical, and bio-optical parameters illuminate tight temporal coupling between the retreating seasonal ice edge and the summer phytoplankton bloom on the Laptev Sea shelf. Our records showed no sign of pelagic under-ice blooms despite available nutrients and thinning sea ice in early summer, presumably because stratification had not yet developed. Chlorophyll blooms were detected immediately after the ice retreated in late May 2014 and late July 2015. Despite radically different timing, the blooms were similar in both magnitude and length, interpreted as community-level nutrient limitation. Acoustic backscatter records suggest the delayed 2015 bloom resulted in lower zooplankton abundance, perhaps due to a timing mismatch between ice algal and pelagic blooms and unfavorable thermal conditions. Our observations provide classical examples of ice-edge blooms and further emphasize the complexity of high-latitude shelves and the need to understand vertical mixing processes important for stratification and nutrient fluxes.</t>
  </si>
  <si>
    <t>[Janout, Markus A.; Hoelemann, Jens; Waite, Anya M.; Krumpen, Thomas; von Appen, Wilken-Jon] Helmholtz Ctr Polar &amp; Marine Res, Alfred Wegener Inst, Bremerhaven, Germany; [Waite, Anya M.] Univ Bremen, Biol Chem FB2, Bremen, Germany; [Martynov, Fedor] Arctic &amp; Antarctic Res Inst, St Petersburg, Russia</t>
  </si>
  <si>
    <t>Helmholtz Association; Alfred Wegener Institute, Helmholtz Centre for Polar &amp; Marine Research; University of Bremen; Arctic &amp; Antarctic Research Institute</t>
  </si>
  <si>
    <t>Janout, MA (corresponding author), Helmholtz Ctr Polar &amp; Marine Res, Alfred Wegener Inst, Bremerhaven, Germany.</t>
  </si>
  <si>
    <t>Markus.Janout@awi.de</t>
  </si>
  <si>
    <t>Krumpen, Thomas/D-5163-2011; Janout, Markus/AAI-7219-2020; Hoelemann, Jens/N-3608-2016; Waite, Anya/A-5492-2015</t>
  </si>
  <si>
    <t>Krumpen, Thomas/0000-0001-6234-8756; Hoelemann, Jens/0000-0001-5102-4086; von Appen, Wilken-Jon/0000-0002-7200-0099; Janout, Markus/0000-0003-4908-2855; Waite, Anya/0000-0003-2965-0296</t>
  </si>
  <si>
    <t>German Federal Ministry of Education and Research [BMBF 03G0759B, 03G0833B]; Ministry of Education and Science of the Russian Federation</t>
  </si>
  <si>
    <t>German Federal Ministry of Education and Research(Federal Ministry of Education &amp; Research (BMBF)); Ministry of Education and Science of the Russian Federation(Ministry of Education and Science, Russian Federation)</t>
  </si>
  <si>
    <t>Financial support for the Laptev Sea System project was provided by the German Federal Ministry of Education and Research (Grant BMBF 03G0759B and 03G0833B) and the Ministry of Education and Science of the Russian Federation. Data used in this paper can be made available by the first author upon request (markus.janout@awi.de). We greatly acknowledge the captain and crew of the R/V Viktor Buinitsky for safe and successful expeditions, Heidi Kassens and Leonid Timokhov for coordinating the German-Russian partnership, and Matthias Monsees for passionate mooring work. We thank the editor and two anonymous reviewers for their comments, which helped to improve the paper.</t>
  </si>
  <si>
    <t>DEC 28</t>
  </si>
  <si>
    <t>10.1002/2016GL071232</t>
  </si>
  <si>
    <t>EI8FT</t>
  </si>
  <si>
    <t>WOS:000392741900023</t>
  </si>
  <si>
    <t>FitzMaurice, A; Straneo, F; Cenedese, C; Andres, M</t>
  </si>
  <si>
    <t>FitzMaurice, A.; Straneo, F.; Cenedese, C.; Andres, M.</t>
  </si>
  <si>
    <t>Effect of a sheared flow on iceberg motion and melting</t>
  </si>
  <si>
    <t>INTERACTIVE ICEBERGS; GLACIAL FJORD; ICE; OCEAN; DYNAMICS</t>
  </si>
  <si>
    <t>Icebergs account for approximately half the freshwater flux into the ocean from the Greenland and Antarctic ice sheets and play a major role in the distribution of meltwater into the ocean. Global climate models distribute this freshwater by parameterizing iceberg motion and melt, but these parameterizations are presently informed by limited observations. Here we present a record of speed and draft for 90 icebergs from Sermilik Fjord, southeastern Greenland, collected in conjunction with wind and ocean velocity data over an 8 month period. It is shown that icebergs subject to strongly sheared flows predominantly move with the vertical average of the ocean currents. If, as typical in iceberg parameterizations, only the surface ocean velocity is taken into account, iceberg speed and basal melt may have errors in excess of 60%. These results emphasize the need for parameterizations to consider ocean properties over the entire iceberg draft.</t>
  </si>
  <si>
    <t>[FitzMaurice, A.] Princeton Univ, Program Atmospher &amp; Ocean Sci, Princeton, NJ 08544 USA; [Straneo, F.; Cenedese, C.; Andres, M.] Woods Hole Oceanog Inst, Woods Hole, MA 02543 USA</t>
  </si>
  <si>
    <t>Princeton University; National Oceanic Atmospheric Admin (NOAA) - USA; Woods Hole Oceanographic Institution</t>
  </si>
  <si>
    <t>FitzMaurice, A (corresponding author), Princeton Univ, Program Atmospher &amp; Ocean Sci, Princeton, NJ 08544 USA.</t>
  </si>
  <si>
    <t>apf@princeton.edu</t>
  </si>
  <si>
    <t>National Oceanic and Atmospheric Administration, U.S. Department of Commerce [NA14OAR4320106]; NSF [OCE-1434041, PLR-1332911]; [NSFPLR-1332911]; Directorate For Geosciences; Division Of Ocean Sciences [1434041] Funding Source: National Science Foundation; Directorate For Geosciences; Office of Polar Programs (OPP) [1332911] Funding Source: National Science Foundation</t>
  </si>
  <si>
    <t>National Oceanic and Atmospheric Administration, U.S. Department of Commerce(National Oceanic Atmospheric Admin (NOAA) - USA); NSF(National Science Foundation (NSF)); ; Directorate For Geosciences; Division Of Ocean Sciences(National Science Foundation (NSF)NSF - Directorate for Geosciences (GEO)); Directorate For Geosciences; Office of Polar Programs (OPP)(National Science Foundation (NSF)NSF - Directorate for Geosciences (GEO))</t>
  </si>
  <si>
    <t>We acknowledge D. Sutherland for help in the PIES deployment and recovery, R. Jackson for providing the processed ADCP data, and A. Silvano for a preliminary analysis of the PIES data, which are available at heatandice.whoi.edu A.F. was supported by NA14OAR4320106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F.S. was supported by NSFPLR-1332911 and OCE-1434041, C.C. was supported by NSF OCE-1434041, and M.A. was supported by NSF PLR-1332911. We thank two anonymous reviewers who provided constructive feedback.</t>
  </si>
  <si>
    <t>10.1002/2016GL071602</t>
  </si>
  <si>
    <t>WOS:000392741900026</t>
  </si>
  <si>
    <t>Kriegisch, N; Reeves, S; Johnson, CR; Ling, SD</t>
  </si>
  <si>
    <t>Kriegisch, Nina; Reeves, Simon; Johnson, Craig R.; Ling, Scott D.</t>
  </si>
  <si>
    <t>Phase-Shift Dynamics of Sea Urchin Overgrazing on Nutrified Reefs</t>
  </si>
  <si>
    <t>SHALLOW SUBTIDAL REEFS; CENTROSTEPHANUS-RODGERSII; NUTRIENT ENRICHMENT; REGIME SHIFTS; STABLE STATES; TOP-DOWN; KELP; COMMUNITY; DENSITY; FOREST</t>
  </si>
  <si>
    <t>Shifts from productive kelp beds to impoverished sea urchin barrens occur globally and represent a wholesale change to the ecology of sub-tidal temperate reefs. Although the theory of shifts between alternative stable states is well advanced, there are few field studies detailing the dynamics of these kinds of transitions. In this study, sea urchin herbivory (a 'top-down' driver of ecosystems) was manipulated over 12 months to estimate (1) the sea urchin density at which kelp beds collapse to sea urchin barrens, and (2) the minimum sea urchin density required to maintain urchin barrens on experimental reefs in the urbanised Port Phillip Bay, Australia. In parallel, the role of one of the 'bottom-up' drivers of ecosystem structure was examined by (3) manipulating local nutrient levels and thus attempting to alter primary production on the experimental reefs. It was found that densities of 8 or more urchins m(-2) (&gt;= 427 g m(-2) biomass) lead to complete overgrazing of kelp beds while kelp bed recovery occurred when densities were reduced to &lt;= 4 urchins m(-2) (&lt;= 213 g m(-2) biomass). This experiment provided further insight into the dynamics of transition between urchin barrens and kelp beds by exploring possible tipping-points which in this system can be found between 4 and 8 urchins m(-2) (213 and 427 g m(-2) respectively). Local enhancement of nutrient loading did not change the urchin density required for overgrazing or kelp bed recovery, as algal growth was not affected by nutrient enhancement.</t>
  </si>
  <si>
    <t>[Kriegisch, Nina; Reeves, Simon; Johnson, Craig R.; Ling, Scott D.] Univ Tasmania, Inst Marine &amp; Antarctic Studies, Battery Point, Tas, Australia</t>
  </si>
  <si>
    <t>Kriegisch, N (corresponding author), Univ Tasmania, Inst Marine &amp; Antarctic Studies, Battery Point, Tas, Australia.</t>
  </si>
  <si>
    <t>nina.kriegisch@utas.edu.au</t>
  </si>
  <si>
    <t>Johnson, Craig R/E-1788-2013; Reeves, Simon E/AAJ-3379-2021; Ling, Scott/J-7161-2014</t>
  </si>
  <si>
    <t>Reeves, Simon/0000-0001-6715-466X; Ling, Scott/0000-0002-5544-8174</t>
  </si>
  <si>
    <t>Victorian Department of Environment, Land, Water and Planning</t>
  </si>
  <si>
    <t>Funding was provided by the Victorian Department of Environment, Land, Water and Planning. The funders had no role in study design, data collection and analysis, decision to publish, or preparation of the manuscript.</t>
  </si>
  <si>
    <t>e0168333</t>
  </si>
  <si>
    <t>10.1371/journal.pone.0168333</t>
  </si>
  <si>
    <t>EG7JB</t>
  </si>
  <si>
    <t>WOS:000391222000044</t>
  </si>
  <si>
    <t>Chaud, LCS; Lario, LD; Bonugli-Santos, RC; Sette, LD; Pessoa, A; Felipe, MDD</t>
  </si>
  <si>
    <t>Chaud, Luciana C. S.; Lario, Luciana D.; Bonugli-Santos, Rafaella C.; Sette, Lara D.; Pessoa Junior, Adalberto; Felipe, Maria das Gracas de A.</t>
  </si>
  <si>
    <t>Improvement in extracellular protease production by the marine antarctic yeast Rhodotorula mucilaginosa L7</t>
  </si>
  <si>
    <t>NEW BIOTECHNOLOGY</t>
  </si>
  <si>
    <t>Protease; Rhodotorula mucilaginosa; Antarctica yeast; Nutritional supplementation</t>
  </si>
  <si>
    <t>MICROBIAL ALKALINE PROTEASES; SOLID-STATE FERMENTATION; COLD-ADAPTED ENZYMES; ACID PROTEASE; EXTREMOPHILES; OPTIMIZATION; PURIFICATION; TEMPERATURE; DIVERSITY; STRESS</t>
  </si>
  <si>
    <t>Microorganisms from extreme and restrictive eco systems, such as the Antarctic continent, are of great interest due to their ability to synthesize products of commercial value. Among these, enzymes from psychrotolerant and psychrophilic microorganisms offer potential economical benefits due to their high activity at low and moderate temperatures. The cold adapted yeast Rhodotorula mucilaginosa L7 was selected out of 97 yeasts isolated from Antarctica as having the highest extracellular proteolytic activity in preliminary tests. The present study was aimed at evaluating the effects of nutrient composition (peptone, rice bran extract, ammonium sulfate, sodium chloride) and physicochemical parameters (temperature and pH) on its proteolytic activity. A 2(6-2) fractional factorial design experiment followed by a central composite design (CCD 2(3)) was performed to optimize the culture conditions and improve the extracellular proteolytic activity. The results indicated that the presence of peptone in the medium was the most influential factor in protease production. Enzymatic activity was enhanced by the interaction between low glucose and peptone concentrations. The optimization of culture conditions with the aid of mathematical modeling enabled a c. 45% increase in proteolytic activity and at the same time reduced the amount of glucose and peptone required for the culture. Thus culture conditions established in this work may be employed in the biotechnological production of this protease. (C) 2016 Elsevier B.V. All rights reserved.</t>
  </si>
  <si>
    <t>[Chaud, Luciana C. S.; Felipe, Maria das Gracas de A.] Univ Sao Paulo, Dept Biotechnol, Sch Engn Lorena, Rod Itajuba Lorena,Km 74-5, BR-12600000 Lorena, SP, Brazil; [Lario, Luciana D.; Pessoa Junior, Adalberto] Univ Sao Paulo, Dept Biochem &amp; Pharmaceut Technol, Sch Pharmaceut Sci, Ave Prof LineuPrestes,580-Bl 16, BR-05508900 Sao Paulo, SP, Brazil; [Bonugli-Santos, Rafaella C.] Fed Univ Latin Amer Integrat, Latin Amer Inst Life Sci &amp; Nat, Itaipu Technol Pk,Cj B, BR-85867970 Foz Do Iguacu, PR, Brazil; [Sette, Lara D.] State Univ Sao Paulo UNESP, Dept Biochem &amp; Microbiol, Inst Biosci, Ave 24A,1515, BR-13506900 Rio Claro, SP, Brazil</t>
  </si>
  <si>
    <t>Universidade de Sao Paulo; Universidade de Sao Paulo; Universidade Federal da Integracao Latino-Americana; Universidade Estadual Paulista</t>
  </si>
  <si>
    <t>Chaud, LCS (corresponding author), Univ Sao Paulo, Dept Biotechnol, Sch Engn Lorena, Rod Itajuba Lorena,Km 74-5, BR-12600000 Lorena, SP, Brazil.</t>
  </si>
  <si>
    <t>lu_chaud@yahoo.com.br</t>
  </si>
  <si>
    <t>de Almeida Felipe, Maria das Graças/AAC-8558-2019; Pessoa-Junior, Adalberto/B-7963-2012; Sette, Lara Durães/C-8298-2013; Bonugli-Santos, Rafaella C/B-3001-2016</t>
  </si>
  <si>
    <t>de Almeida Felipe, Maria das Graças/0000-0002-2754-5866; Pessoa-Junior, Adalberto/0000-0002-5268-8690; Sette, Lara Durães/0000-0002-5980-3786; Bonugli-Santos, Rafaella/0000-0002-5038-8491</t>
  </si>
  <si>
    <t>FAPESP, Sao Paulo, Brazil [2012/23726-4]; FAPESP (FAPESP grant) [2010/170330, 2011/51796-4]; Fundacao de Amparo a Pesquisa do Estado de Sao Paulo (FAPESP) [12/23726-4] Funding Source: FAPESP</t>
  </si>
  <si>
    <t>FAPESP, Sao Paulo, Brazil(Fundacao de Amparo a Pesquisa do Estado de Sao Paulo (FAPESP)); FAPESP (FAPESP grant)(Fundacao de Amparo a Pesquisa do Estado de Sao Paulo (FAPESP)); Fundacao de Amparo a Pesquisa do Estado de Sao Paulo (FAPESP)(Fundacao de Amparo a Pesquisa do Estado de Sao Paulo (FAPESP))</t>
  </si>
  <si>
    <t>L. Lario was supported by post-PhD grant from FAPESP (2012/23726-4), Sao Paulo, Brazil. The authors gratefully acknowledge the financial support FAPESP (FAPESP grant 2010/170330 and 2011/51796-4).</t>
  </si>
  <si>
    <t>1871-6784</t>
  </si>
  <si>
    <t>1876-4347</t>
  </si>
  <si>
    <t>NEW BIOTECHNOL</t>
  </si>
  <si>
    <t>New Biotech.</t>
  </si>
  <si>
    <t>DEC 25</t>
  </si>
  <si>
    <t>10.1016/j.nbt.2016.07.016</t>
  </si>
  <si>
    <t>Biochemical Research Methods; Biotechnology &amp; Applied Microbiology</t>
  </si>
  <si>
    <t>Biochemistry &amp; Molecular Biology; Biotechnology &amp; Applied Microbiology</t>
  </si>
  <si>
    <t>EA7BH</t>
  </si>
  <si>
    <t>WOS:000386782600007</t>
  </si>
  <si>
    <t>Buchanan, PJ; Matear, RJ; Lenton, A; Phipps, SJ; Chase, Z; Etheridge, DM</t>
  </si>
  <si>
    <t>Buchanan, Pearse J.; Matear, Richard J.; Lenton, Andrew; Phipps, Steven J.; Chase, Zanna; Etheridge, David M.</t>
  </si>
  <si>
    <t>The simulated climate of the Last Glacial Maximum and insights into the global marine carbon cycle</t>
  </si>
  <si>
    <t>SEA-SURFACE TEMPERATURE; ATMOSPHERIC CO2 CONCENTRATIONS; INTERMEDIATE-WATER OXYGEN; WESTERN NORTH-AMERICA; DEEP SOUTHERN-OCEAN; VOSTOK ICE CORE; ARABIAN SEA; ATLANTIC SECTOR; LATE QUATERNARY; BENTHIC FORAMINIFERA</t>
  </si>
  <si>
    <t>The ocean's ability to store large quantities of carbon, combined with the millennial longevity over which this reservoir is overturned, has implicated the ocean as a key driver of glacial-interglacial climates. However, the combination of processes that cause an accumulation of carbon within the ocean during glacial periods is still under debate. Here we present simulations of the Last Glacial Maximum (LGM) using the CSIRO Mk3L-COAL (Carbon-Ocean-Atmosphere-Land) earth system model to test the contribution of physical and biogeochemical processes to ocean carbon storage. For the LGM simulation, we find a significant global cooling of the surface ocean (3.2 degrees C) and the expansion of both minimum and maximum sea ice cover broadly consistent with proxy reconstructions. The glacial ocean stores an additional 267 Pg C in the deep ocean relative to the pre-industrial (PI) simulation due to stronger Antarctic Bottom Water formation. However, 889 PgC is lost from the upper ocean via equilibration with a lower atmospheric CO2 concentration and a global decrease in export production, causing a net loss of carbon relative to the PI ocean. The LGM deep ocean also experiences an oxygenation (&gt;100 mmol O-2 m(-3)) and deepening of the calcite saturation horizon (exceeds the ocean bottom) at odds with proxy reconstructions. With modifications to key biogeochemical processes, which include an increased export of organic matter due to a simulated release from iron limitation, a deepening of remineralisation and decreased inorganic carbon export driven by cooler temperatures, we find that the carbon content of the glacial ocean can be sufficiently increased (317 Pg C) to explain the reduction in atmospheric and terrestrial carbon at the LGM (194 +/- 2 and 330 +/- 400 Pg C, respectively). Assuming an LGM-PI difference of 95 ppm pCO(2), we find that 55 ppm can be attributed to the biological pump, 28 ppm to circulation changes and the remaining 12 ppm to solubility. The biogeochemical modifications also improve model-proxy agreement in export production, carbonate chemistry and dissolved oxygen fields. Thus, we find strong evidence that variations in the oceanic biological pump exert a primary control on the climate.</t>
  </si>
  <si>
    <t>[Buchanan, Pearse J.; Phipps, Steven J.; Chase, Zanna] Univ Tasmania, Inst Marine &amp; Antarctic Studies, Hobart, Tas, Australia; [Buchanan, Pearse J.; Matear, Richard J.; Lenton, Andrew] CSIRO Marine Labs, CSIRO Oceans &amp; Atmosphere, GPO Box 1538, Hobart, Tas, Australia; [Buchanan, Pearse J.; Matear, Richard J.] Univ Tasmania, ARC Ctr Excellence Climate Syst Sci, Hobart, Tas, Australia; [Etheridge, David M.] CSIRO Ocean &amp; Atmosphere, Aspendale, Vic, Australia</t>
  </si>
  <si>
    <t>University of Tasmania; Commonwealth Scientific &amp; Industrial Research Organisation (CSIRO); University of Tasmania; ARC Centre of Excellence for Climate System Science; Commonwealth Scientific &amp; Industrial Research Organisation (CSIRO)</t>
  </si>
  <si>
    <t>Buchanan, PJ (corresponding author), Univ Tasmania, Inst Marine &amp; Antarctic Studies, Hobart, Tas, Australia.;Buchanan, PJ (corresponding author), CSIRO Marine Labs, CSIRO Oceans &amp; Atmosphere, GPO Box 1538, Hobart, Tas, Australia.;Buchanan, PJ (corresponding author), Univ Tasmania, ARC Ctr Excellence Climate Syst Sci, Hobart, Tas, Australia.</t>
  </si>
  <si>
    <t>pearse.buchanan@utas.edu.au</t>
  </si>
  <si>
    <t>Buchanan, Pearse/O-1242-2019; Buchanan, Pearse/JZE-1421-2024; Etheridge, David M/B-7334-2013; Chase, Zanna/E-9232-2013; matear, richard/C-5133-2011; Lenton, Andrew/D-2077-2012; Phipps, Steven/B-3135-2008</t>
  </si>
  <si>
    <t>Buchanan, Pearse/0000-0001-7142-882X; Chase, Zanna/0000-0001-5060-779X; matear, richard/0000-0002-3225-0800; Lenton, Andrew/0000-0001-9437-8896; Phipps, Steven/0000-0001-5657-8782; Etheridge, David/0000-0001-7970-2002</t>
  </si>
  <si>
    <t>Australian Climate Change Science Program; CSIRO Wealth from Ocean Flagship; Merit Allocation Scheme on the NCI National Facility at the Australian National University; Australian Research Council [SR140300001]; Australian Research Council [SR140300001] Funding Source: Australian Research Council</t>
  </si>
  <si>
    <t>Australian Climate Change Science Program; CSIRO Wealth from Ocean Flagship; Merit Allocation Scheme on the NCI National Facility at the Australian National University; Australian Research Council(Australian Research Council); Australian Research Council(Australian Research Council)</t>
  </si>
  <si>
    <t>We wish to thank Katsumi Matsumoto and Andreas Schmittner for their reviews that significantly improved the manuscript. Funding for this work was provided by the Australian Climate Change Science Program and CSIRO Wealth from Ocean Flagship. An award under the Merit Allocation Scheme on the NCI National Facility at the Australian National University ensured that numerical simulations could be undertaken. This research was also supported under the Australian Research Council's Special Research Initiative for the Antarctic Gateway Partnership (Project ID SR140300001). The authors wish to acknowledge the use of the Ferret program (http://ferret.pmel.noaa.gov/Ferret/) for the analysis undertaken in this work. The matplotlib package (Hunter, 2007), Iris and Cartopy packages (http://scitools.org.uk/), and cmocean package (Thyng et al., 2016) were all used for producing visualisations.</t>
  </si>
  <si>
    <t>DEC 22</t>
  </si>
  <si>
    <t>10.5194/cp-12-2271-2016</t>
  </si>
  <si>
    <t>EG8CG</t>
  </si>
  <si>
    <t>WOS:000391282700001</t>
  </si>
  <si>
    <t>Rehfeld, K; Trachsel, M; Telford, RJ; Laepple, T</t>
  </si>
  <si>
    <t>Rehfeld, Kira; Trachsel, Mathias; Telford, Richard J.; Laepple, Thomas</t>
  </si>
  <si>
    <t>Assessing performance and seasonal bias of pollen-based climate reconstructions in a perfect model world</t>
  </si>
  <si>
    <t>LATE-HOLOCENE CLIMATE; ASIAN MONSOON REGION; QUANTITATIVE RECONSTRUCTIONS; PAST CLIMATE; TEMPERATURE; VARIABILITY; CIRCULATION; VEGETATION; EVOLUTION; EUROPE</t>
  </si>
  <si>
    <t>Reconstructions of summer, winter or annual mean temperatures based on the species composition of bio-indicators such as pollen, foraminifera or chironomids are routinely used in climate model-proxy data comparison studies. Most reconstruction algorithms exploit the joint distribution of modern spatial climate and species distribution for the development of the reconstructions. They rely on the space-for-time substitution and the specific assumption that environmental variables other than those reconstructed are not important or that their relationship with the reconstructed variable(s) should be the same in the past as in the modern spatial calibration dataset. Here we test the implications of this correlative uniformitarianism assumption on climate reconstructions in an ideal model world, in which climate and vegetation are known at all times. The alternate reality is a climate simulation of the last 6000 years with dynamic vegetation. Transient changes of plant functional types are considered as surrogate pollen counts and allow us to establish, apply and evaluate transfer functions in the modeled world. We find that in our model experiments the transfer function cross validation r(2) is of limited use to identify reconstructible climate variables, as it only relies on the modern spatial climate-vegetation relationship. However, ordination approaches that assess the amount of fossil vegetation variance explained by the reconstructions are promising. We furthermore show that correlations between climate variables in the modern climate-vegetation relationship are systematically extended into the reconstructions. Summer temperatures, the most prominent driving variable for modeled vegetation change in the Northern Hemisphere, are accurately reconstructed. However, the amplitude of the model winter and mean annual temperature cooling between the mid-Holocene and present day is overestimated and similar to the summer trend in magnitude. This effect occurs because temporal changes of a dominant climate variable, such as summer temperatures in the model's Arctic, are imprinted on a less important variable, leading to reconstructions biased towards the dominant variable's trends. Our results, although based on a model vegetation that is inevitably simpler than reality, indicate that reconstructions of multiple climate variables based on modern spatial bio-indicator datasets should be treated with caution. Expert knowledge on the ecophysiological drivers of the proxies, as well as statistical methods that go beyond the cross validation on modern calibration datasets, are crucial to avoid misinterpretation.</t>
  </si>
  <si>
    <t>[Rehfeld, Kira; Laepple, Thomas] Helmholtz Ctr Polar &amp; Marine Res, Alfred Wegener Inst, D-14473 Potsdam, Germany; [Trachsel, Mathias; Telford, Richard J.] Univ Bergen, Dept Biol, Postboks 7803, N-5020 Bergen, Norway; [Telford, Richard J.] Bjerknes Ctr Climate Res, Allegaten 55, N-5007 Bergen, Norway; [Rehfeld, Kira] British Antarctic Survey, Cambridge, England; [Trachsel, Mathias] Univ Maryland, Dept Geol, College Pk, MD 20742 USA</t>
  </si>
  <si>
    <t>Helmholtz Association; Alfred Wegener Institute, Helmholtz Centre for Polar &amp; Marine Research; University of Bergen; Bjerknes Centre for Climate Research; UK Research &amp; Innovation (UKRI); Natural Environment Research Council (NERC); NERC British Antarctic Survey; University System of Maryland; University of Maryland College Park</t>
  </si>
  <si>
    <t>Rehfeld, K (corresponding author), Helmholtz Ctr Polar &amp; Marine Res, Alfred Wegener Inst, D-14473 Potsdam, Germany.;Trachsel, M (corresponding author), Univ Bergen, Dept Biol, Postboks 7803, N-5020 Bergen, Norway.;Rehfeld, K (corresponding author), British Antarctic Survey, Cambridge, England.;Trachsel, M (corresponding author), Univ Maryland, Dept Geol, College Pk, MD 20742 USA.</t>
  </si>
  <si>
    <t>krehfeld@awi.de; mtrachs@umd.edu</t>
  </si>
  <si>
    <t>Rehfeld, Kira/G-9945-2013; Rehfeld, Kira/O-1781-2019; Telford, Richard/AAD-2249-2019; Trachsel, Mathias/I-2194-2017; Laepple, Thomas/M-8783-2015</t>
  </si>
  <si>
    <t>Rehfeld, Kira/0000-0002-9442-5362; Rehfeld, Kira/0000-0002-9442-5362; Telford, Richard/0000-0001-9826-3076; Trachsel, Mathias/0000-0003-0078-5795; Laepple, Thomas/0000-0001-8108-7520</t>
  </si>
  <si>
    <t>Initiative and Networking Fund of the Helmholtz Association [VH-NG-900]; DAAD-PPP program [57160457]</t>
  </si>
  <si>
    <t>Initiative and Networking Fund of the Helmholtz Association; DAAD-PPP program</t>
  </si>
  <si>
    <t>We gratefully acknowledge Anne Dallmeyer and Johann Jungclaus for providing the ECHAM5/MPIOM model output, Ulrike Herzschuh for discussion and John W. Williams and two anonymous reviewers helped us to improve the manuscript. Andrew Dolman is thanked for proofreading. We thank the Initiative and Networking Fund of the Helmholtz Association (grant VH-NG-900) for funding and the DAAD-PPP program (contract 57160457) for travel support.</t>
  </si>
  <si>
    <t>DEC 21</t>
  </si>
  <si>
    <t>10.5194/cp-12-2255-2016</t>
  </si>
  <si>
    <t>EG8CE</t>
  </si>
  <si>
    <t>WOS:000391282500001</t>
  </si>
  <si>
    <t>Nowicki, SMJ; Payne, A; Larour, E; Seroussi, H; Goelzer, H; Lipscomb, W; Gregory, J; Abe-Ouchi, A; Shepherd, A</t>
  </si>
  <si>
    <t>Nowicki, Sophie M. J.; Payne, Anthony; Larour, Eric; Seroussi, Helene; Goelzer, Heiko; Lipscomb, William; Gregory, Jonathan; Abe-Ouchi, Ayako; Shepherd, Andrew</t>
  </si>
  <si>
    <t>Ice Sheet Model Intercomparison Project (ISMIP6) contribution to CMIP6</t>
  </si>
  <si>
    <t>GEOSCIENTIFIC MODEL DEVELOPMENT</t>
  </si>
  <si>
    <t>SURFACE MASS-BALANCE; FUTURE SEA-LEVEL; MULTIMODEL PROJECTIONS; EXPERIMENTAL-DESIGN; ELEVATION FEEDBACK; CLIMATE-CHANGE; GREENLAND; SHELF; SYSTEM; SIMULATIONS</t>
  </si>
  <si>
    <t>Reducing the uncertainty in the past, present, and future contribution of ice sheets to sea-level change requires a coordinated effort between the climate and glaciology communities. The Ice Sheet Model Intercomparison Project for CMIP6 (ISMIP6) is the primary activity within the Coupled Model Intercomparison Project - phase 6 (CMIP6) focusing on the Greenland and Antarctic ice sheets. In this paper, we describe the framework for ISMIP6 and its relationship with other activities within CMIP6. The ISMIP6 experimental design relies on CMIP6 climate models and includes, for the first time within CMIP, coupled ice-sheet-climate models as well as standalone ice-sheet models. To facilitate analysis of the multi-model ensemble and to generate a set of standard climate inputs for standalone ice-sheet models, ISMIP6 defines a protocol for all variables related to ice sheets. ISMIP6 will provide a basis for investigating the feedbacks, impacts, and sea-level changes associated with dynamic ice sheets and for quantifying the uncertainty in ice-sheet-sourced global sea-level change.</t>
  </si>
  <si>
    <t>[Nowicki, Sophie M. J.] NASA, Goddard Space Flight Ctr, Greenbelt, MD 20771 USA; [Payne, Anthony] Univ Bristol, Sch Geog Sci, Bristol BS8 1SS, Avon, England; [Larour, Eric; Seroussi, Helene] CALTECH, Jet Prop Lab, 4800 Oak Grove Dr, Pasadena, CA 91109 USA; [Goelzer, Heiko] Univ Utrecht, Inst Marine &amp; Atmospher Res, NL-3584 CC Utrecht, Netherlands; [Goelzer, Heiko] Univ Libre Bruxelles, Lab Glaciol, CP160-03,Ave Roosevelt 50, B-1050 Brussels, Belgium; [Lipscomb, William] Los Alamos Natl Lab, Los Alamos, NM 87544 USA; [Gregory, Jonathan] Univ Reading, Dept Meteorol, Reading RG6 6BB, Berks, England; [Gregory, Jonathan] Met Off Hadley Ctr, Exeter EX1 3BP, Devon, England; [Abe-Ouchi, Ayako] Univ Tokyo, Atmosphere &amp; Ocean Res Inst, Kashiwa, Chiba 2778564, Japan; [Abe-Ouchi, Ayako] Japan Agcy Marine Earth Sci &amp; Technol, Yokohama, Kanagawa, Japan; [Shepherd, Andrew] Univ Leeds, Sch Earth &amp; Environm, Leeds LS2 9JT, W Yorkshire, England</t>
  </si>
  <si>
    <t>National Aeronautics &amp; Space Administration (NASA); NASA Goddard Space Flight Center; University of Bristol; California Institute of Technology; National Aeronautics &amp; Space Administration (NASA); NASA Jet Propulsion Laboratory (JPL); Utrecht University; Universite Libre de Bruxelles; United States Department of Energy (DOE); Los Alamos National Laboratory; University of Reading; Met Office - UK; Hadley Centre; University of Tokyo; Japan Agency for Marine-Earth Science &amp; Technology (JAMSTEC); University of Leeds</t>
  </si>
  <si>
    <t>Nowicki, SMJ (corresponding author), NASA, Goddard Space Flight Ctr, Greenbelt, MD 20771 USA.</t>
  </si>
  <si>
    <t>sophie.nowicki@nasa.gov</t>
  </si>
  <si>
    <t>Gregory, Jonathan/J-2939-2016; Seroussi, Helene/AAX-5342-2021; Goelzer, Heiko/M-2367-2016; Lipscomb, William/AAR-8668-2021; Abe-Ouchi, Ayako A/M-6359-2013; payne, antony/A-8916-2008</t>
  </si>
  <si>
    <t>Gregory, Jonathan/0000-0003-1296-8644; Seroussi, Helene/0000-0001-9201-1644; Goelzer, Heiko/0000-0002-5878-9599; Abe-Ouchi, Ayako A/0000-0003-1745-5952; Lipscomb, William/0000-0002-7100-3730; payne, antony/0000-0001-8825-8425; Shepherd, Andrew/0000-0002-4914-1299</t>
  </si>
  <si>
    <t>Climate and Cryosphere (CliC) Project; World Climate Research Programme (WCRP); Netherlands Earth System Science Centre (NESSC); Dutch Ministry of Education, Culture and Science (OCW) [024.002.001]; NASA Cryospheric Science Program; NASA Modeling Analysis and Prediction Program; Regional and Global Climate Modeling program of the Office of Biological and Environmental Research within the US Department of Energy's Office of Science; NERC Centre for Polar Observation and Modelling (CPOM); NERC [cpom30001, NE/N017978/1, NE/J005738/1] Funding Source: UKRI; Natural Environment Research Council [ncas10009, NE/N017978/1, cpom30001, NE/J005738/1] Funding Source: researchfish; Grants-in-Aid for Scientific Research [26241011, 25241005, 16H02224] Funding Source: KAKEN</t>
  </si>
  <si>
    <t>Climate and Cryosphere (CliC) Project; World Climate Research Programme (WCRP); Netherlands Earth System Science Centre (NESSC); Dutch Ministry of Education, Culture and Science (OCW); NASA Cryospheric Science Program; NASA Modeling Analysis and Prediction Program(National Aeronautics &amp; Space Administration (NASA)); Regional and Global Climate Modeling program of the Office of Biological and Environmental Research within the US Department of Energy's Office of Science; NERC Centre for Polar Observation and Modelling (CPOM);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</si>
  <si>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the CMIP6 panel members for their continuous leadership of the CMIP6 effort, the Working Group on Coupled Modeling (WGCM) Infrastructure Panel (WIP) for overseeing the CMIP6 and ISMIP6 infrastructure, and in particular Martin Juckes and Alison Pamment for their help with the ISMIP6 data request, and Karl Taylor for sharing his wisdom on CMIP experiment protocols. We thank the current ISMIP6 members, the modeling groups, and the wider glaciology community for their contribution in the ISMIP6 design. We acknowledge the Climate and Cryosphere (CliC) Project and the World Climate Research Programme (WCRP) for their guidance, support, and sponsorship. Heiko Goelzer has received funding from the program of the Netherlands Earth System Science Centre (NESSC), financially supported by the Dutch Ministry of Education, Culture and Science (OCW) under grant no. 024.002.001. Sophie Nowicki, Helene Seroussi, and Eric Larour were supported by grants from the NASA Cryospheric Science Program and the NASA Modeling Analysis and Prediction Program. William Lipscomb was supported by the Regional and Global Climate Modeling program of the Office of Biological and Environmental Research within the US Department of Energy's Office of Science. Anthony Payne is supported by the NERC Centre for Polar Observation and Modelling (CPOM). We thank our topical editor Philippe Huybrechts, our reviewers Christian Rodehacke and Xylar Asay-Davis, and everyone who contributed to the open discussion for constructive comments.</t>
  </si>
  <si>
    <t>1991-959X</t>
  </si>
  <si>
    <t>1991-9603</t>
  </si>
  <si>
    <t>GEOSCI MODEL DEV</t>
  </si>
  <si>
    <t>Geosci. Model Dev.</t>
  </si>
  <si>
    <t>10.5194/gmd-9-4521-2016</t>
  </si>
  <si>
    <t>EH2EF</t>
  </si>
  <si>
    <t>Green Accepted, Green Submitted, Green Published, gold</t>
  </si>
  <si>
    <t>WOS:000391579600002</t>
  </si>
  <si>
    <t>Lecours, V; Brown, CJ; Devillers, R; Lucieer, VL; Edinger, EN</t>
  </si>
  <si>
    <t>Lecours, Vincent; Brown, Craig J.; Devillers, Rodolphe; Lucieer, Vanessa L.; Edinger, Evan N.</t>
  </si>
  <si>
    <t>Comparing Selections of Environmental Variables for Ecological Studies: A Focus on Terrain Attributes</t>
  </si>
  <si>
    <t>FRACTAL DIMENSION; ACCURACY; MODELS; CHALLENGES; MARINE; SCALE; TOOL; AUC</t>
  </si>
  <si>
    <t>Selecting appropriate environmental variables is a key step in ecology. Terrain attributes (e.g. slope, rugosity) are routinely used as abiotic surrogates of species distribution and to produce habitat maps that can be used in decision-making for conservation or management. Selecting appropriate terrain attributes for ecological studies may be a challenging process that can lead users to select a subjective, potentially sub-optimal combination of attributes for their applications. The objective of this paper is to assess the impacts of subjectively selecting terrain attributes for ecological applications by comparing the performance of different combinations of terrain attributes in the production of habitat maps and species distribution models. Seven different selections of terrain attributes, alone or in combination with other environmental variables, were used to map benthic habitats of German Bank (off Nova Scotia, Canada). 29 maps of potential habitats based on unsupervised classifications of biophysical characteristics of German Bank were produced, and 29 species distribution models of sea scallops were generated using MaxEnt. The performances of the 58 maps were quantified and compared to evaluate the effectiveness of the various combinations of environmental variables. One of the combinations of terrain attributes recommended in a related study and that includes a measure of relative position, slope, two measures of orientation, topographic mean and a measure of rugosity yielded better results than the other selections for both methodologies, confirming that they together best describe terrain properties. Important differences in performance (up to 47% in accuracy measurement) and spatial outputs (up to 58% in spatial distribution of habitats) highlighted the importance of carefully selecting variables for ecological applications. This paper demonstrates that making a subjective choice of variables may reduce map accuracy and produce maps that do not adequately represent habitats and species distributions, thus having important implications when these maps are used for decision-making.</t>
  </si>
  <si>
    <t>[Lecours, Vincent; Devillers, Rodolphe; Edinger, Evan N.] Mem Univ Newfoundland, Dept Geog, 232 Elizabeth Ave, St John, NF, Canada; [Brown, Craig J.] Nova Scotia Community Coll, Appl Res, 80 Mawiomi Pl, Dartmouth, NS, Canada; [Lucieer, Vanessa L.] Univ Tasmania, Inst Marine &amp; Antarctic Studies, 20 Castray Esplanade, Battery Point, Tas, Australia; [Edinger, Evan N.] Mem Univ Newfoundland, Dept Biol, 232 Elizabeth Ave, St John, NF, Canada</t>
  </si>
  <si>
    <t>Memorial University Newfoundland; University of Tasmania; Memorial University Newfoundland</t>
  </si>
  <si>
    <t>Lecours, V (corresponding author), Mem Univ Newfoundland, Dept Geog, 232 Elizabeth Ave, St John, NF, Canada.</t>
  </si>
  <si>
    <t>vlecours@mun.ca</t>
  </si>
  <si>
    <t>Devillers, Rodolphe/AAR-3509-2021; Lecours, Vincent/J-5514-2019; Brown, Craig J/N-7364-2013; Devillers, Rodolphe/R-3700-2019; Lucieer, Vanessa/D-1697-2009</t>
  </si>
  <si>
    <t>Devillers, Rodolphe/0000-0003-0784-847X; Lecours, Vincent/0000-0002-4777-3348; Devillers, Rodolphe/0000-0003-0784-847X; Lucieer, Vanessa/0000-0001-7531-5750; Brown, Craig/0000-0002-5125-978X</t>
  </si>
  <si>
    <t>Natural Sciences and Engineering Research Council of Canada</t>
  </si>
  <si>
    <t>Natural Sciences and Engineering Research Council of Canada(Natural Sciences and Engineering Research Council of Canada (NSERC)CGIAR)</t>
  </si>
  <si>
    <t>VL received funding from the Natural Sciences and Engineering Research Council of Canada. The funders had no role in study design, data collection and analysis, decision to publish, or preparation of the manuscript.</t>
  </si>
  <si>
    <t>e0167128</t>
  </si>
  <si>
    <t>10.1371/journal.pone.0167128</t>
  </si>
  <si>
    <t>EI9TW</t>
  </si>
  <si>
    <t>WOS:000392853100007</t>
  </si>
  <si>
    <t>Langematz, U; Schmidt, F; Kunze, M; Bodeker, GE; Braesicke, P</t>
  </si>
  <si>
    <t>Langematz, Ulrike; Schmidt, Franziska; Kunze, Markus; Bodeker, Gregory E.; Braesicke, Peter</t>
  </si>
  <si>
    <t>Antarctic ozone depletion between 1960 and 1980 in observations and chemistry-climate model simulations</t>
  </si>
  <si>
    <t>HOLE</t>
  </si>
  <si>
    <t>The year 1980 has often been used as a benchmark for the return of Antarctic ozone to conditions assumed to be unaffected by emissions of ozone-depleting substances (ODSs), implying that anthropogenic ozone depletion in Antarctica started around 1980. Here, the extent of anthropogenically driven Antarctic ozone depletion prior to 1980 is examined using output from transient chemistry-climate model (CCM) simulations from 1960 to 2000 with prescribed changes of ozone-depleting substance concentrations in conjunction with observations. A regression model is used to attribute CCM modelled and observed changes in Antarctic total column ozone to halogen-driven chemistry prior to 1980. Wintertime Antarctic ozone is strongly affected by dynamical processes that vary in amplitude from year to year and from model to model. However, when the dynamical and chemical impacts on ozone are separated, all models consistently show a long-term, halogen-induced negative trend in Antarctic ozone from 1960 to 1980. The anthropogenically driven ozone loss from 1960 to 1980 ranges between 26.4 +/- 3.4 and 49.8 +/- 6.2% of the total anthropogenic ozone depletion from 1960 to 2000. An even stronger ozone decline of 56.4 +/- 6.8% was estimated from ozone observations. This analysis of the observations and simulations from 17 CCMs clarifies that while the return of Antarctic ozone to 1980 values remains a valid milestone, achieving that milestone is not indicative of full recovery of the Antarctic ozone layer from the effects of ODSs.</t>
  </si>
  <si>
    <t>[Langematz, Ulrike; Schmidt, Franziska; Kunze, Markus] Free Univ Berlin, Berlin, Germany; [Bodeker, Gregory E.] Bodeker Sci, Alexandra, New Zealand; [Braesicke, Peter] Karlsruhe Inst Technol, Karlsruhe, Germany</t>
  </si>
  <si>
    <t>Free University of Berlin; Helmholtz Association; Karlsruhe Institute of Technology</t>
  </si>
  <si>
    <t>Langematz, U (corresponding author), Free Univ Berlin, Berlin, Germany.</t>
  </si>
  <si>
    <t>ulrike.langematz@met.fu-berlin.de</t>
  </si>
  <si>
    <t>Bodeker, Greg E/A-8870-2008; Braesicke, Peter/D-8330-2016</t>
  </si>
  <si>
    <t>Braesicke, Peter/0000-0003-1423-0619; Kunze, Markus/0000-0002-9608-1823; Bodeker, Gregory/0000-0003-1094-5852</t>
  </si>
  <si>
    <t>International Bureau of the Federal Ministry of Education and Research</t>
  </si>
  <si>
    <t>We acknowledge the modelling groups for making their simulations available for this analysis, the chemistry-climate model validation (CCMVal) activity of WCRP's (World Climate Research Programme) SPARC (stratosphere-troposphere processes and their role in climate) project for organizing and coordinating the model data analysis activity, and the British Atmospheric Data Centre (BADC) for collecting and archiving the CCMVal model output. We thank Ted Shepherd for his thoughts on the methodology underlying this paper. We thank Christian Blume for input to Fig. 1. U. Langematz was supported by the International Bureau of the Federal Ministry of Education and Research.</t>
  </si>
  <si>
    <t>DEC 20</t>
  </si>
  <si>
    <t>10.5194/acp-16-15619-2016</t>
  </si>
  <si>
    <t>EH1VI</t>
  </si>
  <si>
    <t>WOS:000391555300001</t>
  </si>
  <si>
    <t>Mangel, M</t>
  </si>
  <si>
    <t>Mangel, Marc</t>
  </si>
  <si>
    <t>Whales, science, and scientific whaling in the International Court of Justice</t>
  </si>
  <si>
    <t>scientific whaling; international law; science and law</t>
  </si>
  <si>
    <t>AUSTRALIA-V.-JAPAN; CONSERVATION</t>
  </si>
  <si>
    <t>I provide a brief review of the origins of the International Convention on the Regulation of Whaling and the failure to successfully regulate whaling that led to the commercial moratorium in 1986. I then describe the Japanese Whale Research Programs Under Special Permit in the Antarctica (JARPA I, JARPA II) and the origins of the case Whaling in the Antarctic (Australia v. Japan: New Zealand Intervening) in the International Court of Justice. I explain that the International Court of Justice chose to conduct an objective review of JARPA II, the standard that it used for the review, and the pathway that it took to adjudicate the case without providing a definition of science to be used in international law. I conclude with a brief discussion of the implications of the Judgment for the International Convention on the Regulation of Whaling, and the International Whaling Commission in particular, for other international treaties, and for the interaction of science and law more generally.</t>
  </si>
  <si>
    <t>[Mangel, Marc] Univ Calif Santa Cruz, Dept Appl Math &amp; Stat, Santa Cruz, CA 95064 USA; [Mangel, Marc] Univ Bergen, Dept Biol, N-6020 Bergen, Norway</t>
  </si>
  <si>
    <t>University of California System; University of California Santa Cruz; University of Bergen</t>
  </si>
  <si>
    <t>Mangel, M (corresponding author), Univ Calif Santa Cruz, Dept Appl Math &amp; Stat, Santa Cruz, CA 95064 USA.;Mangel, M (corresponding author), Univ Bergen, Dept Biol, N-6020 Bergen, Norway.</t>
  </si>
  <si>
    <t>msmangel@ucsc.edu</t>
  </si>
  <si>
    <t>10.1073/pnas.1604988113</t>
  </si>
  <si>
    <t>EF0VR</t>
  </si>
  <si>
    <t>WOS:000390044900029</t>
  </si>
  <si>
    <t>Ade, PAR; Ahmed, Z; Aikin, RW; Alexander, KD; Barkats, D; Benton, SJ; Bischoff, CA; Bock, JJ; Bowens-Rubin, R; Brevik, JA; Buder, I; Bullock, E; Buza, V; Connors, J; Crill, BP; Duband, L; Dyorkin, C; Filippini, JP; Fliescher, S; Grayson, J; Halpern, M; Harrison, S; Hildebrandt, SR; Hilton, GC; Hui, H; Irwin, KD; Kang, J; Karkare, KS; Karpel, E; Kaufman, JP; Keating, BG; Kefeli, S; Kernasoyskiy, SA; Kovac, JM; Kuo, CL; Leitch, EM; Lueker, M; Megerian, KG; Namikawa, T; Netterfield, CB; Nguyen, HT; O'Brient, R; Ogburn, RW; Orlando, A; Pryke, C; Richter, S; Schwarz, R; Sheehy, CD; Staniszewski, ZK; Steinbach, B; Sudiwala, RV; Teply, GP; Thompson, KL; Tolan, JE; Tucker, C; Turner, AD; Vieregg, AG; Weber, AC; Wiebe, DV; Willmert, J; Wong, CL; Wu, WLK; Yoon, KW</t>
  </si>
  <si>
    <t>Ade, P. A. R.; Ahmed, Z.; Aikin, R. W.; Alexander, K. D.; Barkats, D.; Benton, S. J.; Bischoff, C. A.; Bock, J. J.; Bowens-Rubin, R.; Brevik, J. A.; Buder, I.; Bullock, E.; Buza, V.; Connors, J.; Crill, B. P.; Duband, L.; Dyorkin, C.; Filippini, J. P.; Fliescher, S.; Grayson, J.; Halpern, M.; Harrison, S.; Hildebrandt, S. R.; Hilton, G. C.; Hui, H.; Irwin, K. D.; Kang, J.; Karkare, K. S.; Karpel, E.; Kaufman, J. P.; Keating, B. G.; Kefeli, S.; Kernasoyskiy, S. A.; Kovac, J. M.; Kuo, C. L.; Leitch, E. M.; Lueker, M.; Megerian, K. G.; Namikawa, T.; Netterfield, C. B.; Nguyen, H. T.; O'Brient, R.; Ogburn, R. W.; Orlando, A.; Pryke, C.; Richter, S.; Schwarz, R.; Sheehy, C. D.; Staniszewski, Z. K.; Steinbach, B.; Sudiwala, R. V.; Teply, G. P.; Thompson, K. L.; Tolan, J. E.; Tucker, C.; Turner, A. D.; Vieregg, A. G.; Weber, A. C.; Wiebe, D. V.; Willmert, J.; Wong, C. L.; Wu, W. L. K.; Yoon, K. W.</t>
  </si>
  <si>
    <t>Keck Array Bicep2 Collaborations</t>
  </si>
  <si>
    <t>BICEP2/KECK ARRAY VIII: MEASUREMENT OF GRAVITATIONAL LENSING FROM LARGE-SCALE B-MODE POLARIZATION</t>
  </si>
  <si>
    <t>ASTROPHYSICAL JOURNAL</t>
  </si>
  <si>
    <t>cosmic background radiation; cosmology: observations; gravitational lensing: weak; polarization</t>
  </si>
  <si>
    <t>MICROWAVE; CMB; RECONSTRUCTION; MASS</t>
  </si>
  <si>
    <t>We present measurements of polarization lensing using the 150 GHz maps, which include all data taken by the BICEP2 and Keck Array Cosmic Microwave Background polarization experiments up to and including the 2014 observing season (BK14). Despite their modest angular resolution (similar to 0 degrees.5), the excellent sensitivity (similar to 3 mu K-arcmin) of these maps makes it possible to directly reconstruct the lensing potential using only information at larger angular scales (l &lt;= 700). From the auto-spectrum of the reconstructed potential, we measure an amplitude of the spectrum to be A(L)(phi phi) = 1.15 +/- 0.36 (Planck CDM prediction corresponds to A(L)(phi phi) = 1) and reject the no-lensing hypothesis at 5.8s, which is the highest significance achieved to date using an EB lensing estimator. Taking the cross-spectrum of the reconstructed potential with the Planck 2015 lensing map yields A(L)(phi phi) = 1.13 +/- 0.20. These direct measurements of A(L)(phi phi) are consistent with the CDM cosmology and with that derived from the previously reported BK14 B-mode auto-spectrum (A(L)(BB) = 1.20 +/- 0.17). We perform a series of null tests and consistency checks to show that these results are robust against systematics and are insensitive to analysis choices. These results unambiguously demonstrate that the B modes previously reported by BICEP / Keck at intermediate angular scales (150 less than or similar to l less than or similar to 350) are dominated by gravitational lensing. The good agreement between the lensing amplitudes obtained from the lensing reconstruction and B-mode spectrum starts to place constraints on any alternative cosmological sources of B modes at these angular scales.</t>
  </si>
  <si>
    <t>[Ade, P. A. R.; Kernasoyskiy, S. A.; Sudiwala, R. V.; Tucker, C.] Cardiff Univ, Sch Phys &amp; Astron, Cardiff CF24 3AA, S Glam, Wales; [Ahmed, Z.; Buza, V.; Grayson, J.; Irwin, K. D.; Kang, J.; Karpel, E.; Kuo, C. L.; Namikawa, T.; Ogburn, R. W.; Thompson, K. L.; Tolan, J. E.; Wu, W. L. K.; Yoon, K. W.; Keck Array Bicep2 Collaborations] Stanford Univ, Dept Phys, Stanford, CA 94305 USA; [Ahmed, Z.; Irwin, K. D.; Kang, J.; Kuo, C. L.; Namikawa, T.; Ogburn, R. W.; Thompson, K. L.] Kavli Inst Particle Astrophys &amp; Cosmol, SLAC Natl Accelerator Lab, 2575 Sand Hill Rd, Menlo Pk, CA 94025 USA; [Aikin, R. W.] CALTECH, Dept Phys, Pasadena, CA 91125 USA; [Alexander, K. D.; Barkats, D.; Bischoff, C. A.; Bowens-Rubin, R.; Buder, I.; Connors, J.; Harrison, S.; Karkare, K. S.; Kovac, J. M.; Richter, S.; Vieregg, A. G.; Wong, C. L.] Harvard Smithsonian Ctr Astrophys, 60 Garden St MS 42, Cambridge, MA 02138 USA; [Benton, S. J.; Netterfield, C. B.] Univ Toronto, Dept Phys, Toronto, ON M5S 1A7, Canada; [Bock, J. J.; Brevik, J. A.; Filippini, J. P.; Hildebrandt, S. R.; O'Brient, R.; Orlando, A.; Teply, G. P.] CALTECH, Dept Phys, Pasadena, CA 91125 USA; [Bock, J. J.; Crill, B. P.; Hildebrandt, S. R.; Megerian, K. G.; Nguyen, H. T.; O'Brient, R.; Orlando, A.; Turner, A. D.] Jet Prop Lab, Pasadena, CA 91109 USA; [Bullock, E.; Fliescher, S.; Pryke, C.] Univ Minnesota, Minnesota Inst Astrophys, Minneapolis, MN 55455 USA; [Dyorkin, C.; Kovac, J. M.; Wong, C. L.] Harvard Univ, Dept Phys, Cambridge, MA 02138 USA; [Duband, L.] Commissariat Energie Atom, Serv Basses Temp, F-38054 Grenoble, France; [Filippini, J. P.] Univ Illinois, Dept Phys, Urbana, IL 61801 USA; [Halpern, M.; Wiebe, D. V.] Univ British Columbia, Dept Phys &amp; Astron, Vancouver, BC V6T 1Z1, Canada; [Hilton, G. C.] NIST, Boulder, CO 80305 USA; [Kaufman, J. P.; Keating, B. G.; Teply, G. P.] Univ Calif San Diego, Dept Phys, La Jolla, CA 92093 USA; [Leitch, E. M.; Sheehy, C. D.; Vieregg, A. G.] Univ Chicago, Kavli Inst Cosmol Phys, Chicago, IL 60637 USA; [Hui, H.; Kefeli, S.; Lueker, M.; Netterfield, C. B.; Staniszewski, Z. K.; Steinbach, B.] Canadian Inst Adv Res, Toronto, ON M5G 1Z8, Canada; [Pryke, C.; Schwarz, R.; Sheehy, C. D.; Staniszewski, Z. K.; Weber, A. C.; Willmert, J.] Univ Minnesota, Sch Phys &amp; Astron, Minneapolis, MN 55455 USA; [Vieregg, A. G.] Univ Chicago, Enrico Fermi Inst, Dept Phys, Chicago, IL 60637 USA; [Wu, W. L. K.] Univ Calif Berkeley, Dept Phys, Berkeley, CA 94720 USA</t>
  </si>
  <si>
    <t>Cardiff University; Stanford University; Stanford University; United States Department of Energy (DOE); SLAC National Accelerator Laboratory; California Institute of Technology; Smithsonian Astrophysical Observatory; Smithsonian Institution; Harvard University; University of Toronto; California Institute of Technology; National Aeronautics &amp; Space Administration (NASA); NASA Jet Propulsion Laboratory (JPL); University of Minnesota System; University of Minnesota Twin Cities; Harvard University; CEA; Communaute Universite Grenoble Alpes; Universite Grenoble Alpes (UGA); University of Illinois System; University of Illinois Urbana-Champaign; University of British Columbia; National Institute of Standards &amp; Technology (NIST) - USA; University of California System; University of California San Diego; University of Chicago; Canadian Institute for Advanced Research (CIFAR); University of Minnesota System; University of Minnesota Twin Cities; University of Chicago; University of California System; University of California Berkeley</t>
  </si>
  <si>
    <t>Namikawa, T (corresponding author), Stanford Univ, Dept Phys, Stanford, CA 94305 USA.;Namikawa, T (corresponding author), Kavli Inst Particle Astrophys &amp; Cosmol, SLAC Natl Accelerator Lab, 2575 Sand Hill Rd, Menlo Pk, CA 94025 USA.</t>
  </si>
  <si>
    <t>namikawa@slac.stanford.edu</t>
  </si>
  <si>
    <t>Orlando, Angiola/AAI-3379-2021; kaufman, jarrod/GXV-3683-2022; Nguyễn, Hương/JUV-6128-2023; sun, huan/JEO-7152-2023; Nguyen, H.T/AAG-1974-2021; Orlando, Angiola/AAH-6918-2020; Keating, Brian/J-6063-2017; Orlando, Angiola/T-3869-2017</t>
  </si>
  <si>
    <t>Nguyen, H.T/0000-0001-5580-2877; Orlando, Angiola/0000-0001-9464-3100; Irwin, Kent/0000-0002-2998-9743; Barkats, Denis/0000-0002-8971-1954; Willmert, Justin/0000-0002-6452-4693; Ahmed, Zeeshan/0000-0002-9957-448X; Keating, Brian/0000-0003-3118-5514; Alexander, Kate/0000-0002-8297-2473; Namikawa, Toshiya/0000-0003-3070-9240; Hildebrandt, Sergi/0000-0003-0220-0009; Orlando, Angiola/0000-0001-8004-5054; Tucker, Carole/0000-0002-1851-3918; Hui, Howard/0000-0001-5812-1903; Bowens-Rubin, Rachel/0000-0001-5831-9530; Kovac, John/0009-0003-5432-7180; Crill, Brendan/0000-0002-4650-8518; /0000-0002-5215-6993; Bischoff, Colin/0000-0001-9185-6514; Kang, Jae Hwan/0000-0002-3470-2954</t>
  </si>
  <si>
    <t>National Science Foundation [ANT-1145172, ANT-1145143, ANT-1145248]; Keck Foundation (Caltech); JPL Research and Technology Development Fund; NASA APRA program [06-ARPA206-0040, 10-SAT10-0017]; NASA SAT program [06-ARPA206-0040, 10-SAT10-0017]; Gordon and Betty Moore Foundation at Caltech; Canada Foundation for Innovation grant; FAS Science Division Research Computing Group at Harvard University; U.S. Department of Energy Office of Science; Japan Society for the Promotion of Science; Science and Technology Facilities Council [ST/N000706/1] Funding Source: researchfish; Directorate For Geosciences; Office of Polar Programs (OPP) [1145143, 1145248] Funding Source: National Science Foundation; Division Of Astronomical Sciences; Direct For Mathematical &amp; Physical Scien [1255358] Funding Source: National Science Foundation; Division Of Physics; Direct For Mathematical &amp; Physical Scien [1125897] Funding Source: National Science Foundation; STFC [ST/K000926/1, ST/N000706/1] Funding Source: UKRI</t>
  </si>
  <si>
    <t>National Science Foundation(National Science Foundation (NSF)); Keck Foundation (Caltech); JPL Research and Technology Development Fund; NASA APRA program; NASA SAT program; Gordon and Betty Moore Foundation at Caltech(Gordon and Betty Moore Foundation); Canada Foundation for Innovation grant(Canada Foundation for Innovation); FAS Science Division Research Computing Group at Harvard University; U.S. Department of Energy Office of Science(United States Department of Energy (DOE)); Japan Society for the Promotion of Science(Ministry of Education, Culture, Sports, Science and Technology, Japan (MEXT)Japan Society for the Promotion of Science); Science and Technology Facilities Council(UK Research &amp; Innovation (UKRI)Science &amp; Technology Facilities Council (STFC)); Directorate For Geosciences; Office of Polar Programs (OPP)(National Science Foundation (NSF)NSF - Directorate for Geosciences (GEO)); Division Of Astronomical Sciences; Direct For Mathematical &amp; Physical Scien(National Science Foundation (NSF)NSF - Directorate for Mathematical &amp; Physical Sciences (MPS)); Division Of Physics; Direct For Mathematical &amp; Physical Scien(National Science Foundation (NSF)NSF - Directorate for Mathematical &amp; Physical Sciences (MPS)); STFC(UK Research &amp; Innovation (UKRI)Science &amp; Technology Facilities Council (STFC))</t>
  </si>
  <si>
    <t>The Keck Array project has been made possible through support from the National Science Foundation under Grants ANT-1145172 (Harvard), ANT-1145143 (Minnesota), and ANT-1145248 (Stanford), and from the Keck Foundation (Caltech). The development of antenna-coupled detector technology was supported by the JPL Research and Technology Development Fund and grant Nos. 06-ARPA206-0040 and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Department of Energy Office of Science. We thank the staff of the U.S. Antarctic Program and in particular the South Pole Station without whose help this research would not have been possible. Special thanks go to our heroic winter-overs Robert Schwarz and Steffen Richter. We thank all those who have contributed past efforts to the BICEP-Keck Array series of experiments, including the BICEP1 team. T.N. acknowledges support from Japan Society for the Promotion of Science Postdoctoral Fellowships for Research Abroad.</t>
  </si>
  <si>
    <t>0004-637X</t>
  </si>
  <si>
    <t>1538-4357</t>
  </si>
  <si>
    <t>ASTROPHYS J</t>
  </si>
  <si>
    <t>Astrophys. J.</t>
  </si>
  <si>
    <t>10.3847/1538-4357/833/2/228</t>
  </si>
  <si>
    <t>EG6PY</t>
  </si>
  <si>
    <t>Green Submitted, Green Accepted, Bronze</t>
  </si>
  <si>
    <t>WOS:000391169600103</t>
  </si>
  <si>
    <t>Galea, HR; Roder, C; Walcher, C; Warmuth, M; Kohlberg, E; Fischer, PF</t>
  </si>
  <si>
    <t>Galea, Horia R.; Roder, Cornelia; Walcher, Christoph; Warmuth, Marco; Kohlberg, Eberhard; Fischer, Philipp F.</t>
  </si>
  <si>
    <t>Glaciambulata neumayeri gen. et sp nov., a new Antarctic trachymedusa (Cnidaria: Hydrozoa), with a revision of the family Ptychogastriidae</t>
  </si>
  <si>
    <t>EUROPEAN JOURNAL OF TAXONOMY</t>
  </si>
  <si>
    <t>Trachymedusae; Rhopalonematidae; hydromedusa; sympagic; Atka Bay</t>
  </si>
  <si>
    <t>SUBMARINE CANYONS; POLARIS ALLMAN; BARENTS SEA; HYDROMEDUSAE; MEDUSAE; SUBMERSIBLES; POPULATIONS; OCEAN</t>
  </si>
  <si>
    <t>A new genus and species of sympagic trachymedusa, Glaciambulata neumayeri gen. et sp. nov., are described based on material from Antarctica. Its generic features are compared to those of its relatives, Ptychogastria Allman, 1878 and Tesserogastria Beyer, 1959, and a review of the family Ptychogastriidae Mayer, 1910, based on literature data, is provided. From this, it results that the poorlyknown Pectis antarctica Haeckel, 1879, formerly assigned to Ptychogastria by a number of authors, displays all characters of the contemporary rhopalonematid genus Voragonema Naumov, 1971. It is additionally demonstrated that V. laciniata Bouillon et al., 2001 is coterminous with P. antarctica, a finding that clarifies, 137 years later, the morphology and the taxonomic status of Haeckel's medusa. In accordance with the Principle of Priority, Pectis is recognized as the valid name of the genus, and Voragonema is assigned to its synonymy. Similarly so, the specific name introduced by Haeckel has priority over laciniata.</t>
  </si>
  <si>
    <t>[Galea, Horia R.] Hydrozoan Res Lab, 405 Chemin Gatiers, F-83170 Tourves, France; [Roder, Cornelia; Walcher, Christoph; Warmuth, Marco; Fischer, Philipp F.] Helmholtz Ctr Polar &amp; Marine Res, Alfred Wegener Inst, Ctr Sci Diving, Binnenhafen 1117, D-27498 Helgoland, Germany; [Kohlberg, Eberhard] Helmholtz Ctr Polar &amp; Marine Res, Alfred Wegener Inst, Handelshafen 12, D-27570 Bremerhaven, Germany</t>
  </si>
  <si>
    <t>Helmholtz Association; Alfred Wegener Institute, Helmholtz Centre for Polar &amp; Marine Research; Helmholtz Association; Alfred Wegener Institute, Helmholtz Centre for Polar &amp; Marine Research</t>
  </si>
  <si>
    <t>Fischer, PF (corresponding author), Helmholtz Ctr Polar &amp; Marine Res, Alfred Wegener Inst, Ctr Sci Diving, Binnenhafen 1117, D-27498 Helgoland, Germany.</t>
  </si>
  <si>
    <t>horia.galea@gmail.com; cornelia.roder@awi.de; Christoph.Walcher@awi.de; Marco.Warmuth@awi.de; eberhard.kohlberg@awi.de; Philipp.Fischer@awi.de</t>
  </si>
  <si>
    <t>MUSEUM NATL HISTOIRE NATURELLE</t>
  </si>
  <si>
    <t>SERVICE PUBLICATIONS SCIENTIFIQUES, 57 RUE CUVIER, 75005 PARIS, FRANCE</t>
  </si>
  <si>
    <t>2118-9773</t>
  </si>
  <si>
    <t>EUR J TAXON</t>
  </si>
  <si>
    <t>Eur. J. Taxon.</t>
  </si>
  <si>
    <t>10.5852/ejt.2016.252</t>
  </si>
  <si>
    <t>Plant Sciences; Entomology; Zoology</t>
  </si>
  <si>
    <t>EN4VE</t>
  </si>
  <si>
    <t>WOS:000396004200001</t>
  </si>
  <si>
    <t>Tahon, G; Tytgat, B; Willems, A</t>
  </si>
  <si>
    <t>Tahon, Guillaume; Tytgat, Bjorn; Willems, Anne</t>
  </si>
  <si>
    <t>Diversity of Phototrophic Genes Suggests Multiple Bacteria May Be Able to Exploit Sunlight in Exposed Soils from the Sor Rondane Mountains, East Antarctica</t>
  </si>
  <si>
    <t>FRONTIERS IN MICROBIOLOGY</t>
  </si>
  <si>
    <t>Princess Elisabeth Station; Sor Rondane Mountains; anoxygenic phototrophic bacteria; actinorhodopsin; light-harvesting; AAP</t>
  </si>
  <si>
    <t>PHOTOSYNTHETIC REACTION CENTERS; ANOXYGENIC PHOTOTROPHS; ACTINORHODOPSIN GENES; INTERACTIVE TREE; MICROBIAL MATS; SEA-ICE; SP NOV.; CD-HIT; WATER; RARE</t>
  </si>
  <si>
    <t>Microbial life in exposed terrestrial surface layers in continental Antarctica is faced with extreme environmental conditions, including scarcity of organic matter. Bacteria in these exposed settings can therefore be expected to use alternative energy sources such as solar energy, abundant during the austral summer. Using Illumina MiSeq sequencing, we assessed the diversity and abundance of four conserved protein encoding genes involved in different key steps of light-harvesting pathways dependent on (bacterio)chlorophyll (pufM, bchL/ch/L, and bchX genes) and rhodopsins (actinorhodopsin genes), in exposed soils from the Sor Rondane Mountains, East Antarctica. Analysis of pufM genes, encoding a subunit of the type 2 photochemical reaction center found in anoxygenic phototrophic bacteria, revealed a broad diversity, dominated by Roseobacter- and Loktanella-like sequences. The bchL and chIL involved in (bacterio)chlorophyll synthesis, on the other hand, showed a high relative abundance of either cyanobacterial or green algal trebouxiophyceael chIL reads, depending on the sample, while most bchX sequences belonged mostly to previously unidentified phylotypes. Rhodopsin-containing phototrophic bacteria could not be detected in the samples. Our results, while suggesting that Cyanobacteria and green algae are the main phototrophic groups, show that light-harvesting bacteria are nevertheless very diverse in microbial communities in Antarctic soils.</t>
  </si>
  <si>
    <t>[Tahon, Guillaume; Tytgat, Bjorn; Willems, Anne] Univ Ghent, Dept Biochem &amp; Microbiol, Lab Microbiol, Ghent, Belgium</t>
  </si>
  <si>
    <t>Ghent University</t>
  </si>
  <si>
    <t>Willems, A (corresponding author), Univ Ghent, Dept Biochem &amp; Microbiol, Lab Microbiol, Ghent, Belgium.</t>
  </si>
  <si>
    <t>Anne.Willems@UGent.be</t>
  </si>
  <si>
    <t>Willems, Anne/B-2872-2010</t>
  </si>
  <si>
    <t>Willems, Anne/0000-0002-8421-2881; , G/0000-0001-7020-4162</t>
  </si>
  <si>
    <t>Fund for Scientific Research-Flanders [G.0146.12]; Belgian Science Policy Office (project CCAMBIO); Ghent University; Hercules Foundation; Flemish Government-department EWI</t>
  </si>
  <si>
    <t>Fund for Scientific Research-Flanders(FWO); Belgian Science Policy Office (project CCAMBIO); Ghent University(Ghent University); Hercules Foundation; Flemish Government-department EWI</t>
  </si>
  <si>
    <t>This work was supported by the Fund for Scientific Research-Flanders (project G.0146.12). Additional support was obtained from the Belgian Science Policy Office (project CCAMBIO). The computational resources (Stevin Supercomputer Infrastructure) and services used in this work were provided by the Flemish Supercomputer Center (VSC) funded by Ghent University, the Hercules Foundation and the Flemish Government-department EWI. This study is a contribution to the State of the Antarctic Ecosystem (AntEco) research program of the Scientific Committee on Antarctic Research (SCAR).</t>
  </si>
  <si>
    <t>1664-302X</t>
  </si>
  <si>
    <t>FRONT MICROBIOL</t>
  </si>
  <si>
    <t>Front. Microbiol.</t>
  </si>
  <si>
    <t>DEC 19</t>
  </si>
  <si>
    <t>10.3389/fmicb.2016.02026</t>
  </si>
  <si>
    <t>EE9NH</t>
  </si>
  <si>
    <t>WOS:000389952900001</t>
  </si>
  <si>
    <t>Lachlan-Cope, T; Listowski, C; O'Shea, S</t>
  </si>
  <si>
    <t>Lachlan-Cope, Tom; Listowski, Constantino; O'Shea, Sebastian</t>
  </si>
  <si>
    <t>The microphysics of clouds over the Antarctic Peninsula Part 1: Observations</t>
  </si>
  <si>
    <t>PRECIPITATION DEVELOPMENT; BOUNDARY-LAYER; SOUTHERN-OCEAN; ICE NUCLEI; PARTICLES; AEROSOL; IMPACTS</t>
  </si>
  <si>
    <t>Observations of clouds over the Antarctic Peninsula during summer 2010 and 2011 are presented here. The peninsula is up to 2500m high and acts as a barrier to weather systems approaching from the Pacific sector of the Southern Ocean. Observations of the number of ice and liquid particles as well as the ice water content and liquid water content in the clouds from both sides of the peninsula and from both years were compared. In 2011 there were significantly more water drops and ice crystals, particularly in the east, where there were approximately twice the number of drops and ice crystals in 2011. Ice crystals observations as compared to ice nuclei parameterizations suggest that secondary ice multiplication at temperatures around -5 degrees C is important for ice crystal formation on both sides of the peninsula below 2000 m. Also, back trajectories have shown that in 2011 the air masses over the peninsula were more likely to have passed close to the surface over the sea ice in the Weddell Sea. This suggests that the sea-ice-covered Weddell Sea can act as a source of both cloud condensation nuclei and ice-nucleating particles.</t>
  </si>
  <si>
    <t>[Lachlan-Cope, Tom; Listowski, Constantino] British Antarctic Survey, NERC, Madingley Rd, Cambridge CB3 0ET, England; [O'Shea, Sebastian] Univ Manchester, Sch Earth Atmospher &amp; Environm Sci, Oxford Rd, Manchester M13 9PL, Lancs, England</t>
  </si>
  <si>
    <t>UK Research &amp; Innovation (UKRI); Natural Environment Research Council (NERC); NERC British Antarctic Survey; University of Manchester</t>
  </si>
  <si>
    <t>Lachlan-Cope, T (corresponding author), British Antarctic Survey, NERC, Madingley Rd, Cambridge CB3 0ET, England.</t>
  </si>
  <si>
    <t>tlc@bas.ac.uk</t>
  </si>
  <si>
    <t>Listowski, Constantino/X-8595-2019</t>
  </si>
  <si>
    <t>Listowski, Constantino/0000-0001-8693-8689; Lachlan-Cope, Tom/0000-0002-0657-3235; O'Shea, Sebastian/0000-0002-0489-1723</t>
  </si>
  <si>
    <t>UK Natural Environment Research Council [NE/K01305X/1]; NERC [NEB1134]; NERC [bas0100032, NE/K01305X/1] Funding Source: UKRI; Natural Environment Research Council [NE/K01305X/1, bas0100032] Funding Source: researchfish</t>
  </si>
  <si>
    <t>UK 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</si>
  <si>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would not have been possible without the help of the scientists and support staff who helped in the Antarctic. We thank the editor and two anonymous reviewers for their comments, which helped improve the manuscript. The work was funded by UK Natural Environment Research Council with core funding and under grant NE/K01305X/1 and under NERC grant NEB1134.</t>
  </si>
  <si>
    <t>10.5194/acp-16-15605-2016</t>
  </si>
  <si>
    <t>EH0MD</t>
  </si>
  <si>
    <t>WOS:000391457300001</t>
  </si>
  <si>
    <t>Sime, LC; Hodgson, D; Bracegirdle, TJ; Allen, C; Perren, B; Roberts, S; de Boer, AM</t>
  </si>
  <si>
    <t>Sime, Louise C.; Hodgson, Dominic; Bracegirdle, Thomas J.; Allen, Claire; Perren, Bianca; Roberts, Stephen; de Boer, Agatha M.</t>
  </si>
  <si>
    <t>Sea ice led to poleward-shifted winds at the Last Glacial Maximum: the influence of state dependency on CMIP5 and PMIP3 models</t>
  </si>
  <si>
    <t>SOUTHERN-OCEAN; CLIMATES; CIRCULATION; WESTERLIES; CO2; CYCLES; LGM</t>
  </si>
  <si>
    <t>Latitudinal shifts in the Southern Ocean westerly wind jet could drive changes in the glacial to interglacial ocean CO2 inventory. However, whilst CMIP5 model results feature consistent future-warming jet shifts, there is considerable disagreement in deglacial-warming jet shifts. We find here that the dependence of pre-industrial (PI) to Last Glacial Maximum (LGM) jet shifts on PI jet position, or state dependency, explains less of the shifts in jet simulated by the models for the LGM compared with future-warming scenarios. State dependence is also weaker for intensity changes, compared to latitudinal shifts in the jet. Winter sea ice was considerably more extensive during the LGM. Changes in surface heat fluxes, due to this sea ice change, probably had a large impact on the jet. Models that both simulate realistically large expansions in sea ice and feature PI jets which are south of 50 degrees S show an increase in wind speed around 55 degrees S and can show a poleward shift in the jet between the PI and the LGM. However, models with the PI jet positioned equatorwards of around 47 degrees S do not show this response: the sea ice edge is too far from the jet for it to respond. In models with accurately positioned PI jets, a +1 degrees difference in the latitude of the sea ice edge tends to be associated with a -0.85 degrees shift in the 850 hPa jet. However, it seems that around 5 degrees of expansion of LGM sea ice is necessary to hold the jet in its PI position. Since the Gersonde et al. (2005) data support an expansion of more than 5 degrees, this result suggests that a slight poleward shift and intensification was the most likely jet change between the PI and the LGM. Without the effect of sea ice, models simulate poleward-shifted westerlies in warming climates and equatorward-shifted westerlies in colder climates. However, the feedback of sea ice counters and reverses the equatorward trend in cooler climates so that the LGM winds were more likely to have also been shifted slightly poleward.</t>
  </si>
  <si>
    <t>[Sime, Louise C.; Hodgson, Dominic; Bracegirdle, Thomas J.; Allen, Claire; Perren, Bianca; Roberts, Stephen] British Antarctic Survey, Cambridge, England; [de Boer, Agatha M.] Stockholm Univ, Dept Geol Sci, Bert Bolin Ctr Climate Res, Stockholm, Sweden</t>
  </si>
  <si>
    <t>UK Research &amp; Innovation (UKRI); Natural Environment Research Council (NERC); NERC British Antarctic Survey; Stockholm University</t>
  </si>
  <si>
    <t>Sime, LC (corresponding author), British Antarctic Survey, Cambridge, England.</t>
  </si>
  <si>
    <t>lsim@bas.ac.uk</t>
  </si>
  <si>
    <t>Bracegirdle, Tom/AAD-6060-2020; Sime, Louise/AAX-7730-2021; De Boer, Agatha M/H-4202-2012</t>
  </si>
  <si>
    <t>Sime, Louise/0000-0002-9093-7926; Bracegirdle, Thomas/0000-0002-8868-4739; Roberts, Stephen/0000-0003-3407-9127; Perren, Bianca/0000-0001-6089-6468</t>
  </si>
  <si>
    <t>NERC [NE.K004514.1, NE/J004804/1]; ARCHER UK National Supercomputing Service; NERC [bas0100030, NE/K003933/1, NE/K004514/1, bas0100034] Funding Source: UKRI; Natural Environment Research Council [NE/K003933/1, bas0100030, NE/K004514/1, bas0100034] Funding Source: researchfish</t>
  </si>
  <si>
    <t>NERC(UK Research &amp; Innovation (UKRI)Natural Environment Research Council (NERC)); ARCHER UK National Supercomputing Service; NERC(UK Research &amp; Innovation (UKRI)Natural Environment Research Council (NERC)); Natural Environment Research Council(UK Research &amp; Innovation (UKRI)Natural Environment Research Council (NERC))</t>
  </si>
  <si>
    <t>The work was funded by NERC grants NE.K004514.1 and NE/J004804/1 and also forms part of the British Antarctic Survey Polar Science for Planet Earth Programme. We acknowledge the support of the ARCHER UK National Supercomputing Service (http://www.archer.ac.uk) and the World Climate Research Programme's Working Group on Coupled Modelling, which is responsible for CMIP, and we thank the all the climate modelling groups for producing and making available their model output.</t>
  </si>
  <si>
    <t>10.5194/cp-12-2241-2016</t>
  </si>
  <si>
    <t>EG8CD</t>
  </si>
  <si>
    <t>WOS:000391282400002</t>
  </si>
  <si>
    <t>Porter, SE; Parkinson, CL; Mosley-Thompson, E</t>
  </si>
  <si>
    <t>Porter, Stacy E.; Parkinson, Claire L.; Mosley-Thompson, Ellen</t>
  </si>
  <si>
    <t>Bellingshausen Sea ice extent recorded in an Antarctic Peninsula ice core</t>
  </si>
  <si>
    <t>SOUTHERN ANNULAR MODE; EXTRATROPICAL CIRCULATION; ACCUMULATION VARIABILITY; CLIMATE; OCEAN; OSCILLATION; PACIFIC; ENSO; TRENDS; TEMPERATURES</t>
  </si>
  <si>
    <t>Annual net accumulation (A(n)) from the Bruce Plateau (BP) ice core retrieved from the Antarctic Peninsula exhibits a notable relationship with sea ice extent (SIE) in the Bellingshausen Sea. Over the satellite era, both BP A(n) and Bellingshausen SIE are influenced by large-scale climatic factors such as the Amundsen Sea Low, Southern Annular Mode, and Southern Oscillation. In addition to the direct response of BP A(n) to Bellingshausen SIE (e.g., more open water as a moisture source), these large-scale climate phenomena also link the BP and the Bellingshausen Sea indirectly such that they exhibit similar responses (e.g., northerly wind anomalies advect warm, moist air to the Antarctic Peninsula and neighboring Bellingshausen Sea, which reduces SIE and increases A(n)). Comparison with a time series of fast ice at South Orkney Islands reveals a relationship between BP A(n) and sea ice in the northern Weddell Sea that is relatively consistent over the twentieth century, except when it is modulated by atmospheric wave patterns described by the Trans-Polar Index. The trend of increasing accumulation on the Bruce Plateau since similar to 1970 agrees with other climate records and reconstructions in the region and suggests that the current rate of sea ice loss in the Bellingshausen Sea is unrivaled in the twentieth century.</t>
  </si>
  <si>
    <t>[Porter, Stacy E.; Mosley-Thompson, Ellen] Ohio State Univ, Byrd Polar &amp; Climate Res Ctr, Columbus, OH 43210 USA; [Parkinson, Claire L.] NASA, Goddard Space Flight Ctr, Cryospher Sci Lab, Greenbelt, MD USA; [Mosley-Thompson, Ellen] Ohio State Univ, Dept Geog, Atmospher Sci Program, Columbus, OH 43210 USA</t>
  </si>
  <si>
    <t>University System of Ohio; Ohio State University; National Aeronautics &amp; Space Administration (NASA); NASA Goddard Space Flight Center; University System of Ohio; Ohio State University</t>
  </si>
  <si>
    <t>Porter, SE (corresponding author), Ohio State Univ, Byrd Polar &amp; Climate Res Ctr, Columbus, OH 43210 USA.</t>
  </si>
  <si>
    <t>porter.573@osu.edu</t>
  </si>
  <si>
    <t>Mosley-Thompson, Ellen S/Z-2100-2018; Parkinson, Claire L/E-1747-2012; Parkinson, Claire/JAC-7676-2023</t>
  </si>
  <si>
    <t>Parkinson, Claire L/0000-0001-6730-4197; Parkinson, Claire/0000-0001-6730-4197; Porter, Stacy/0000-0002-9585-1523; Mosley-Thompson, Ellen/0000-0002-9665-3705</t>
  </si>
  <si>
    <t>NSF [ANT-0732655]; NASA Earth Science Division</t>
  </si>
  <si>
    <t>NSF(National Science Foundation (NSF)); NASA Earth Science Division</t>
  </si>
  <si>
    <t>The Bruce Plateau field project, laboratory analyses, and partial support for S.E.P. and E.M.T. were provided by NSF award ANT-0732655 to Ellen Mosley-Thompson as part of NSF's IPY LARISSA Project. Support for C.L.P. was provided through the NASA Earth Science Division. We thank Aaron Wilson for valuable and insightful discussions and three anonymous reviewers for their thoughtful and constructive reviews. The ice core data used in this study are archived at NOAA's National Climatic Data Center/Paleoclimatology (https://www.ncdc.noaa.gov/cdo/f?p=519:1:0::::P1_STUDY_ID:20350). This is Byrd Polar and Climate Research Center contribution 1549.</t>
  </si>
  <si>
    <t>DEC 16</t>
  </si>
  <si>
    <t>10.1002/2016JD025626</t>
  </si>
  <si>
    <t>EL3LJ</t>
  </si>
  <si>
    <t>WOS:000394520300004</t>
  </si>
  <si>
    <t>Pilia, S; Arroucau, P; Rawlinson, N; Reading, AM; Cayley, RA</t>
  </si>
  <si>
    <t>Pilia, S.; Arroucau, P.; Rawlinson, N.; Reading, A. M.; Cayley, R. A.</t>
  </si>
  <si>
    <t>Inherited crustal deformation along the East Gondwana margin revealed by seismic anisotropy tomography</t>
  </si>
  <si>
    <t>crustal azimuthal anisotropy; ambient noise tomography; East Gondwana; continental accretion; Tasmanides</t>
  </si>
  <si>
    <t>AMBIENT NOISE DATA; LACHLAN FOLD BELT; SOUTHEASTERN AUSTRALIA; SURFACE-WAVES; PHASE; OROGEN; ROCKS</t>
  </si>
  <si>
    <t>The mechanisms of continental growth are a crucial part of plate tectonic theory, yet a clear understanding of the processes involved remains elusive. Here we determine seismic Rayleigh wave phase anisotropy variations in the crust beneath the southern Tasmanides of Australia, a Paleozoic accretionary margin. Our results reveal a complex, thick-skinned pervasive deformation that was driven by the tectonic interaction between the proto-Pacific Ocean and the ancient eastern margin of Gondwana. Stress-induced effects triggered by the collision and entrainment of a microcontinent into the active subduction zone are evident in the anisotropy signature. The paleofracturing trend of failed rifting between Australia and Antarctica is also recorded in the anisotropy pattern as well as a tightly curved feature in central Tasmania. The observed patterns of anisotropy correlate well with recent geodynamic and kinematic models of the Tasmanides and provide a platform from which the spatial extent of deformational domains can be refined.</t>
  </si>
  <si>
    <t>[Pilia, S.] Petr Inst, Dept Petr Geosci, Abu Dhabi, U Arab Emirates; [Arroucau, P.] Dublin Inst Adv Studies, Sch Cosm Phys, Geophys Sect, Dublin, Ireland; [Rawlinson, N.] Univ Aberdeen, Sch Geosci, Aberdeen, Scotland; [Reading, A. M.] Univ Tasmania, Inst Marine &amp; Antarctic Studies, Sch Earth Sci, Hobart, Tas, Australia; [Reading, A. M.] Univ Tasmania, CODES Ctr Excellence, Hobart, Tas, Australia; [Cayley, R. A.] Geol Survey Victoria, Melbourne, Vic, Australia</t>
  </si>
  <si>
    <t>Khalifa University of Science &amp; Technology; Dublin Institute for Advanced Studies; University of Aberdeen; University of Tasmania; University of Tasmania</t>
  </si>
  <si>
    <t>Pilia, S (corresponding author), Petr Inst, Dept Petr Geosci, Abu Dhabi, U Arab Emirates.</t>
  </si>
  <si>
    <t>spilia@pi.ac.ae</t>
  </si>
  <si>
    <t>Reading, Anya M/E-6728-2012</t>
  </si>
  <si>
    <t>Reading, Anya M/0000-0002-9316-7605; Pilia, Simone/0000-0002-3805-9257; Rawlinson, Nicholas/0000-0002-6977-291X; Arroucau, Pierre/0000-0003-4142-227X</t>
  </si>
  <si>
    <t>10.1002/2016GL071201</t>
  </si>
  <si>
    <t>EI5DU</t>
  </si>
  <si>
    <t>WOS:000392515000038</t>
  </si>
  <si>
    <t>Bakker, P; Schmittner, A; Lenaerts, JTM; Abe-Ouchi, A; Bi, D; van den Broeke, MR; Chan, WL; Hu, A; Beadling, RL; Marsland, SJ; Mernild, SH; Saenko, OA; Swingedouw, D; Sullivan, A; Yin, J</t>
  </si>
  <si>
    <t>Bakker, P.; Schmittner, A.; Lenaerts, J. T. M.; Abe-Ouchi, A.; Bi, D.; van den Broeke, M. R.; Chan, W. -L.; Hu, A.; Beadling, R. L.; Marsland, S. J.; Mernild, S. H.; Saenko, O. A.; Swingedouw, D.; Sullivan, A.; Yin, J.</t>
  </si>
  <si>
    <t>Fate of the Atlantic Meridional Overturning Circulation: Strong decline under continued warming and Greenland melting</t>
  </si>
  <si>
    <t>Atlantic Meridional Overturning Circulation; climate change; general circulation model</t>
  </si>
  <si>
    <t>CLIMATE-CHANGE PROJECTIONS; SEA-LEVEL RISE; THERMOHALINE CIRCULATION; ICE-SHEET; HEAT-TRANSPORT; MODEL</t>
  </si>
  <si>
    <t>The most recent Intergovernmental Panel on Climate Change assessment report concludes that the Atlantic Meridional Overturning Circulation (AMOC) could weaken substantially but is very unlikely to collapse in the 21st century. However, the assessment largely neglected Greenland Ice Sheet (GrIS) mass loss, lacked a comprehensive uncertainty analysis, and was limited to the 21st century. Here in a community effort, improved estimates of GrIS mass loss are included in multicentennial projections using eight state-of-the-science climate models, and an AMOC emulator is used to provide a probabilistic uncertainty assessment. We find that GrIS melting affects AMOC projections, even though it is of secondary importance. By years 2090-2100, the AMOC weakens by 18% [-3%, -34%; 90% probability] in an intermediate greenhouse-gas mitigation scenario and by 37% [-15%, -65%] under continued high emissions. Afterward, it stabilizes in the former but continues to decline in the latter to -74% [+4%, -100%] by 2290-2300, with a 44% likelihood of an AMOC collapse. This result suggests that an AMOC collapse can be avoided by CO2 mitigation.</t>
  </si>
  <si>
    <t>[Bakker, P.; Schmittner, A.] Oregon State Univ, Coll Earth Ocean &amp; Atmospher Sci, Corvallis, OR 97331 USA; [Bakker, P.] Univ Bremen, MARUM, Bremen, Germany; [Lenaerts, J. T. M.; van den Broeke, M. R.] Univ Utrecht, Inst Marine &amp; Atmospher Res, Utrecht, Netherlands; [Abe-Ouchi, A.; Chan, W. -L.] Univ Tokyo, Atmosphere &amp; Ocean Res Inst, Tokyo, Japan; [Bi, D.; Marsland, S. J.; Sullivan, A.] CSIRO Oceans &amp; Atmosphere, Aspendale, Vic, Australia; [Hu, A.] Natl Ctr Atmospher Res, POB 3000, Boulder, CO 80307 USA; [Beadling, R. L.; Yin, J.] Univ Arizona, Dept Geosci, Tucson, AZ 85721 USA; [Mernild, S. H.] Sogn Og Fjordane Univ Coll, Fac Sci &amp; Engn, Sogndal, Norway; [Mernild, S. H.] Univ Magallanes, Antarctic &amp; Sub Antarctic Program, Punta Arenas, Chile; [Saenko, O. A.] Canadian Ctr Climate Modelling &amp; Anal, Victoria, BC, Canada; [Swingedouw, D.] Inst Pierre Simon Laplace, Paris, France</t>
  </si>
  <si>
    <t>Oregon State University; University of Bremen; Utrecht University; University of Tokyo; Commonwealth Scientific &amp; Industrial Research Organisation (CSIRO); National Center Atmospheric Research (NCAR) - USA; University of Arizona; Western Norway University of Applied Sciences; Universidad de Magallanes; Environment &amp; Climate Change Canada; Canadian Centre for Climate Modelling &amp; Analysis (CCCma); Universite Paris Saclay; Universite Paris Cite; Centre National de la Recherche Scientifique (CNRS); CNRS - National Institute for Earth Sciences &amp; Astronomy (INSU)</t>
  </si>
  <si>
    <t>Bakker, P (corresponding author), Oregon State Univ, Coll Earth Ocean &amp; Atmospher Sci, Corvallis, OR 97331 USA.;Bakker, P (corresponding author), Univ Bremen, MARUM, Bremen, Germany.</t>
  </si>
  <si>
    <t>Sullivan, Arnold/V-7057-2019; Abe-Ouchi, Ayako A/M-6359-2013; Lenaerts, Jan/D-9423-2012; Marsland, Simon J/A-1453-2012; Swingedouw, Didier/D-1408-2010; Schmittner, Andreas/O-9647-2015; Bi, Daohua/O-4508-2015; Hu, Aixue/E-1063-2013; Van den Broeke, Michiel R./F-7867-2011; Chan, Wing-Le/X-3976-2019; Mernild, Sebastian H./M-5516-2013</t>
  </si>
  <si>
    <t>Sullivan, Arnold/0000-0002-5712-6195; Abe-Ouchi, Ayako A/0000-0003-1745-5952; Lenaerts, Jan/0000-0003-4309-4011; Marsland, Simon J/0000-0002-5664-5276; Swingedouw, Didier/0000-0002-0583-0850; Schmittner, Andreas/0000-0002-8376-0843; Hu, Aixue/0000-0002-1337-287X; Van den Broeke, Michiel R./0000-0003-4662-7565; Chan, Wing-Le/0000-0002-5646-6104; Mernild, Sebastian H./0000-0003-0797-3975</t>
  </si>
  <si>
    <t>National Oceanographic and Atmospheric Administration [NA15OAR4310239]; Netherlands Earth System Science Center (NESSC); Polar Program of the Netherlands Organization for Scientific Research (NWO); Regional and Global Climate Modelling Program (RGCM) of the U.S. Department of Energy's Office of Science (BER) [DE-FC02-97ER62402]; Office of Science of the U.S. Department of Energy; ArCS; ICA-RUS; Natural Environment Research Council; Grants-in-Aid for Scientific Research [25241005] Funding Source: KAKEN; Office of Polar Programs (OPP); Directorate For Geosciences [1513411] Funding Source: National Science Foundation</t>
  </si>
  <si>
    <t>National Oceanographic and Atmospheric Administration(National Oceanic Atmospheric Admin (NOAA) - USA); Netherlands Earth System Science Center (NESSC); Polar Program of the Netherlands Organization for Scientific Research (NWO)(Netherlands Organization for Scientific Research (NWO)); Regional and Global Climate Modelling Program (RGCM) of the U.S. Department of Energy's Office of Science (BER)(United States Department of Energy (DOE)); Office of Science of the U.S. Department of Energy(United States Department of Energy (DOE)); ArCS; ICA-RUS;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Office of Polar Programs (OPP); Directorate For Geosciences(National Science Foundation (NSF)NSF - Directorate for Geosciences (GEO))</t>
  </si>
  <si>
    <t>P.B. and A.S. are supported by a grant from the National Oceanographic and Atmospheric Administration (award NA15OAR4310239). J.T.M.L. and M.R.v.d. B. acknowledge funding from the Netherlands Earth System Science Center (NESSC) and the Polar Program of the Netherlands Organization for Scientific Research (NWO). A.H. is supported by the Regional and Global Climate Modelling Program (RGCM) of the U.S. Department of Energy's Office of Science (BER), Cooperative Agreement DE-FC02-97ER62402 and simulations used the National Energy Research Scientific Computing Center which is supported by the Office of Science of the U.S. Department of Energy. O.A.S. thanks Warren Lee for his help with CanESM2 runs. Warren Lee for his help with CanESM2 runs. A. A. and W.C. are supported by the ArCS (conducted by the Ministry of Education, Culture, Sports, Science and Technology of the Japanese Government) and ICA-RUS (strategic R&amp;D Area Project of the Environment Research and Technology Development Fund), used the JAMSTEC Earth Simulator, and thank the advice of M. Yoshimori and R. Ohgatio. Data from the RAPID MOC monitoring project are funded by the Natural Environment Research Council and are freely available from www.rapid.ac.uk/rapid-moc. Model output part of the AMOCMIP project will become available through ESGF (https://www.earthsystemcog.org/projects/amocmip/). The authors thank the Editor and two anonymous reviewers for their constructive comments.</t>
  </si>
  <si>
    <t>10.1002/2016GL070457</t>
  </si>
  <si>
    <t>Green Accepted, Green Published, Green Submitted</t>
  </si>
  <si>
    <t>WOS:000392515000020</t>
  </si>
  <si>
    <t>Burrows, JA; Johnston, DW; Straley, JM; Chenoweth, EM; Ware, C; Curtice, C; DeRuiter, SL; Friedlaender, AS</t>
  </si>
  <si>
    <t>Burrows, J. A.; Johnston, D. W.; Straley, J. M.; Chenoweth, E. M.; Ware, C.; Curtice, C.; DeRuiter, S. L.; Friedlaender, A. S.</t>
  </si>
  <si>
    <t>Prey density and depth affect the fine-scale foraging behavior of humpback whales Megaptera novaeangliae in Sitka Sound, Alaska, USA</t>
  </si>
  <si>
    <t>Humpback whale; Foraging; Behavior; Prey; Krill; Alaska</t>
  </si>
  <si>
    <t>ANTARCTIC KRILL; MEGANYCTIPHANES-NORVEGICA; MULTIFREQUENCY METHOD; EUPHAUSIA-PACIFICA; STRENGTH; BACKSCATTERING; MODEL; SIZE; TIME; CLASSIFICATION</t>
  </si>
  <si>
    <t>Humpback whales Megaptera novaeangliae are filter feeders that use discrete lunges to effectively capture densely aggregated prey. The objective of this research was to examine how foraging humpback whales in Southeast Alaska responded to varying prey patch densities and depths. Digital acoustic recording tags (DTAGs; n = 6) were deployed and focal follows were conducted on foraging whales in Sitka Sound, Alaska in September 2012. Prey density was recorded around tagged whales using a Simrad EK60 scientific echosounder and ground-truthed with net tows. Lunges were identified from peaks in jerk in the accelerometer signal, and krill were identified from echosounder data using decibel differencing. Lunge depth was 111 +/- 9 m (mean +/- SD) for the shallowest diving whale (foraging past sunset) and 144 +/- 7 (mean +/- SD) m for the deepest diving whale (foraging diurnally). Ninety-five percent of lunges occurred within a 300 m and 30 min spatio-temporal buffer of krill, indicating that tagged whales fed on krill. Generalized additive mixed model (GAMM) results for spatio-temporally integrated prey and lunge data indicated that mean volume backscattering strength, a proxy for krill density, and krill depth significantly affected the occurrence of a lunge (density: p = 0.006, depth: p &lt; 0.001). Whales fed in the densest region of the krill layer, where mean volume backscatter was -57 dB (range: -50 to -81 dB re 1 m(-1) at 120 kHz). By targeting the densest prey layer, whales maximized their energetic gain by capturing the most prey with each lunge.</t>
  </si>
  <si>
    <t>[Burrows, J. A.; Johnston, D. W.] Duke Univ, Marine Lab, Div Marine Sci &amp; Conservat, Beaufort, NC 28516 USA; [Straley, J. M.] Univ Alaska Southeast, Dept Marine Biol, Sitka, AK 99835 USA; [Chenoweth, E. M.] Univ Alaska Fairbanks, Sch Fisheries &amp; Ocean Sci, Fairbanks, AK 99775 USA; [Ware, C.] Univ New Hampshire, Ctr Coastal &amp; Ocean Mapping, Durham, NH 03824 USA; [Curtice, C.] Duke Univ, Marine Geospatial Ecol Lab, Marine Lab, Beaufort, NC 28516 USA; [DeRuiter, S. L.] Calvin Coll, Dept Math &amp; Stat, Grand Rapids, MI 49546 USA; [Friedlaender, A. S.] Oregon State Univ, Marine Mammal Inst, Dept Fisheries &amp; Wildlife, Newport, OR 97365 USA</t>
  </si>
  <si>
    <t>Duke University; University of Alaska System; University of Alaska Southeastern; University of Alaska System; University of Alaska Fairbanks; University System Of New Hampshire; University of New Hampshire; Duke University; Calvin University; Oregon State University</t>
  </si>
  <si>
    <t>Burrows, JA (corresponding author), Duke Univ, Marine Lab, Div Marine Sci &amp; Conservat, Beaufort, NC 28516 USA.</t>
  </si>
  <si>
    <t>burrows.julia@gmail.com</t>
  </si>
  <si>
    <t>Chenoweth, Ellen/AAV-8926-2021; Johnston, David/AAJ-5013-2020</t>
  </si>
  <si>
    <t>Johnston, David/0000-0003-2424-036X; DeRuiter, Stacy/0000-0002-0571-0306</t>
  </si>
  <si>
    <t>Pacific Life Foundation; National Oceanic and Atmospheric Administration's (NOAA); US Office of Naval Research (MOCHA project)</t>
  </si>
  <si>
    <t>Pacific Life Foundation; National Oceanic and Atmospheric Administration's (NOAA)(National Oceanic Atmospheric Admin (NOAA) - USA); US Office of Naval Research (MOCHA project)(Office of Naval Research)</t>
  </si>
  <si>
    <t>This research would not have been possible without the generosity and assistance of many people and organizations. Funding was provided by the Pacific Life Foundation, the National Oceanic and Atmospheric Administration's (NOAA) Dr. Nancy Foster Scholarship (supporting J.A.B.), and the US Office of Naval Research (MOCHA project, supporting S.L.D.R.). The Sitka Sound Science Center, NOAA Fisheries Auke Bay Laboratory, Tony D'Aoust and the F/V 'Antoine', Doug Nowacek, Erik Ebert, Nancy Copley, Jennifer Cedarleaf, and Lon Garrison provided logistical support. Alison Stimpert, Goldie Phillips, Kylie Owen, Erin LaBrecque, Reny Tyson, Robert Levine, Gareth Lawson, and Andy Read provided analytical advice and assistance. Research was authorized under NOAA Scientific Permit #14122 issued to J.M.S. and an Institutional Animal Care and Use Committee (IACUC) permit through Duke University.</t>
  </si>
  <si>
    <t>DEC 15</t>
  </si>
  <si>
    <t>10.3354/meps11906</t>
  </si>
  <si>
    <t>EH3TV</t>
  </si>
  <si>
    <t>WOS:000391695800018</t>
  </si>
  <si>
    <t>Melbourne-Thomas, J; Meiners, KM; Mundy, CJ; Schallenberg, C; Tattersall, KL; Dieckmann, GS</t>
  </si>
  <si>
    <t>Melbourne-Thomas, Jessica; Meiners, Klaus M.; Mundy, C. J.; Schallenberg, Christina; Tattersall, Katherine L.; Dieckmann, Gerhard S.</t>
  </si>
  <si>
    <t>Algorithms to estimate Antarctic sea ice algal biomass from under-ice irradiance spectra at regional scales (vol 536, pg 107, 2015)</t>
  </si>
  <si>
    <t>jess.melbourne-thomas@aad.gov.au</t>
  </si>
  <si>
    <t>Melbourne-Thomas, Jess/N-2437-2019; Dieckmann, Gerhard S/B-4307-2010; Schallenberg, Christina/N-4187-2017</t>
  </si>
  <si>
    <t>Melbourne-Thomas, Jess/0000-0001-6585-876X; Schallenberg, Christina/0000-0002-3073-7500</t>
  </si>
  <si>
    <t>WOS:000391695800019</t>
  </si>
  <si>
    <t>Goelzer, H; Huybrechts, P; Loutre, MF; Fichefet, T</t>
  </si>
  <si>
    <t>Goelzer, Heiko; Huybrechts, Philippe; Loutre, Marie-France; Fichefet, Thierry</t>
  </si>
  <si>
    <t>Last Interglacial climate and sea-level evolution from a coupled ice sheet-climate model</t>
  </si>
  <si>
    <t>PROBABILISTIC ASSESSMENT; GREENLAND; TEMPERATURE; SURFACE; OCEAN; WARM; VOLUME; INSOLATION; COLLAPSE; RECONSTRUCTIONS</t>
  </si>
  <si>
    <t>As the most recent warm period in Earth's history with a sea-level stand higher than present, the Last Interglacial (LIG, similar to 130 to 115 kyr BP) is often considered a prime example to study the impact of a warmer climate on the two polar ice sheets remaining today. Here we simulate the Last Interglacial climate, ice sheet, and sea-level evolution with the Earth system model of intermediate complexity LOVECLIM v.1.3, which includes dynamic and fully coupled components representing the atmosphere, the ocean and sea ice, the terrestrial biosphere, and the Greenland and Antarctic ice sheets. In this setup, sea-level evolution and climate-ice sheet interactions are modelled in a consistent framework. Surface mass balance change governed by changes in surface meltwater runoff is the dominant forcing for the Greenland ice sheet, which shows a peak sea-level contribution of 1.4m at 123 kyr BP in the reference experiment. Our results indicate that ice sheet-climate feedbacks play an important role to amplify climate and sea-level changes in the Northern Hemisphere. The sensitivity of the Greenland ice sheet to surface temperature changes considerably increases when interactive albedo changes are considered. Southern Hemisphere polar and sub-polar ocean warming is limited throughout the Last Interglacial, and surface and sub-shelf melting exerts only a minor control on the Antarctic sea-level contribution with a peak of 4.4m at 125 kyr BP. Retreat of the Antarctic ice sheet at the onset of the LIG is mainly forced by rising sea level and to a lesser extent by reduced ice shelf viscosity as the surface temperature increases. Global sea level shows a peak of 5.3m at 124.5 kyr BP, which includes a minor contribution of 0.35m from oceanic thermal expansion. Neither the individual contributions nor the total modelled sea-level stand show fast multi-millennial timescale variations as indicated by some reconstructions.</t>
  </si>
  <si>
    <t>[Goelzer, Heiko; Huybrechts, Philippe] Vrije Univ Brussel, Earth Syst Sci, Brussels, Belgium; [Goelzer, Heiko; Huybrechts, Philippe] Vrije Univ Brussel, Dept Geog, Brussels, Belgium; [Loutre, Marie-France; Fichefet, Thierry] Catholic Univ Louvain, Earth &amp; Life Inst, Georges Lemaitre Ctr Earth &amp; Climate Res TECLIM, Louvain, Belgium; [Goelzer, Heiko] Univ Utrecht, Inst Marine &amp; Atmospher Res, Utrecht, Netherlands</t>
  </si>
  <si>
    <t>Vrije Universiteit Brussel; Vrije Universiteit Brussel; Universite Catholique Louvain; Utrecht University</t>
  </si>
  <si>
    <t>Goelzer, H (corresponding author), Vrije Univ Brussel, Earth Syst Sci, Brussels, Belgium.;Goelzer, H (corresponding author), Vrije Univ Brussel, Dept Geog, Brussels, Belgium.;Goelzer, H (corresponding author), Univ Utrecht, Inst Marine &amp; Atmospher Res, Utrecht, Netherlands.</t>
  </si>
  <si>
    <t>h.goelzer@uu.nl</t>
  </si>
  <si>
    <t>Goelzer, Heiko/M-2367-2016; Loutre, Marie-France/L-3594-2018; Huybrechts, Philippe/J-5278-2013</t>
  </si>
  <si>
    <t>Goelzer, Heiko/0000-0002-5878-9599; Loutre, Marie-France/0000-0001-6944-4038; Huybrechts, Philippe/0000-0003-1406-0525</t>
  </si>
  <si>
    <t>Belgian Federal Science Policy Office within its Research Programme on Science for a Sustainable Development [SD/CS/06A]; Fond de la Recherche Scientifique de Belgique (FRS-FNRS)</t>
  </si>
  <si>
    <t>Belgian Federal Science Policy Office within its Research Programme on Science for a Sustainable Development(Belgian Federal Science Policy Office); Fond de la Recherche Scientifique de Belgique (FRS-FNRS)(Fonds de la Recherche Scientifique - FNRS)</t>
  </si>
  <si>
    <t>We acknowledge support through the Belgian Federal Science Policy Office within its Research Programme on Science for a Sustainable Development under contract SD/CS/06A (iCLIPS). Computational resources were provided by the supercomputing facilities of the Universite catholique de Louvain (CISM/UCL) and the Consortium des Equipements de Calcul Intensif en Federation Wallonie Bruxelles (CECI) funded by the Fond de la Recherche Scientifique de Belgique (FRS-FNRS). We thank all four reviewers and the editor for constructive comments and their follow-up of the manuscript.</t>
  </si>
  <si>
    <t>10.5194/cp-12-2195-2016</t>
  </si>
  <si>
    <t>EG8CA</t>
  </si>
  <si>
    <t>WOS:000391282100001</t>
  </si>
  <si>
    <t>[Anonymous]</t>
  </si>
  <si>
    <t>Antarctic marine reserve created</t>
  </si>
  <si>
    <t>EG0PL</t>
  </si>
  <si>
    <t>WOS:000390734600002</t>
  </si>
  <si>
    <t>Chu, ZD; Sun, LG; Huang, W; Huang, T; Zhou, X</t>
  </si>
  <si>
    <t>Chu, Zhuding; Sun, Liguang; Huang, Wen; Huang, Tao; Zhou, Xin</t>
  </si>
  <si>
    <t>On selecting bulk fjord sediment samples for radiocarbon dating in Fildes Peninsula, Antarctica</t>
  </si>
  <si>
    <t>QUATERNARY INTERNATIONAL</t>
  </si>
  <si>
    <t>Antarctic fjord; Marine sediment; Radiocarbon dating; Lithological characteristics; Grain size distribution</t>
  </si>
  <si>
    <t>GRAINED UNFLOCCULATED SEDIMENTS; SOUTH SHETLAND ISLANDS; SIZE CHARACTERISTICS; MARINE-SEDIMENTS; AGE CALIBRATION; CHINA; DEEP; LACUSTRINE; RECORD; CARBON</t>
  </si>
  <si>
    <t>We performed AMS C-14 dating on 20 bulk sediments of a sediment core collected from Grande Valley, on Fildes Peninsula, Antarctica, a typical fjord environment during the Holocene period. However, the ages of samples along the sediment core were not in chronological order as they should be. To overcome the difficulty in obtaining a reliable chronology, we selected five samples based on their lithological characteristics and grain size distributions of the sediments and used their dates to build a chronology of the sediment core. The validity of the chronology was confirmed by comparing the inferred geochemical and geophysical parameters with previous studies. The criteria we used to select samples can be generalized and applied to pre-select dating samples for radiocarbon dating, especially for those formed in a complex environment and influenced by old carbon sources and glacier activities. Finally, we successfully applied this method to the selection of bulk sediment dating samples in a sediment core collected in Arctic, which testifies to the its effectiveness. (C) 2015 Elsevier Ltd and INQUA. All rights reserved.</t>
  </si>
  <si>
    <t>[Chu, Zhuding; Sun, Liguang; Huang, Wen; Huang, Tao; Zhou, Xin] Univ Sci &amp; Technol China, Sch Earth &amp; Space Sci, Inst Polar Environm, Hefei 230026, Peoples R China</t>
  </si>
  <si>
    <t>Sun, LG (corresponding author), Univ Sci &amp; Technol China, Sch Earth &amp; Space Sci, Inst Polar Environm, Hefei 230026, Peoples R China.</t>
  </si>
  <si>
    <t>slg@ustc.edu.cn</t>
  </si>
  <si>
    <t>Zhou, Xin/AIE-7442-2022; Huang, Tao/AAD-8866-2022</t>
  </si>
  <si>
    <t>Zhou, Xin/0000-0003-2640-6431; Huang, Tao/0000-0001-5035-1632</t>
  </si>
  <si>
    <t>Chinese Polar Environment Comprehensive Investigation &amp; Assessment Programmes [CHINARE2015-02-01-03, CHINARE2015-04-04-09, CHINARE2015-04-01-07]; Chinese Polar Scientific Strategic Research Programme [20120101]; Fundamental Research Funds for the Central Universities; External Cooperation Program of BIC, CAS [211134KYSB20130012]</t>
  </si>
  <si>
    <t>Chinese Polar Environment Comprehensive Investigation &amp; Assessment Programmes; Chinese Polar Scientific Strategic Research Programme; Fundamental Research Funds for the Central Universities(Fundamental Research Funds for the Central Universities); External Cooperation Program of BIC, CAS</t>
  </si>
  <si>
    <t>This study was funded by Chinese Polar Environment Comprehensive Investigation &amp; Assessment Programmes (CHINARE2015-02-01-03, CHINARE2015-04-04-09 and CHINARE2015-04-01-07), Chinese Polar Scientific Strategic Research Programme (20120101), the Fundamental Research Funds for the Central Universities and the External Cooperation Program of BIC, CAS (No. 211134KYSB20130012). Samples in this study were provided by the BIRDS-Sediment system. We thank the Chinese Arctic and Antarctic Administration and Polar Research Institute of China for logistical support in field; Dr. Baoyin Yuan provided help in field for sample collection.</t>
  </si>
  <si>
    <t>1040-6182</t>
  </si>
  <si>
    <t>1873-4553</t>
  </si>
  <si>
    <t>QUATERN INT</t>
  </si>
  <si>
    <t>Quat. Int.</t>
  </si>
  <si>
    <t>10.1016/j.quaint.2015.10.118</t>
  </si>
  <si>
    <t>EF7UM</t>
  </si>
  <si>
    <t>WOS:000390534700014</t>
  </si>
  <si>
    <t>Schröder, JF; Holbourn, A; Kuhnt, W; Küssner, K</t>
  </si>
  <si>
    <t>Schroeder, Jan F.; Holbourn, Ann; Kuhnt, Wolfgang; Kuessner, Kevin</t>
  </si>
  <si>
    <t>Variations in sea surface hydrology in the southern Makassar Strait over the past 26 kyr</t>
  </si>
  <si>
    <t>Makassar Strait; Sulawesi; Mg/Ca; Stable oxygen isotopes; Sea surface temperatures; Planktonic foraminifera; Termination I; Radiocarbon reservoir ages</t>
  </si>
  <si>
    <t>PACIFIC WARM POOL; WESTERN EQUATORIAL PACIFIC; CHINA SEA; PLANKTONIC-FORAMINIFERA; INDONESIAN THROUGHFLOW; RESERVOIR AGES; GLACIAL OCEAN; INDIAN-OCEAN; DEEP-WATER; MONSOON</t>
  </si>
  <si>
    <t>We present centennial-scale records of sea surface temperature and oxygen isotopes in a sediment core from Mandar Bay, offshore Sulawesi in the southern Makassar Strait, which provide new insights into the variability of Indonesian climate over the past 26 kyr. The age model for the core is constrained by 17 AMS radiocarbon ages, with a surface ocean reservoir age correction based on paired wood and foraminiferal samples. Small Holocene reservoir ages of 105 180 years point to intense surface ocean atmosphere interchange linked to increased monsoonal precipitation, whereas Last Glacial Maximum and deglacial reservoir ages are significantly higher. Mg/Ca derived sea surface temperature reconstructions based on Globigerinoides ruber (s. s., white) exhibit an extended plateau during the Antarctic Cold Reversal, suggesting an atmospheric connection to high-latitude Southern Hemisphere climate and a seasonal bias on G. ruber. This is in agreement with southern hemisphere sites along the track of the Indonesian Throughflow and in contrast to Northern Hemisphere records from the South China Sea, Sulu Sea and Western Pacific (off Mindanao), which exhibit warming during the Bolling-Allerod. Ice-volume corrected delta O-18 seawater delta O-18(sw) increased during Heinrich Stadial 1 and the Younger Dryas, whereas the Bolling-Allerod is characterized by low delta O-18(sw). We attribute delta O-18(sw) variability in the southern Makassar Strait during the Last Glacial Maximum and glacial termination to changes in provenance and seasonality of precipitation rather than to variability in the amount of local precipitation and runoff. (C) 2016 Elsevier Ltd. All rights reserved.</t>
  </si>
  <si>
    <t>[Schroeder, Jan F.; Holbourn, Ann; Kuhnt, Wolfgang; Kuessner, Kevin] Univ Kiel, Inst Geosci, Ludewig Meyn Str 10, D-24118 Kiel, Germany; [Kuessner, Kevin] Helmholtz Ctr Polar &amp; Marine Res, Alfred Wegener Inst, Alten Hafen 26, D-27568 Bremerhaven, Germany</t>
  </si>
  <si>
    <t>University of Kiel; Helmholtz Association; Alfred Wegener Institute, Helmholtz Centre for Polar &amp; Marine Research</t>
  </si>
  <si>
    <t>Schröder, JF (corresponding author), Univ Kiel, Inst Geosci, Ludewig Meyn Str 10, D-24118 Kiel, Germany.</t>
  </si>
  <si>
    <t>jfs@gpi.uni-kiel.de</t>
  </si>
  <si>
    <t>Kussner, Kevin/0000-0002-6632-0109; Holbourn, Ann/0000-0002-3167-0862</t>
  </si>
  <si>
    <t>German Bundesministerium fur Bildung and Forschung (BMBF) [SO217 MAJA, 03G0217A]; Deutsche Forschungsgemeinschaft (DFG) [KU 649/32-1]</t>
  </si>
  <si>
    <t>German Bundesministerium fur Bildung and Forschung (BMBF)(Federal Ministry of Education &amp; Research (BMBF)); Deutsche Forschungsgemeinschaft (DFG)(German Research Foundation (DFG))</t>
  </si>
  <si>
    <t>We are grateful to D. Mikschl, N. Andersen, P. Grootes, D. Garbe-Schonberg, and K. Bremer for advice and technical support. We thank the captain and the crew of RV Sonne for their support during the 50217 MAJA cruise. This study was funded by the German Bundesministerium fur Bildung and Forschung (BMBF, grant SO217 MAJA, 03G0217A) and the Deutsche Forschungsgemeinschaft (DFG, KU 649/32-1). We thank three anonymous referees for constructive reviews. Data presented in this article are archived at https://www.pangaea.de.</t>
  </si>
  <si>
    <t>1873-457X</t>
  </si>
  <si>
    <t>10.1016/j.quascirev.2016.10.018</t>
  </si>
  <si>
    <t>EF7JK</t>
  </si>
  <si>
    <t>WOS:000390505700007</t>
  </si>
  <si>
    <t>Hollands, T; Dierking, W</t>
  </si>
  <si>
    <t>Hollands, Thomas; Dierking, Wolfgang</t>
  </si>
  <si>
    <t>Dynamics of the Terra Nova Bay Polynya: The potential of multi-sensor satellite observations</t>
  </si>
  <si>
    <t>REMOTE SENSING OF ENVIRONMENT</t>
  </si>
  <si>
    <t>Sea ice; Polynya; Multi-sensor satellite observations; Terra Nova Bay; Microwaves; Thermal IR; Optical images; Ice type classification; Ice drift retrieval</t>
  </si>
  <si>
    <t>APERTURE RADAR IMAGERY; ICE DEFORMATION STATE; SEA-ICE; L-BAND; AMSR-E; SPATIAL-RESOLUTION; COASTAL POLYNYAS; ROSS SEA; MODEL; SAR</t>
  </si>
  <si>
    <t>Research on processes leading to formation, maintenance, and disappearance of polynyas in the Polar Regions benefits significantly from the use of different types of remote sensing data. The Sentinels of the European Space Agency (ESA), together with other satellite missions, provide a variety of data from different parts of the electromagnetic spectrum, at different spatial scales, and with different temporal resolutions. In a case study we demonstrate the advantage of merging data from different spaceborne instruments for analysing ice conditions and ice dynamics in and around the frequently occurring Terra Nova Bay Polynya (TNBP) in the Ross Sea in the Antarctic. Starting with a list of polynya parameters that are typically retrieved from satellite images, we assess the usefulness of different sensor types. On regional scales (several 100 km), passive microwave radiometers provide a view on the mutual influence of the three Ross Sea polynyas on sea ice drift and deformation patterns. Optical sensors with meter-scale resolution, on the other hand, allow very localized analyses of different polynya zones. The combination of different ranges of the electromagnetic spectrum is essential for recognition and classification of ice types and structures. Radar images together with data from thermal infrared sensors, operated at tens to hundreds of meters resolution, improve the separation of the outlet zone of the polynya from the adjacent pack ice. The direct comparison of radar and passive microwave images reveals the visibility of deformed ice zone in the latter. A sequence of radar images was employed to retrieve ice drift around the TNB, which allows analysing the temporal changes of the polynya area and the extension and structure of the outlet zone as well as ice movements and deformation that are influenced by the katabatic winds. (C) 2016 The Authors. Published by Elsevier Inc.</t>
  </si>
  <si>
    <t>[Hollands, Thomas; Dierking, Wolfgang] Helmholtz Ctr Polar &amp; Marine Res, Alfred Wegener Inst, D-27570 Bremerhaven, Germany; [Dierking, Wolfgang] Arctic Univ Norway, N-9019 Tromso, Norway</t>
  </si>
  <si>
    <t>Helmholtz Association; Alfred Wegener Institute, Helmholtz Centre for Polar &amp; Marine Research; UiT The Arctic University of Tromso</t>
  </si>
  <si>
    <t>Hollands, T (corresponding author), Helmholtz Ctr Polar &amp; Marine Res, Alfred Wegener Inst, D-27570 Bremerhaven, Germany.</t>
  </si>
  <si>
    <t>thomas.hollands@awi.de; wolfgang.dierking@awi.de</t>
  </si>
  <si>
    <t>Hollands, Thomas/C-3970-2015</t>
  </si>
  <si>
    <t>Hollands, Thomas/0000-0003-0824-4037</t>
  </si>
  <si>
    <t>German Federal Ministry for Economic Affairs and Energy [50EE1217]; ESA [4000115192/15/NL/AF/eg]; NSF [ANT-1245663]; European Space Agency [ALO.3545]; Japan Aerospace Exploration Agency (JAXA) [1098]</t>
  </si>
  <si>
    <t>German Federal Ministry for Economic Affairs and Energy; ESA(European Space Agency); NSF(National Science Foundation (NSF)); European Space Agency(European Space Agency); Japan Aerospace Exploration Agency (JAXA)</t>
  </si>
  <si>
    <t>The work of the first author was funded by the German Federal Ministry for Economic Affairs and Energy within the framework of project 50EE1217. The second author was partly supported by the project Information content of multi-spectral SAR data, ESA contract 4000115192/15/NL/AF/eg. The meteorological data and information for the AWS Eneide were obtained from 'Meteo-Climatological Observatory' of the Italian Programma Nazionale Di Ricerche in Antartide (PNRA). The authors appreciate the support of the University of Wisconsin-Madison Automatic Weather Station Program for the data set, data display, and information, NSF grant number ANT-1245663. EO-1 Data were obtained from the U.S. Geological Survey. SAR data from Envisat ASAR and ALOS PALSAR were provided by the European Space Agency, project ALO.3545, ALOS PALSAR imagery by the Japan Aerospace Exploration Agency (JAXA) within the frame of project 1098, and Envisat AATSR data by the European Space Agency. The authors would like to thank the two anonymous reviewers for their helpful and constructive suggestions and comments.</t>
  </si>
  <si>
    <t>0034-4257</t>
  </si>
  <si>
    <t>1879-0704</t>
  </si>
  <si>
    <t>REMOTE SENS ENVIRON</t>
  </si>
  <si>
    <t>Remote Sens. Environ.</t>
  </si>
  <si>
    <t>10.1016/j.rse.2016.10.003</t>
  </si>
  <si>
    <t>Environmental Sciences; Remote Sensing; Imaging Science &amp; Photographic Technology</t>
  </si>
  <si>
    <t>Environmental Sciences &amp; Ecology; Remote Sensing; Imaging Science &amp; Photographic Technology</t>
  </si>
  <si>
    <t>EF7EX</t>
  </si>
  <si>
    <t>WOS:000390494000003</t>
  </si>
  <si>
    <t>Cano-Sánchez, E; López-González, PJ</t>
  </si>
  <si>
    <t>Cano-Sanchez, Esperanza; Lopez-Gonzalez, Pablo J.</t>
  </si>
  <si>
    <t>Basal articulation of the palps and ovigers in Antarctic Colossendeis (Pycnogonida; Colossendeidae)</t>
  </si>
  <si>
    <t>HELGOLAND MARINE RESEARCH</t>
  </si>
  <si>
    <t>Sea spiders; Basal articulation; Scanning electron microscopy; Light microscopy; Musculature</t>
  </si>
  <si>
    <t>SEA SPIDERS ARTHROPODA; PHYLOGENETICS</t>
  </si>
  <si>
    <t>Selected sea spider specimens of Antarctic Colossendeis species collected during the Italica XIX cruise and the Polarstern cruise ANT XXIII/8 were examined to provide new information about the external and internal anatomy of the basal parts of the palps and ovigers. The presence and insertion of the muscle bands, as well as the arthrodial membrane are illustrated and discussed. The results obtained in this study show that the basal parts of the palps and ovigers have a similar internal structure. This is in agreement with the currently established 10-articled status for the ovigers (the basal element is not considered an article). Despite the currently established 10-articled status for the palps, our results suggest that the palp should be considered as being 9-articled.</t>
  </si>
  <si>
    <t>[Cano-Sanchez, Esperanza; Lopez-Gonzalez, Pablo J.] Univ Seville, Fac Biol, Dept Zool, Biodiversidad &amp; Ecol Invertebrados Marinos, Avda Reina Mercedes 6, E-41012 Seville, Spain</t>
  </si>
  <si>
    <t>University of Sevilla</t>
  </si>
  <si>
    <t>Cano-Sánchez, E (corresponding author), Univ Seville, Fac Biol, Dept Zool, Biodiversidad &amp; Ecol Invertebrados Marinos, Avda Reina Mercedes 6, E-41012 Seville, Spain.</t>
  </si>
  <si>
    <t>ecano@us.es</t>
  </si>
  <si>
    <t>Lopez-González, Pablo J./Y-6440-2018</t>
  </si>
  <si>
    <t>Lopez-González, Pablo J./0000-0002-7348-6270</t>
  </si>
  <si>
    <t>Spanish CICYT projects [CGL2004-20062-E, POL2006-06399/CGL (Polarstern ANT XXIII/8-CLIMANT)]</t>
  </si>
  <si>
    <t>Spanish CICYT projects(Consejo Interinstitucional de Ciencia y Tecnologia (CICYT))</t>
  </si>
  <si>
    <t>Partial support (travel expenses for participation in polar cruises) was provided by the Spanish CICYT projects CGL2004-20062-E (Victoria Land Transect-2004) and POL2006-06399/CGL (Polarstern ANT XXIII/8-CLIMANT).</t>
  </si>
  <si>
    <t>1438-387X</t>
  </si>
  <si>
    <t>1438-3888</t>
  </si>
  <si>
    <t>HELGOLAND MAR RES</t>
  </si>
  <si>
    <t>Helgoland Mar. Res.</t>
  </si>
  <si>
    <t>10.1186/s10152-016-0474-7</t>
  </si>
  <si>
    <t>EF3DN</t>
  </si>
  <si>
    <t>WOS:000390204800001</t>
  </si>
  <si>
    <t>Mello, FV; Roscales, JL; Guida, YS; Menezes, JFS; Vicente, A; Costa, ES; Jimenez, B; Torres, JPM</t>
  </si>
  <si>
    <t>Mello, Flavia V.; Roscales, Jose L.; Guida, Yago S.; Menezes, Jorge F. S.; Vicente, Alba; Costa, Erli S.; Jimenez, Begofia; Torres, Joao Paulo M.</t>
  </si>
  <si>
    <t>Relationship between legacy, and emerging organic pollutants in Antarctic seabirds and their foraging ecology as shown by δ13C and δ15N</t>
  </si>
  <si>
    <t>Dechlorane plus; Organochlorinated pesticides; Polychlorinated biphenyls; Polybrominated diphenyl ethers; Stable isotopes; Trophic ecology</t>
  </si>
  <si>
    <t>POLYBROMINATED DIPHENYL ETHERS; KING-GEORGE-ISLAND; STABLE-ISOTOPE ANALYSIS; SKUAS CATHARACTA-LONNBERGI; SOUTH SHETLAND ISLANDS; FLAME RETARDANTS; DECHLORANE PLUS; POLYCHLORINATED-BIPHENYLS; CHINSTRAP PENGUINS; LARUS-MICHAHELLIS</t>
  </si>
  <si>
    <t>Foraging ecology and the marine regions exploited by Antarctic seabirds outside of breeding strongly influence their exposure to persistent organic pollutants (POPs). However, relationships between them are largely unknown, an important knowledge gap given that many species are capital breeders and POPs may be deleterious to seabirds. This study investigates the relationship between Antarctic seabird foraging ecology (measured by delta 13C and delta 15N) and POPs accumulated in their eggs prior to breeding. Organochlorinated pesticides, polychlorinated biphenyls (PCBs), polybrominated diphenyl ethers (PBDEs), and dechlorane plus (DP) were measured in eggs of chinstrap, Adelie, and gentoo penguins (Pygoscelis antarctica, P. adeliae, P. papua), as well as south polar skua (Catharacta maccormicki), sampled on King George Island. Total POP levels were as follows: skua (3210 +/- 3330 ng/g lipid weight)&gt;chinstrap (338 +/- 128 ng/g)&gt;Adelie (287 +/- 43.3 ng/g)&gt;gentoo (252 +/- 49.4 ng/g). Trophic position and pre-breeding foraging sites were important in explaining POP accumulation patterns across species. The most recalcitrant compounds were preferentially accumulated in skuas, occupying one trophic level above penguins. In contrast, their Antarctic endemism, coupled with influence from cold condensation of pollutants, likely contributed to penguins exhibiting higher concentrations of more volatile compounds (e.g., hexachlorobenzene, PCB-28 and -52) than skuas. Regional differences in penguin pre-breeding foraging areas did not significantly affect their POP burdens, whereas the trans-equatorial migration and foraging sites of skuas were strongly reflected in their pollutant profiles, especially for PBDEs and DPs. Overall, our results provide new insights on migratory birds as biovectors of POPs, including non-globally regulated compounds such as DP, from northern regions to Antarctica. (C) 2016 Elsevier B.V. All rights reserved.</t>
  </si>
  <si>
    <t>[Mello, Flavia V.; Guida, Yago S.; Torres, Joao Paulo M.] Univ Fed Rio de Janeiro, Inst Biophys Carlos Chagas Filho, Lab Radioisotopes Eduardo Penna Franca, CCS, Carlos Chagas Filho 373, Rio de Janeiro, RJ, Brazil; [Roscales, Jose L.; Vicente, Alba; Jimenez, Begofia] IQOG CSIC, Dept Instrumental Anal &amp; Environm Chem, Inst Organ Chem, Juan de la Cierva 3, Madrid 28006, Spain; [Menezes, Jorge F. S.] Ben Gurion Univ Negev, Marco &amp; Louise Mitrani Dept Desert Ecol, SIDEER, BIDR, IL-8499000 Mideshet Ben Gurion, Israel; [Costa, Erli S.] Univ Estadual Rio Grande do Sul, Proreitoria Pesquisa &amp; Posgrad, Rua 7 Setembro,1156, BR-90010191 Porto Alegre, RS, Brazil</t>
  </si>
  <si>
    <t>Universidade Federal do Rio de Janeiro; Consejo Superior de Investigaciones Cientificas (CSIC); CSIC - Instituto de Quimica Organica General (IQOG); Ben Gurion University; Universidade Estadual do Rio Grande do Sul (UERGS)</t>
  </si>
  <si>
    <t>Mello, FV (corresponding author), Univ Fed Rio de Janeiro, CCS, IBCCF, LREPF, Ave Carlos Chagas Filho 373 Edificio CCS, BR-21941900 Rio de Janeiro, RJ, Brazil.</t>
  </si>
  <si>
    <t>flaviavasc@biof.ufrj.br; jlroscales@iqog.csic.es; guidays@biaufrj.br; saraivad@bgu.ac.il; alvigui@hotmail.com; erli-costa@uergs.edu.br; bjimenez@iqog.csic.es; jptorres@bio.ufr.br</t>
  </si>
  <si>
    <t>COSTA, ERLI SCHNEIDER/AAP-2375-2020; Jiménez, Begoña/C-6324-2012; Saraiva de Menezes, Jorge Fernando/ABA-6902-2021; Guida, Yago/AIB-8183-2022; torres, joao/AAI-8390-2021; Roscales, Jose/H-6716-2015</t>
  </si>
  <si>
    <t>COSTA, ERLI SCHNEIDER/0000-0002-3739-1178; Jiménez, Begoña/0000-0002-2401-4648; Saraiva de Menezes, Jorge Fernando/0000-0003-2224-9758; Guida, Yago/0000-0002-6115-3305; torres, joao/0000-0002-2510-1612; Roscales, Jose/0000-0002-0446-6911; Mello, Flavia/0000-0001-8964-0108</t>
  </si>
  <si>
    <t>CNPq/MCT [557049/2009-1]; FAPERJ [E-26/111.505/2010]; CSIC; MAGRAMA [EG042010, 14CAES001]</t>
  </si>
  <si>
    <t>CNPq/MCT(Conselho Nacional de Desenvolvimento Cientifico e Tecnologico (CNPQ)); FAPERJ(Fundacao Carlos Chagas Filho de Amparo a Pesquisa do Estado do Rio De Janeiro (FAPERJ)); CSIC; MAGRAMA</t>
  </si>
  <si>
    <t>This study is part of the project: Estudos bioecologicos em Pinguins (Pygoscelis antarctica, P. papua e P. adeliae) e skuas (Catharacta maccormickii e C. lonnbergii): determinacao de micropoluentes e niveis de estresse atraves de metodos de amostragem nao invasivos, sponsored by CNPq/MCT 557049/2009-1 and FAPERJ (E-26/111.505/2010). The authors are indebted to the Brazilian Navy, which provided logistical support in Antarctica through the Secretaria da Comissao Interrninisterial para os Recursos do Mar (SECIRM). Chemical and stable isotopes analysis were performed in partnership with researchers from the Department of Instrumental Analysis and Environmental Chemistry of the Institute of Organic Chemistry (IQOG-CSIC), Spain. CSIC and MAGRAMA (Projects EG042010, 14CAES001) are acknowledged for financial support. JLR acknowledges his contract under project 14CAES001. For their assistance with the collection of eggshell samples, the authors thank Juliana Bell, Adriana Pesstia, and Moacir Silva. For other important contributions, the authors thank Larissa Cunha, Gabriel Oliveira, Petrus Galvao, Izidro Ferreira,Valeria Vasconcelos, and Jaqueline Guida.</t>
  </si>
  <si>
    <t>10.1016/j.scitotenv.2016.07.080</t>
  </si>
  <si>
    <t>EF1FP</t>
  </si>
  <si>
    <t>WOS:000390071000132</t>
  </si>
  <si>
    <t>Rudolph, I; Chiang, G; Galban-Malagon, C; Mendoza, R; Martinez, M; Gonzalez, C; Becerra, J; Servos, MR; Munkittrick, KR; Barra, R</t>
  </si>
  <si>
    <t>Rudolph, Ignacio; Chiang, Gustavo; Galban-Malagon, Cristobal; Mendoza, Rafael; Martinez, Miguel; Gonzalez, Carlos; Becerra, Jose; Servos, Mark R.; Munkittrick, Kelly R.; Barra, Ricardo</t>
  </si>
  <si>
    <t>Persistent organic pollutants and porphyrins biomarkers in penguin. faeces from Kopaitic Island and Antarctic Peninsula</t>
  </si>
  <si>
    <t>PCB; Penguin; Faeces; Stable isotope; Porphyrin; Antarctica</t>
  </si>
  <si>
    <t>POLYBROMINATED DIPHENYL ETHERS; SOUTH SHETLAND ISLANDS; WATER FOOD-WEB; PYGOSCELIS-PAPUA; GENTOO PENGUINS; ORGANOCHLORINE CONTAMINANTS; POLYCHLORINATED-BIPHENYLS; TROPHIC RELATIONSHIPS; CHINSTRAP PENGUINS; ADELIE</t>
  </si>
  <si>
    <t>Polychlorinated biphenyl (PCB) levels were determined in the faeces of three Antarctic Peninsula penguin species to assess viability as a non-invasive approach for sampling PCBs in Antarctic biota. These determinations were complemented with stable isotope and porphyrins assessments, and together this methodology determined the role of diet and metabolic disruption in penguins. Up to 60% of the collected faecal samples evidenced low molecular weight PCBs, of which, the more volatile compounds were predominant, in agreement with previous results. The highest PCB levels were reported in the gentoo penguin (Pygoscelis papua; 35.3ngg(-1) wet weight average), followed by the chinstrap (Pygoscelis antarctica; 6.4 ngg(-1) wet weight average) and Adlie penguins (Pygoscelis adeliae; 12.9 ngg(-1) wet weight average). Stable isotope analyses (delta N-15 and delta C-13) demonstrated that gentoo feeding and foraging habits differed from those of Adelie and chinstrap penguins. A strong positive correlation was found between PCB concentrations and delta N-15, indicating the role of diet on the observed pollutant levels. Porphyrins metabolite levels were also directly correlated with PCB concentrations. These results suggest that PCB levels impair the health of Antarctic penguins. (C) 2016 Elsevier B.V. All rights reserved.</t>
  </si>
  <si>
    <t>[Rudolph, Ignacio; Barra, Ricardo] Univ Concepcion, Aquat Syst Dept, Fac Environm Sci, Concepcion 4070386, Chile; [Rudolph, Ignacio; Barra, Ricardo] Univ Concepcion, EULA Chile Ctr, Concepcion 4070386, Chile; [Chiang, Gustavo; Munkittrick, Kelly R.] Univ New Brunswick, Canadian Rivers Inst, St John, NB E2L 4L5, Canada; [Chiang, Gustavo] Fdn MERI, Santiago 7650720, Chile; [Galban-Malagon, Cristobal] Univ Andres Bello, Dept Ecol &amp; Biodivers, Fac Ecol &amp; Nat Resources, Santiago 8370371, Chile; [Mendoza, Rafael] Inst Invest Pesquera, Dept Estudios Ambientales, Talcahuano 4260000, Chile; [Martinez, Miguel; Gonzalez, Carlos] Univ Concepcion, Dept Microbiol, Fac Ciencias Biol, Concepcion 4070386, Chile; [Becerra, Jose] Univ Concepcion, Dept Bot, Fac Ciencias Biol, Concepcion 4070386, Chile; [Servos, Mark R.] Univ Waterloo, Dept Biol, Waterloo, ON N2L 3G1, Canada</t>
  </si>
  <si>
    <t>Universidad de Concepcion; Universidad de Concepcion; University of New Brunswick; Universidad Andres Bello; Universidad de Concepcion; Universidad de Concepcion; University of Waterloo</t>
  </si>
  <si>
    <t>Barra, R (corresponding author), Univ Concepcion, Aquat Syst Dept, Fac Environm Sci, Concepcion 4070386, Chile.;Barra, R (corresponding author), Univ Concepcion, EULA Chile Ctr, Concepcion 4070386, Chile.</t>
  </si>
  <si>
    <t>ricbarra@udec.cl</t>
  </si>
  <si>
    <t>Barra, Ricardo O./A-5543-2009; Munkittrick, Kelly/AAB-8929-2019; Chiang, Gustavo/ABA-9349-2020; Servos, Mark R/A-3454-2015; Galbán-Malagón, Cristobal/B-2170-2017; Galban Malagon, Cristobal/J-2384-2015</t>
  </si>
  <si>
    <t>Barra, Ricardo O./0000-0002-1567-7722; Chiang, Gustavo/0000-0003-4504-355X; Becerra, Jose/0000-0002-1444-1814; Galban Malagon, Cristobal/0000-0001-8397-5804</t>
  </si>
  <si>
    <t>INACH [T18-09]; Embassy of Chile in Italy; FONDECYF [1140466]; CONICYF FONDAP CRHIAM [15130015]</t>
  </si>
  <si>
    <t>INACH; Embassy of Chile in Italy; FONDECYF; CONICYF FONDAP CRHIAM</t>
  </si>
  <si>
    <t>This work was funded by INACH [grant number T18-09, to R. Barra]; the Research Exchange Scholarship from the Embassy of Chile in Italy, to G. Chiang; and FONDECYF [grant number 1140466, to R. Barra]. R. Barra thanks also the support of CONICYF FONDAP CRHIAM 15130015.</t>
  </si>
  <si>
    <t>10.1016/j.scitotenv.2016.07.091</t>
  </si>
  <si>
    <t>WOS:000390071000133</t>
  </si>
  <si>
    <t>Sikes, EL; Elmore, AC; Allen, KA; Cook, MS; Guilderson, TP</t>
  </si>
  <si>
    <t>Sikes, Elisabeth L.; Elmore, Aurora C.; Allen, Katherine A.; Cook, Mea S.; Guilderson, Thomas P.</t>
  </si>
  <si>
    <t>Glacial water mass structure and rapid δ18O and δ13C changes during the last glacial termination in the Southwest Pacific</t>
  </si>
  <si>
    <t>delta C-13; delta O-18; deglaciation; last glaciation; ocean-atmosphere CO2 exchange; Southern Ocean</t>
  </si>
  <si>
    <t>MERIDIONAL OVERTURNING CIRCULATION; SOUTHERN-OCEAN SEDIMENTS; ATMOSPHERIC CO2; NEW-ZEALAND; CARBON-DIOXIDE; NORTH-ATLANTIC; SEA-ICE; ISOTOPIC COMPOSITION; INTIMATE PROJECT; DEGLACIATION</t>
  </si>
  <si>
    <t>Changes in ocean circulation are thought to have contributed to lowering glacial atmospheric CO2 levels by enhancing deep ocean sequestration of carbon that was returned to the atmosphere during glacial terminations. High-resolution benthic foraminiferal delta C-13 and delta O-18 records from a depth transect of cores in the Southwest Pacific Ocean presented here provide evidence that both wind- and thermohaline-driven circulation drove CO2 from the ocean during the last deglaciation. Shallow geochemical stratification in the glacial Southern Ocean was followed by a short pulse of rapid delta C-13 enrichment to intermediate water depths during Heinrich Stadial 1, indicative of better-ventilated intermediate waters co-occurring with documented wind-driven upwelling in the Southern Ocean. Intermediate depth delta C-13 enrichment paused at the start of the Antarctic Cold Reversal (similar to 14.7 ka), implying a brief shallow restratification, while deeper layers were progressively flushed of delta C-13-depleted and delta O-18-enriched waters, likely caused by the increasing influence of deep waters sourced from the North Atlantic. The coincidence of atmospheric CO2 increases with these geochemical shifts in both shallow and deep cores suggests that shifts in both atmospheric and oceanic circulation contributed to the deglacial rise of CO2. (C) 2016 Elsevier B.V. All rights reserved.</t>
  </si>
  <si>
    <t>[Sikes, Elisabeth L.; Elmore, Aurora C.; Allen, Katherine A.] Rutgers State Univ, Inst Marine &amp; Coastal Sci, 71 Dudley Rd, New Brunswick, NJ 08901 USA; [Elmore, Aurora C.] Univ Durham, Dept Geog, South Rd, Durham, England; [Allen, Katherine A.] Univ Maine, Sch Earth &amp; Climate Sci, Bryand Global Sci Ctr 5790, Orono, ME 04469 USA; [Cook, Mea S.] Williams Coll, Dept Geosci, 947 Main St, Williamstown, MA 01267 USA; [Guilderson, Thomas P.] Univ Calif Santa Cruz, Dept Ocean Sci, 1156 High St, Santa Cruz, CA 95064 USA; [Guilderson, Thomas P.] Lawrence Livermore Natl Lab, 7000 East Ave, Livermore, CA 94550 USA</t>
  </si>
  <si>
    <t>Rutgers University System; Rutgers University New Brunswick; Durham University; University of Maine System; University of Maine Orono; Williams College; University of California System; University of California Santa Cruz; United States Department of Energy (DOE); Lawrence Livermore National Laboratory</t>
  </si>
  <si>
    <t>Sikes, EL (corresponding author), Rutgers State Univ, Inst Marine &amp; Coastal Sci, 71 Dudley Rd, New Brunswick, NJ 08901 USA.</t>
  </si>
  <si>
    <t>sikes@marine.rutgers.edu</t>
  </si>
  <si>
    <t>Sikes, Elisabeth/HPE-8194-2023</t>
  </si>
  <si>
    <t>Cook, Mea/0000-0003-3786-6353; Sikes, Elisabeth/0000-0003-2900-3283; Allen, Katherine/0000-0002-1362-5400; Guilderson, Thomas/0000-0001-9371-7059</t>
  </si>
  <si>
    <t>NSF [OCE-0823487, 0823549-03]; U.S. Department of Energy [DE-AC52-07NA27344]; Hanse-Wissenschaftskolleg; NOAA Climate and Global Change Program; Division Of Ocean Sciences; Directorate For Geosciences [0823549] Funding Source: National Science Foundation</t>
  </si>
  <si>
    <t>NSF(National Science Foundation (NSF)); U.S. Department of Energy(United States Department of Energy (DOE)); Hanse-Wissenschaftskolleg; NOAA Climate and Global Change Program(National Oceanic Atmospheric Admin (NOAA) - USA); Division Of Ocean Sciences; Directorate For Geosciences(National Science Foundation (NSF)NSF - Directorate for Geosciences (GEO))</t>
  </si>
  <si>
    <t>We thank Susan Trimarchi, Jordan Landers, and Benedetto Schiraldi for analyses and laboratory assistance and Phil Shane for continued assistance with tephra identification. We wholeheartedly thank David Lund and Jean Lynch-Stieglitz for stimulating discussions and insightful input. Conversations with Arnold Gordon contributed greatly to our concept of Southern Ocean water formation mechanisms. Numerous anonymous reviewers had a hand in shaping this manuscript. We thank our editor, Heather Stoll, for guiding this work to publication. Funding for this project came from NSF OCE-0823487 and 0823549-03. A portion of this work was performed under the auspices of the U.S. Department of Energy under contract DE-AC52-07NA27344. This work was also supported by fellowships from the Hanse-Wissenschaftskolleg; support was also provided by the NOAA Climate and Global Change Program (KA), administered by the University Corporation for Atmospheric Research. All data used in this paper is archived with the NOAA Centers for Environmental Information in the online paleoclimate database: http://www.ncdc.noaa.gov/data-access/paleoclimatology-data.</t>
  </si>
  <si>
    <t>10.1016/j.epsl.2016.09.043</t>
  </si>
  <si>
    <t>EB6WO</t>
  </si>
  <si>
    <t>WOS:000387526500009</t>
  </si>
  <si>
    <t>Quiroga, E; Ortiz, P; González-Saldías, R; Reid, B; Tapia, FJ; Pérez-Santos, I; Rebolledo, L; Mansilla, R; Pineda, C; Cari, I; Salinas, N; Montiel, A; Gerdes, D</t>
  </si>
  <si>
    <t>Quiroga, Eduardo; Ortiz, Paula; Gonzalez-Saldias, Rodrigo; Reid, Brian; Tapia, Fabian J.; Perez-Santos, Ivan; Rebolledo, Lorena; Mansilla, Rodrigo; Pineda, Carlos; Cari, Ilia; Salinas, Nicole; Montiel, Americo; Gerdes, Dieter</t>
  </si>
  <si>
    <t>Seasonal benthic patterns in a glacial Patagonian fjord: the role of suspended sediment and terrestrial organic matter</t>
  </si>
  <si>
    <t>Macrofauna; Meiofauna; Total microbial biomass; Stable isotopes; Trophic structure</t>
  </si>
  <si>
    <t>BIOMASS-SIZE-SPECTRA; RIVER ESTUARY ADVENTFJORDEN; MACROBENTHIC COMMUNITIES; NORTHERN PATAGONIA; BODY-SIZE; WATER; OCEAN; VARIABILITY; DISTURBANCE; ENRICHMENT</t>
  </si>
  <si>
    <t>Complex marine-terrestrial interactions characterize Chilean fjords, where benthic communities influence the distribution of organic matter (OM). We examined spatial and seasonal changes in the hydrography, sediment conditions and soft-bottom macrobenthic, meiobenthic, and total microbial biomass in a glacial Patagonian fjord (Martinez Channel, Chile). The transport of a high load of glacial mineral and particulate OM to the fjord in the austral summer coincided with low total live benthic biomass. Multivariate analysis evidenced temporal-related macrofaunal groups influenced by the different environments produced by the advection of sediment transport and terrestrial OM from the Baker River, Chile. The relationships between density/biomass and respiration versus body size varied considerably with distance from major riverine inputs, but the slopes of density size spectra and normalized biomass size spectra were less negative in summer than in winter. Occasional large-scale advective processes in the water column affected sediment conditions and removed surface macrofauna, influencing the slope and intercept of the regression models. In the outer fjord, lateral advection and subsequent sedimentation of terrestrial OM contributed a significant fraction to total OM sediments (&lt; 14.76%). Stable carbon isotopes measured in benthic organisms suggest that benthic communities in the inner fjord may assimilate a significant fraction of terrestrial OM via heterotrophic bacteria in contrast to the minor input of terrestrial OM in the outer fjord.</t>
  </si>
  <si>
    <t>[Quiroga, Eduardo; Salinas, Nicole] Pontificia Univ Catolica Valparaiso, Escuela Ciencias Mar, Valparaiso, Chile; [Quiroga, Eduardo; Gonzalez-Saldias, Rodrigo; Tapia, Fabian J.; Perez-Santos, Ivan; Rebolledo, Lorena; Mansilla, Rodrigo] Univ Concepcion, COPAS Sur Austral, Concepcion, Chile; [Ortiz, Paula; Reid, Brian] CIEP, Coyhaique, Chile; [Ortiz, Paula; Pineda, Carlos; Cari, Ilia] Pontificia Univ Catolica Valparaiso, Escuela Ciencias Mar, Programa Magister Oceanog, Valparaiso, Chile; [Gonzalez-Saldias, Rodrigo] Univ Concepcion, Fac Ciencias Nat &amp; Oceanog, Unidad Biotecnol Marina, Concepcion, Chile; [Gonzalez-Saldias, Rodrigo; Tapia, Fabian J.] Univ Concepcion, Dept Oceanog, Concepcion, Chile; [Perez-Santos, Ivan] Univ Los Lagos, Ctr I Mar, Puerto Montt, Chile; [Rebolledo, Lorena] Inst Antartico Chileno INACH, Punta Arenas, Chile; [Rebolledo, Lorena] Univ Austral Chile, Ctr FONDAP Invest Ecosistemas Altas Latitudes IDE, Valdivia, Chile; [Montiel, Americo] Univ Magallanes, Inst Patagonia, Punta Arenas, Chile; [Gerdes, Dieter] Helmholtz Ctr Polar &amp; Marine Res, Alfred Wegener Inst, D-27568 Bremerhaven, Germany</t>
  </si>
  <si>
    <t>Pontificia Universidad Catolica de Valparaiso; Universidad de Concepcion; Pontificia Universidad Catolica de Valparaiso; Universidad de Concepcion; Universidad de Concepcion; Universidad de Los Lagos; Universidad Austral de Chile; Universidad de Magallanes; Helmholtz Association; Alfred Wegener Institute, Helmholtz Centre for Polar &amp; Marine Research</t>
  </si>
  <si>
    <t>Quiroga, E (corresponding author), Pontificia Univ Catolica Valparaiso, Escuela Ciencias Mar, Valparaiso, Chile.;Quiroga, E (corresponding author), Univ Concepcion, COPAS Sur Austral, Concepcion, Chile.</t>
  </si>
  <si>
    <t>eduardo.quiroga@pucv.cl</t>
  </si>
  <si>
    <t>Rebolledo, Lorena/AAP-5867-2020; Perez, Ivan/B-9321-2018</t>
  </si>
  <si>
    <t>Reid, Brian/0000-0002-4274-3350; Perez, Ivan/0000-0001-5804-9761; Montiel, Americo/0000-0002-2644-4879; Gerdes, David/0000-0001-6942-2736; Tapia, Fabian/0000-0001-9661-6069; Cari, Ilia/0000-0002-8597-7990; Rebolledo, Lorena/0000-0003-0266-361X</t>
  </si>
  <si>
    <t>Regular FONDECYT Grant (CONICYT) [1130691]; COPAS Sur-Austral (CONICYT Grant) [PFB PIA 31/2007]; FONDECYT Grant [11140161]; COPAS Sur-Austral Grant [PFB PIA 31/2007]; UMAG-DI project [PR-F1-02-IP-15]; FONDAP-IDEAL [15150003]; COPAS Sur-Austral (University of Concepcion) [PFB PIA 31/2007]</t>
  </si>
  <si>
    <t>Regular FONDECYT Grant (CONICYT); COPAS Sur-Austral (CONICYT Grant); FONDECYT Grant(Comision Nacional de Investigacion Cientifica y Tecnologica (CONICYT)CONICYT FONDECYT); COPAS Sur-Austral Grant(Comision Nacional de Investigacion Cientifica y Tecnologica (CONICYT)CONICYT PIA/BASAL); UMAG-DI project; FONDAP-IDEAL; COPAS Sur-Austral (University of Concepcion)</t>
  </si>
  <si>
    <t>This research was funded by a Regular FONDECYT Grant 1130691 (CONICYT). We are grateful for the financial and logistical support of COPAS Sur-Austral (CONICYT Grant PFB PIA 31/2007, University of Concepcion), including the ADCP data collected and made available by Dr. Leonardo Castro's team at COPAS Sur-Austral (U. of Concepcion). We thank Jorge Henriquez and Rodrigo Mansilla for their assistance with the ADCP mooring. We also thank N. Pino and P. Linconir for their assistance with the meiofauna and microbial biomass analyses. I.P.-S. was funded by FONDECYT Grant 11140161 and COPAS Sur-Austral Grant PFB PIA 31/2007. A.M. was funded by UMAG-DI project PR-F1-02-IP-15. L.M. was partially funded by FONDAP-IDEAL no. 15150003. Finally, the authors specially thank Dr. Chester Sands (British Antarctic Survey) for his valuable input and improvements to the English of the manuscript. This is the first contribution of the LOBOS Team (Laboratorio de Oceanografia y Bentos) from PUCV.</t>
  </si>
  <si>
    <t>10.3354/meps11903</t>
  </si>
  <si>
    <t>WOS:000391695800003</t>
  </si>
  <si>
    <t>Han, J; Puthumana, J; Lee, MC; Kim, S; Lee, JS</t>
  </si>
  <si>
    <t>Han, Jeonghoon; Puthumana, Jayesh; Lee, Min-Chul; Kim, Sanghee; Lee, Jae-Seong</t>
  </si>
  <si>
    <t>Different susceptibilities of the Antarctic and temperate copepods Tigriopus kingsejongensis and T. japonicus to ultraviolet (UV) radiation</t>
  </si>
  <si>
    <t>Ultraviolet radiation; Antarctic copepod; Temperate copepod; Tigriopus kingsejongensis; Tigriopus japonicus; Reactive oxygen species</t>
  </si>
  <si>
    <t>INDUCED DNA-DAMAGE; OXIDATIVE STRESS; B RADIATION; OZONE DEPLETION; EXPRESSION; PROTEIN; GLUTATHIONE; RESPONSES; GENES; TRANSCRIPTOME</t>
  </si>
  <si>
    <t>To understand the effects of UV radiation on the Antarctic copepod Tigriopus kingsejongensis and the temperate copepod Tigriopus japonicus, the 96 h half lethal dose (LD50-96h) was calculated and compared with the levels of intracellular reactive oxygen species (ROS), antioxidant enzymatic activities, and gene expression profiles of the defensome in response to UV radiation over time (control, 1, 3, 6 h) in these copepods. 'Defensome' refers to the integrated system of defense mechanisms-such as detoxification, anti oxidation, apoptosis, and cell proliferation-that were altered by UV exposure. The LD50-96h and no observed effect level (NOEL) at 96 h after UV exposure were determined as 23.16 kJ m(-2) and 12 kJ m(-2), respectively, in T. kingsejongensis and 26.42 kJ m(-2) and 12 kJ m(-2), respectively, in T. japonicus. ROS levels in response to 12 kJ m-2 UV increased slightly (p &lt; 0.05) in T. kingsejongensis over time, and were also higher (p &lt; 0.05) in T. japonicus. Transcript levels of antioxidant-related genes were mostly down-regulated in response to 12 kJ m(-2) UV radiation, except for glutathione-S transferase delta epsilon (GST-Delta-E), manganese-superoxide dismutase (Mn-SOD), glutathione reductase (GR), and glutathione peroxi dase (GPx) genes in T. kingsejongensis. T. japonicus heat shock protein (hsp) genes were mostly up-regulated, but only small hsp genes (hsp10 and hsp20) showed up-regulation in T. kingsejongensis. This finding provides a better understanding of how UV radiation affects in vivo endpoints and the relevant molecular response in 2 different copepod species from contrasting environments.</t>
  </si>
  <si>
    <t>[Han, Jeonghoon; Puthumana, Jayesh; Lee, Min-Chul; Lee, Jae-Seong] Sungkyunkwan Univ, Coll Sci, Dept Biol Sci, Suwon 16419, South Korea; [Kim, Sanghee] Korea Polar Res Inst, Div Life Sci, Inchon 21990, South Korea</t>
  </si>
  <si>
    <t>Sungkyunkwan University (SKKU); Korea Polar Research Institute (KOPRI)</t>
  </si>
  <si>
    <t>Lee, JS (corresponding author), Sungkyunkwan Univ, Coll Sci, Dept Biol Sci, Suwon 16419, South Korea.</t>
  </si>
  <si>
    <t>jslee2@skku.edu</t>
  </si>
  <si>
    <t>Puthumana, Jayesh/ABA-2358-2020; Lee, MC/ABI-5926-2020; Puthumana, Jayesh/AAI-7891-2021; Lee, Jae-Seong/H-6013-2015; Han, Jeonghoon/ABI-6920-2020; Puthumana, Jayesh/ABI-5137-2020</t>
  </si>
  <si>
    <t>Puthumana, Jayesh/0000-0002-3423-6420; Lee, Jae-Seong/0000-0003-0944-5172;</t>
  </si>
  <si>
    <t>Korea Polar Research Institute [PE16350]</t>
  </si>
  <si>
    <t>We thank 2 anonymous reviewers for valuable comments that improved the manuscript. This work was supported by a grant from the Korea Polar Research Institute (PE16350) awarded to J.S.L.</t>
  </si>
  <si>
    <t>10.3354/meps11946</t>
  </si>
  <si>
    <t>WOS:000391695800007</t>
  </si>
  <si>
    <t>Amoroso, G; Ventura, T; Cobcroft, JM; Adams, MB; Elizur, A; Carter, CG</t>
  </si>
  <si>
    <t>Amoroso, Gianluca; Ventura, Tomer; Cobcroft, Jennifer M.; Adams, Mark B.; Elizur, Abigail; Carter, Chris G.</t>
  </si>
  <si>
    <t>Multigenic Delineation of Lower Jaw Deformity in Triploid Atlantic Salmon (Salmo salar L.)</t>
  </si>
  <si>
    <t>VERTEBRAL DEFORMITIES; SKELETAL ANOMALIES; TRANSGENIC MICE; COL2A1 GENE; BONE; GROWTH; CARTILAGE; PERFORMANCE; GALECTIN-3; MUTATIONS</t>
  </si>
  <si>
    <t>Lower jaw deformity (LJD) is a skeletal anomaly affecting farmed triploid Atlantic salmon (Salmo salar L.) which leads to considerable economic losses for industry and has animal welfare implications. The present study employed transcriptome analysis in parallel with real-time qPCR techniques to characterise for the first time the LJD condition in triploid Atlantic salmon juveniles using two independent sample sets: experimentally-sourced salmon (60 g) and commercially produced salmon (100 g). A total of eleven genes, some detected/identified through the transcriptome analysis (fbn2, gal and gphb5) and others previously determined to be related to skeletal physiology (alp, bmp4, col1a1, col2a1, fgf23, igf1, mmp13, ocn), were tested in the two independent sample sets. Gphb5, a recently discovered hormone, was significantly (P &lt; 0.05) down-regulated in LJD affected fish in both sample sets, suggesting a possible hormonal involvement. In-situ hybridization detected gphb5 expression in oral epithelium, teeth and skin of the lower jaw. Col2a1 showed the same consistent significant (P &lt; 0.05) down-regulation in LJD suggesting a possible cartilaginous impairment as a distinctive feature of the condition. Significant (P &lt; 0.05) differential expression of other genes found in either one or the other sample set highlighted the possible effect of stage of development or condition progression on transcription and showed that anomalous bone development, likely driven by cartilage impairment, is more evident at larger fish sizes. The present study improved our understanding of LJD suggesting that a cartilage impairment likely underlies the condition and col2a1 may be a marker. In addition, the involvement of gphb5 urges further investigation of a hormonal role in LJD and skeletal physiology in general.</t>
  </si>
  <si>
    <t>[Amoroso, Gianluca; Cobcroft, Jennifer M.; Adams, Mark B.; Carter, Chris G.] Univ Tasmania, IMAS, Private Bag 49, Hobart, Tas, Australia; [Ventura, Tomer; Cobcroft, Jennifer M.; Elizur, Abigail] Univ Sunshine Coast, Sch Sci &amp; Engn, Genecol Res Ctr, Locked Bag 4, Maroochydore, Qld, Australia</t>
  </si>
  <si>
    <t>University of Tasmania; University of the Sunshine Coast</t>
  </si>
  <si>
    <t>Amoroso, G (corresponding author), Univ Tasmania, IMAS, Private Bag 49, Hobart, Tas, Australia.</t>
  </si>
  <si>
    <t>gianluca.amoroso@utas.edu.au</t>
  </si>
  <si>
    <t>Adams, Mark/P-7598-2019; Elizur, Abigail/B-7708-2012; Amoroso, Gianluca/J-3911-2019; Ventura, T./H-9832-2019; Carter, Chris Guy/A-3438-2008; Cobcroft, Jennifer/E-3331-2013</t>
  </si>
  <si>
    <t>Adams, Mark/0000-0002-5737-5474; Amoroso, Gianluca/0000-0003-2985-4205; Ventura, T./0000-0002-0777-2367; Carter, Chris Guy/0000-0001-5210-1282; Cobcroft, Jennifer/0000-0002-2398-9267; Elizur, Abigail/0000-0002-2960-302X</t>
  </si>
  <si>
    <t>Commonwealth Government's Collaborative Research Network (CRN) Program; Institute for Marine and Antarctic Studies (IMAS); University of Tasmania; IMAS Tasmania Graduate Research Scholarship; University of the Sunshine Coast CRN Research Fellowship</t>
  </si>
  <si>
    <t>This research was supported by the Commonwealth Government's Collaborative Research Network (CRN) Program funding and the Institute for Marine and Antarctic Studies (IMAS). The authors would like to thank Petuna, Shaun Slevec and Ryan Wilkinson for their support. Ylenia Pennacchi and Deborah Leonard are thanked for technical assistance during experiments and samplings. Stephen Battaglene is thanked for his contribution to the development of this research. GA was supported by a University of Tasmania and IMAS Tasmania Graduate Research Scholarship and JC was supported by a University of the Sunshine Coast CRN Research Fellowship.</t>
  </si>
  <si>
    <t>e0168454</t>
  </si>
  <si>
    <t>10.1371/journal.pone.0168454</t>
  </si>
  <si>
    <t>EG7HN</t>
  </si>
  <si>
    <t>WOS:000391217400109</t>
  </si>
  <si>
    <t>Tang, Z; Shi, XF; Zhang, X; Chen, ZH; Chen, MT; Wang, XQ; Wang, HZ; Liu, HL; Lohmann, G; Li, PY; Ge, SL; Huang, YH</t>
  </si>
  <si>
    <t>Tang, Zheng; Shi, Xuefa; Zhang, Xu; Chen, Zhihua; Chen, Min-Te; Wang, Xiangqin; Wang, Haozhuang; Liu, Helin; Lohmann, Gerrit; Li, Peiying; Ge, Shulan; Huang, Yuanhui</t>
  </si>
  <si>
    <t>Deglacial biogenic opal peaks revealing enhanced Southern Ocean upwelling during the last 513 ka</t>
  </si>
  <si>
    <t>Southern ocean; Ventilation; Biogenic opal peaks; Glacial termination</t>
  </si>
  <si>
    <t>ANTARCTIC SEA-ICE; ATMOSPHERIC CO2; PACIFIC SECTOR; CARBON-CYCLE; CLIMATE; CIRCULATION; SEDIMENT; BARIUM; ACCUMULATION; PRODUCTIVITY</t>
  </si>
  <si>
    <t>Strength of Southern Ocean upwelling controls the exchange of carbon dioxide (CO2) between deep ocean reservoirs and atmosphere, as well as the communication of dissolved silicon with the euphotic zone of the Southern Ocean. The silicon supply could limit diatom opal productivity in the high-latitudes of Southern Ocean and the subsequent burial of biogenic opal in underlying sediments. Here we report a record of biogenic opal export off the Prydz Bay south of the polar front of the Southern Ocean, indicating strengthened upwelling during the past five glacial terminations. In all five terminations (I-V), opal peaks occur in line with Northern Hemisphere summer insolation intensity as well as the existing IRDs, indicating that freshwater injection associated with retreat of the Northern Hemisphere ice sheets could be the cause of enhanced upwelling in the Southern Ocean during terminations. This could in turn promote CO2 outgassing, finally accelerating the completion of the terminations. In addition, the enhanced upwelling could export the Si-rich deep water to low latitudes via Antarctic Intermediate Water (AAIW) and Subantarctic Mode Water (SAMW), potentially leading to deglacial opal peaks in subtropical North Atlantic. (C) 2016 Elsevier Ltd and INQUA. All rights reserved.</t>
  </si>
  <si>
    <t>[Tang, Zheng; Shi, Xuefa; Chen, Zhihua; Wang, Xiangqin; Wang, Haozhuang; Liu, Helin; Li, Peiying; Ge, Shulan; Huang, Yuanhui] State Ocean Adm, Inst Oceanog 1, Key Lab Marine Sedimentol &amp; Environm Geol, Qingdao 266061, Peoples R China; [Zhang, Xu; Lohmann, Gerrit] Helmholtz Ctr Polar &amp; Marine Res, Alfred Wegener Inst, D-27570 Bremerhaven, Germany; [Tang, Zheng; Shi, Xuefa; Chen, Zhihua; Chen, Min-Te; Li, Peiying; Ge, Shulan; Huang, Yuanhui] Qingdao Natl Lab Marine Sci &amp; Technol, Lab Marine Geol, Qingdao 266061, Peoples R China; [Chen, Min-Te] Natl Taiwan Ocean Univ, Inst Appl Geosci, Keelung 20224, Peoples R China</t>
  </si>
  <si>
    <t>First Institute of Oceanography, Ministry of Natural Resources; Helmholtz Association; Alfred Wegener Institute, Helmholtz Centre for Polar &amp; Marine Research; Laoshan Laboratory; National Taiwan Ocean University</t>
  </si>
  <si>
    <t>Shi, XF; Chen, ZH (corresponding author), SOA, Inst Oceanog 1, Qingdao 266061, Peoples R China.</t>
  </si>
  <si>
    <t>xfshi@fio.org.cn; chenzia@fio.org.cn</t>
  </si>
  <si>
    <t>Chen, Min-Te/ABF-2935-2020; shi, xuefa/AAC-6977-2022; Zhang, Xu/AFX-8847-2022; Wang, Xiangqin/C-8854-2011; Chen, Min-Te/AAD-5990-2021; Wang, WHaozhuang/AAL-6213-2020; Lohmann, Gerrit/M-7453-2016</t>
  </si>
  <si>
    <t>Zhang, Xu/0000-0003-1833-9689; Chen, Min-Te/0000-0002-7552-1615; Lohmann, Gerrit/0000-0003-2089-733X</t>
  </si>
  <si>
    <t>Chinese Polar Environment Comprehensive Investigation AMP; Assessment Programs [CHINARE2015-01-02]; Basic Scientific Fund for National Public Research Institutes of China [2014G06]; National Natural Science Foundation of China [41406220, U1606401]; National Programme on Global Change and Air-Sea Interaction [GASI-GEOGE-06-02]; Postdoctoral Foundation of Qingdao; Postdoctoral Innovation Foundation of Shandong Province; Taishan Scholar Program of Shandong Province</t>
  </si>
  <si>
    <t>Chinese Polar Environment Comprehensive Investigation AMP; Assessment Programs; Basic Scientific Fund for National Public Research Institutes of China; National Natural Science Foundation of China(National Natural Science Foundation of China (NSFC)); National Programme on Global Change and Air-Sea Interaction; Postdoctoral Foundation of Qingdao; Postdoctoral Innovation Foundation of Shandong Province; Taishan Scholar Program of Shandong Province</t>
  </si>
  <si>
    <t>This work was jointly supported by the Chinese Polar Environment Comprehensive Investigation &amp; Assessment Programs (Grant no. CHINARE2015-01-02), Basic Scientific Fund for National Public Research Institutes of China (Grant no. 2014G06), the National Natural Science Foundation of China (Grant no. 41406220, U1606401), National Programme on Global Change and Air-Sea Interaction (Grant no. GASI-GEOGE-06-02), Postdoctoral Foundation of Qingdao, Postdoctoral Innovation Foundation of Shandong Province, and Taishan Scholar Program of Shandong Province. We are grateful to the crew of the R/V Xuelong for their assistance with sample collection in the 30th Chinese National Antarctic Research Expeditions, and thanks to the Chinese Repository of Polar Sediments for providing samples. We acknowledge Li Wu, JianJun Zou and ZhiFang Xiong for paper modification. We also thank State Key Laboratory of Marine Geology in Tongji University for the sediment core XRF measurement.</t>
  </si>
  <si>
    <t>10.1016/j.quaint.2016.09.020</t>
  </si>
  <si>
    <t>WOS:000390534700031</t>
  </si>
  <si>
    <t>Govil, P; Mazumder, A; Asthana, R; Tiwari, A; Mishra, R</t>
  </si>
  <si>
    <t>Govil, Pawan; Mazumder, Abhijit; Asthana, Rajesh; Tiwari, Anoop; Mishra, Ravi</t>
  </si>
  <si>
    <t>Holocene climate variability from the lake sediment core in Schirmacher Oasis region, East Antarctica: Multiproxy approach</t>
  </si>
  <si>
    <t>Holocene; Climate change; Schirmacher Oasis; Antarctica; Paleoclimate; Freshwater lakes</t>
  </si>
  <si>
    <t>LAST GLACIAL MAXIMUM; FRESH-WATER LAKE; VI ICE SHELF; LARSEMANN HILLS; VESTFOLD HILLS; BUNGER HILLS; WINDMILL ISLANDS; BIOGENIC SILICA; ROSS EMBAYMENT; ACE LAKE</t>
  </si>
  <si>
    <t>A 1.62 m sediment core was retrieved from one of the landlocked freshwater lakes (L-6) in the Schirmacher Oasis (SO), East Antarctica during the 24th Indian Antarctic Expedition (2004-2006). The sediment core samples were analyzed for Total Organic Carbon (TOC), Biogenic Silica (BSi), grain size and elemental concentration ratios (Mg/Ca and Mn/Fe). The sediment core represents the time period of last similar to 11.6 cal ka BP as ascertained by AMS C-14 radiocarbon dates. The sedimentation accumulation rate variation of similar to 13.6 cm/ka from similar to 11.6 to similar to 10 cal ka BP reveals a warm phase followed by a low sedimentation accumulation rate of similar to 2.9 cm/ka from similar to 10 ka BP to similar to 3.1 ka BP, indicating a cold period in the region. The sedimentation accumulation rate again increased from similar to 3.1 cal ka BP to recent with a maximum of similar to 88 cm/ka which reveals the initiation of glacier retreat or ice-free conditions in the study area. The Total Organic Carbon (TOC) is &lt;2% from similar to 10 to similar to 3.1 cal ka BP indicating a prolonged colder phase in the study area. However, elevated TOC, BSi and Mg/Ca ratio since similar to 3.1 cal ka BP to recent points indicates towards ice-free conditions (continental ice sheet retreat) and subsequently high productivity in the region. Moreover, the productivity was higher at the Pleistocene-Holocene boundary as evidenced by the Mg/CA, Mn/Fe ratio and Biogenic Silica (BSi). The present study identified a colder phase (or re-advancement of continental ice sheet) during the early to mid-Holocene and initiation of ice-free or continental ice-sheet retreat during the late Holocene and their implications on the productivity changes. (C) 2016 Elsevier Ltd and INQUA. All rights reserved.</t>
  </si>
  <si>
    <t>[Govil, Pawan; Mazumder, Abhijit] Birbal Sahni Inst Palaeosci, 53 Univ Rd, Lucknow 226007, Uttar Pradesh, India; [Asthana, Rajesh] Geol Survey India, NIT, NH-5P, Faridabad 121001, India; [Tiwari, Anoop; Mishra, Ravi] Natl Ctr Antarctic &amp; Ocean Res, Vasco Da Gama 403804, Goa, India</t>
  </si>
  <si>
    <t>Department of Science &amp; Technology (India); Birbal Sahni Institute of Palaeobotany (BSIP); Geological Survey India; Ministry of Earth Sciences (MoES) - India; National Centre for Polar and Ocean Research (NCPOR)</t>
  </si>
  <si>
    <t>Govil, P (corresponding author), Birbal Sahni Inst Palaeosci, 53 Univ Rd, Lucknow 226007, Uttar Pradesh, India.</t>
  </si>
  <si>
    <t>pawanali@gmail.com</t>
  </si>
  <si>
    <t>Mazumder, Abhijit/0000-0001-9944-5306; MISHRA, RAVI/0000-0002-1443-4833</t>
  </si>
  <si>
    <t>National Centre for Antarctic and Ocean Research</t>
  </si>
  <si>
    <t>PG and AM are indebted to the Director BSIP for his support and encouragement for this study. We are grateful to National Centre for Antarctic and Ocean Research for providing logistics and financial support. We are also thankful to Dr. A.K. Warrier and Dr. Mahesh B.S. NCAOR, Goa for their constructive comments. Comments from editor and anonymous reviewers were of considerable help in revising this paper and are greatly appreciated. The assistance by 24th winter Indian Scientific Antarctic Expedition members in help to retrieve the sediment core is gratefully acknowledged.</t>
  </si>
  <si>
    <t>10.1016/j.quaint.2016.09.032</t>
  </si>
  <si>
    <t>WOS:000390534700032</t>
  </si>
  <si>
    <t>Barlow, NLM; Bentley, MJ; Spada, G; Evans, DJA; Hansom, JD; Brader, MD; White, DA; Zander, A; Berg, S</t>
  </si>
  <si>
    <t>Barlow, N. L. M.; Bentley, M. J.; Spada, G.; Evans, D. J. A.; Hansom, J. D.; Brader, M. D.; White, D. A.; Zander, A.; Berg, S.</t>
  </si>
  <si>
    <t>Testing models of ice cap extent, South Georgia, sub-Antarctic</t>
  </si>
  <si>
    <t>Last Glacial Maximum; Glacial isostatic adjustment; Sea-level change; South Georgia; sub-Antarctic; Coastal geomorphology</t>
  </si>
  <si>
    <t>GLACIAL HISTORY; ENVIRONMENTAL-CHANGE; SEA; DEGLACIATION; GEOMORPHOLOGY; FLUCTUATIONS; SPITSBERGEN; PROGRAM; MAXIMUM</t>
  </si>
  <si>
    <t>The extent of Last Glacial Maximum ice in South Georgia is contested, with two alternative hypotheses: an extensive (maximum) model of ice reaching the edge of the continental shelf, or a restricted (minimum) model with ice constrained within the inner fjords. We present a new relative sea-level dataset for South Georgia, summarising published and new geomorphological evidence for the marine limit and elevations of former sea levels on the island. Using a glacial isostatic adjustment model (ALMA) specifically suited to regional modelling and working at high spatial resolutions, combined with a series of simulated ice-load histories, we use the relative sea-level data to test between the restricted and extensive ice extent scenarios. The model results suggest that there was most likely an extensive Last Glacial Maximum glaciation of South Georgia, implying that the island was covered by thick (&gt;1000 m) ice, probably to the edge of the continental shelf, with deglaciation occurring relatively early (ca.15 ka BP, though independent data suggest this may have been as early as 18 ka). The presence of an extensive ice cap extending to the shelf edge would imply that if there were any biological refugia around South Georgia, they must have been relatively localised and restricted to the outermost shelf. (C) 2016 Elsevier Ltd. All rights reserved.</t>
  </si>
  <si>
    <t>[Barlow, N. L. M.; Bentley, M. J.; Evans, D. J. A.; Brader, M. D.] Univ Durham, Dept Geog, South Rd, Durham DH1 3LE, England; [Barlow, N. L. M.] Univ Leeds, Sch Earth &amp; Environm, Leeds LS2 9JT, W Yorkshire, England; [Spada, G.] Urbino Univ Carlo Bo, Dipartimento Sci Pure &amp; Applicate DiSPeA, Urbino, Italy; [Hansom, J. D.] Univ Glasgow, Sch Geog &amp; Earth Sci, Glasgow G12 8QQ, Lanark, Scotland; [White, D. A.] Univ Canberra, Inst Appl Ecol, Canberra, ACT 2617, Australia; [Zander, A.] Univ Cologne, Inst Geog, Albertus Magnus Pl, D-50923 Cologne, Germany; [Berg, S.] Univ Cologne, Inst Geol &amp; Mineral, Zulpicher Str 49a, D-50674 Cologne, Germany</t>
  </si>
  <si>
    <t>Durham University; University of Leeds; University of Urbino; University of Glasgow; University of Canberra; University of Cologne; University of Cologne</t>
  </si>
  <si>
    <t>Barlow, NLM (corresponding author), Univ Leeds, Sch Earth &amp; Environm, Leeds LS2 9JT, W Yorkshire, England.</t>
  </si>
  <si>
    <t>n.l.m.barlow@leeds.ac.uk</t>
  </si>
  <si>
    <t>White, Duanne A/E-6919-2012; Barlow, Natasha/AAF-2624-2021; Bentley, Michael J/F-7386-2011; Berg, Sonja/AAW-3817-2021; Barlow, Natasha/JDC-9080-2023; IPO, PAGES/JXY-7546-2024</t>
  </si>
  <si>
    <t>Barlow, Natasha/0000-0002-2713-2543; Bentley, Michael J/0000-0002-2048-0019; Barlow, Natasha/0000-0002-2713-2543; Berg, Sonja/0000-0002-9629-6007; White, Duanne/0000-0003-0740-2072; Zander, Anja/0000-0003-0449-1401</t>
  </si>
  <si>
    <t>Programma Nazionale di Ricerche in Antartide (PNRA) [2013/B2.06 (CUP D32I14000230005)]; Directorate For Geosciences; Division Of Earth Sciences [1440015] Funding Source: National Science Foundation</t>
  </si>
  <si>
    <t>Programma Nazionale di Ricerche in Antartide (PNRA); Directorate For Geosciences; Division Of Earth Sciences(National Science Foundation (NSF)NSF - Directorate for Geosciences (GEO))</t>
  </si>
  <si>
    <t>We thank the Royal Scottish Geographical Society (RSGS), Carnegie Trust for the Universities of Scotland, and National Geographic for fieldwork support and to the members of the RSGS Scotia expedition for field assistance. We are also grateful to the Government of South Georgia and the South Sandwich Islands for permits and assistance in our work. This paper has benefited from discussions with Alastair Graham (who also provided Fig. 1A), Dominic Hodgson and Pippa Whitehouse, members of PALSEA2 (an INQUA International Focus Group and a PAGES working group) and the Quaternary Research Association Sea Level and Coastal Change (SLaCC) working group. G.S. is funded by Programma Nazionale di Ricerche in Antartide (PNRA) 2013/B2.06 (CUP D32I14000230005). Reviewers by Alex Simms and an anonymous reviewer improved this manuscript.</t>
  </si>
  <si>
    <t>10.1016/j.quascirev.2016.11.007</t>
  </si>
  <si>
    <t>WOS:000390505700008</t>
  </si>
  <si>
    <t>Stec, D; Morek, W; Gasiorek, P; Kaczmarek, L; Michalczyk, L</t>
  </si>
  <si>
    <t>Stec, Daniel; Morek, Witold; Gasiorek, Piotr; Kaczmarek, Lukasz; Michalczyk, Lukasz</t>
  </si>
  <si>
    <t>Determinants and taxonomic consequences of extreme egg shell variability in Ramazzottius subanomalus (Biserov, 1985) (Tardigrada)</t>
  </si>
  <si>
    <t>asexual reproduction; barcoding; chorion; Eutardigrada; incipient speciation; morphometry; parthenogenesis</t>
  </si>
  <si>
    <t>MACROBIOTUS-HUFELANDI GROUP; EUTARDIGRADA; DNA; HYPSIBIIDAE</t>
  </si>
  <si>
    <t>Nearly a half of known eutardigrade species lay ornamented eggs. The ornamentation is thought to provide attachment of the egg to the substrate and protection for the developing embryo, but from the taxonomic point of view chorion morphology may also provide key characters for species differentiation and identification, especially between closely related taxa. Nonetheless, despite the evolutionary and taxonomic importance of the egg shell, the determinants of its morphology are very poorly, if at all, understood. Here, we combine morphological, molecular and experimental approaches in an attempt to separate the genetic and environmental factors that shape egg chorion morphology in Ramazzottius subanomalus (Biserov, 1985). Our integrative study, based on a population of R. subanomalus isolated from a single moss sample, revealed (1) remarkable variation in egg shell morphology, but (2) relatively little variation in animal morphometric traits, and (3) genetic differentiation, expressed as two ITS-2 haplotypes, but no parallel polymorphism in COI. Although animals did not differ morphometrically between the haplotypes, eggs laid by haplotype 1 and 2 females exhibited highly statistically significant differences in all measured traits. The study demonstrates, for the first time, a correlation between phenotypic and genetic variability within a tardigrade species. The revealed congruence between genetic and morphological traits might be viewed as an example of incipient speciation that illustrates early evolutionary steps leading to species complexes that differ primarily in terms of egg shell morphology. Moreover, our data confirm the value of the ITS-2 fragment in distinguishing very closely related tardigrade lineages.</t>
  </si>
  <si>
    <t>[Stec, Daniel; Morek, Witold; Gasiorek, Piotr; Michalczyk, Lukasz] Jagiellonian Univ, Inst Zool, Dept Entomol, Gronostajowa 9, PL-30387 Krakow, Poland; [Kaczmarek, Lukasz] Adam Mickiewicz Univ, Dept Anim Taxon &amp; Ecol, Umultowska 89, PL-61614 Poznan, Poland</t>
  </si>
  <si>
    <t>Jagiellonian University; Adam Mickiewicz University</t>
  </si>
  <si>
    <t>Michalczyk, L (corresponding author), Jagiellonian Univ, Inst Zool, Dept Entomol, Gronostajowa 9, PL-30387 Krakow, Poland.</t>
  </si>
  <si>
    <t>LM@tardigrada.net</t>
  </si>
  <si>
    <t>Gąsiorek, Piotr/L-3152-2017; Stec, Daniel/AAL-3532-2020; Kaczmarek, Lukasz/A-2000-2008; Michalczyk, Lukasz/D-1362-2009</t>
  </si>
  <si>
    <t>Gąsiorek, Piotr/0000-0002-2814-8117; Morek, Witold/0000-0003-3547-9755; Stec, Daniel/0000-0001-6876-0717; Michalczyk, Lukasz/0000-0002-2912-4870</t>
  </si>
  <si>
    <t>European Union's Regional Development Fund (grant Species delimitation-combining morphometric, molecular and experimental approaches)</t>
  </si>
  <si>
    <t>We are grateful to Daiki Horikawa and Kazuharu Arakawa (Keio University, Japan) for sharing with us a fragment of the R. varieornatus mitochondrial genome comprising the COI sequence that helped us to design specific COI primers for R. subanomalus. We also thank Roberto Bertolani and Matteo Vecchi (University of Modena, Italy) for photomicrographs of the type specimens of R. subanomalus which facilitated the verification of our taxonomic identification. Krzysztof Zawierucha (Adam Mickiewicz University in Poznan, Poland) helped in extracting tardigrades from the sample and kindly translated from Russian the original description of R. subanomalus. Moreover, we would like to thank Sandra McInnes (British Antarctic Survey, UK) and anonymous reviewers whose comments and suggestions improved the manuscript. The work is a part of the project carried out within the Homing Plus programme of the Foundation for Polish Science, co-funded by the European Union's Regional Development Fund (grant Species delimitation-combining morphometric, molecular and experimental approaches to LM).</t>
  </si>
  <si>
    <t>250F Marua Road Mt Wellington, AUCKLAND, ST LUKES 1023, NEW ZEALAND</t>
  </si>
  <si>
    <t>10.11646/zootaxa.4208.2.5</t>
  </si>
  <si>
    <t>EE6UN</t>
  </si>
  <si>
    <t>WOS:000389748300005</t>
  </si>
  <si>
    <t>Cavanagh, RD; Broszeit, S; Pilling, GM; Grant, SM; Murphy, EJ; Austen, MC</t>
  </si>
  <si>
    <t>Cavanagh, Rachel D.; Broszeit, Stefanie; Pilling, Graham M.; Grant, Susie M.; Murphy, Eugene J.; Austen, Melanie C.</t>
  </si>
  <si>
    <t>Valuing biodiversity and ecosystem services: a useful way to manage and conserve marine resources?</t>
  </si>
  <si>
    <t>PROCEEDINGS OF THE ROYAL SOCIETY B-BIOLOGICAL SCIENCES</t>
  </si>
  <si>
    <t>ecosystem services; marine biodiversity; ecosystem-based management; conservation; valuation; marine resource management</t>
  </si>
  <si>
    <t>ECONOMIC VALUATION; SOUTH-PACIFIC; SEAS; CHALLENGES; BENEFITS; IMPACTS; LESSONS</t>
  </si>
  <si>
    <t>Valuation of biodiversity and ecosystem services (ES) is widely recognized as a useful, though often controversial, approach to conservation and management. However, its use in the marine environment, hence evidence of its efficacy, lags behind that in terrestrial ecosystems. This largely reflects key challenges to marine conservation and management such as the practical difficulties in studying the ocean, complex governance issues and the historically-rooted separation of biodiversity conservation and resource management. Given these challenges together with the accelerating loss of marine biodiversity (and threats to the ES that this biodiversity supports), we ask whether valuation efforts for marine ecosystems are appropriate and effective. We compare three contrasting systems: the tropical Pacific, Southern Ocean and UK coastal seas. In doing so, we reveal a diversity in valuation approaches with different rates of progress and success. We also find a tendency to focus on specific ES (often the harvested species) rather than biodiversity. In light of our findings, we present a new conceptual view of valuation that should ideally be considered in decision-making. Accounting for the critical relationships between biodiversity and ES, together with an understanding of ecosystem structure and functioning, will enable the wider implications of marine conservation and management decisions to be evaluated. We recommend embedding valuation within existing management structures, rather than treating it as an alternative or additional mechanism. However, we caution that its uptake and efficacy will be compromised without the ability to develop and share best practice across regions.</t>
  </si>
  <si>
    <t>[Cavanagh, Rachel D.; Grant, Susie M.; Murphy, Eugene J.] British Antarctic Survey, Madingley Rd, Cambridge CB3 0ET, England; [Broszeit, Stefanie; Austen, Melanie C.] Plymouth Marine Lab, Prospect Pl, Plymouth PL1 3DH, Devon, England; [Pilling, Graham M.] Pacific Community SPC, BP D5, Noumea 98848, New Caledonia</t>
  </si>
  <si>
    <t>UK Research &amp; Innovation (UKRI); Natural Environment Research Council (NERC); NERC British Antarctic Survey; Plymouth Marine Laboratory</t>
  </si>
  <si>
    <t>Cavanagh, RD (corresponding author), British Antarctic Survey, Madingley Rd, Cambridge CB3 0ET, England.</t>
  </si>
  <si>
    <t>Austen, Melanie C/GLU-1418-2022; Broszeit, Stefanie/HKV-9374-2023; murphy, eugene/GZL-1620-2022</t>
  </si>
  <si>
    <t>Austen, Melanie C/0000-0001-8133-0498; Broszeit, Stefanie/0000-0001-8418-182X; Cavanagh, Rachel/0000-0002-2474-9716; Grant, Susie/0000-0001-7941-3948; Murphy, Eugene/0000-0002-7369-9196</t>
  </si>
  <si>
    <t>Integrating Climate and Ecosystem Dynamics (ICED) programme under Natural Environment Research Council (NERC) International Opportunities Fund [NE/I029943/1]; NERC; Marine Ecosystems Research Programme, NERC; Department for Environment, Food and Rural Affairs (DEFRA) [NE/L003279/1]; DEVOTES (DEVelopment Of innovative Tools for understanding marine biodiversity and assessing GES) by European Union [308392]; Australian Department of Foreign Affairs and Trade aid program 'Fisheries for Food Security'; NERC [pml010009, NE/L003279/1, bas0100035, NE/I029943/1, pml010005] Funding Source: UKRI</t>
  </si>
  <si>
    <t>Integrating Climate and Ecosystem Dynamics (ICED) programme under Natural Environment Research Council (NERC) International Opportunities Fund; NERC(UK Research &amp; Innovation (UKRI)Natural Environment Research Council (NERC)); Marine Ecosystems Research Programme, NERC; Department for Environment, Food and Rural Affairs (DEFRA)(Department for Environment, Food &amp; Rural Affairs (DEFRA)); DEVOTES (DEVelopment Of innovative Tools for understanding marine biodiversity and assessing GES) by European Union; Australian Department of Foreign Affairs and Trade aid program 'Fisheries for Food Security'; NERC(UK Research &amp; Innovation (UKRI)Natural Environment Research Council (NERC))</t>
  </si>
  <si>
    <t>R.D.C. and E.J.M. were supported by the Integrating Climate and Ecosystem Dynamics (ICED) programme under a Natural Environment Research Council (NERC) International Opportunities Fund Grant NE/I029943/1 with additional NERC core funding to British Antarctic Survey (BAS). S.B. and M.C.A. acknowledge funding from Marine Ecosystems Research Programme, NERC and Department for Environment, Food and Rural Affairs (DEFRA) (NE/L003279/1) as well as DEVOTES (DEVelopment Of innovative Tools for understanding marine biodiversity and assessing GES) funded by the European Union under the 7th Framework Programme, 'The Ocean for Tomorrow' Theme (grant agreement no. 308392), http://www.devotes-project.eu. G.M.P. was supported by the Australian Department of Foreign Affairs and Trade aid program 'Fisheries for Food Security'. S.M.G. was supported by NERC core funding to BAS.</t>
  </si>
  <si>
    <t>0962-8452</t>
  </si>
  <si>
    <t>1471-2954</t>
  </si>
  <si>
    <t>P ROY SOC B-BIOL SCI</t>
  </si>
  <si>
    <t>Proc. R. Soc. B-Biol. Sci.</t>
  </si>
  <si>
    <t>DEC 14</t>
  </si>
  <si>
    <t>10.1098/rspb.2016.1635</t>
  </si>
  <si>
    <t>Biology; Ecology; Evolutionary Biology</t>
  </si>
  <si>
    <t>Life Sciences &amp; Biomedicine - Other Topics; Environmental Sciences &amp; Ecology; Evolutionary Biology</t>
  </si>
  <si>
    <t>EF5XW</t>
  </si>
  <si>
    <t>WOS:000390404200013</t>
  </si>
  <si>
    <t>Murphy, EJ; Cavanagh, RD; Drinkwater, KF; Grant, SM; Heymans, JJ; Hofmann, EE; Hunt, GL; Johnston, NM</t>
  </si>
  <si>
    <t>Murphy, E. J.; Cavanagh, R. D.; Drinkwater, K. F.; Grant, S. M.; Heymans, J. J.; Hofmann, E. E.; Hunt, G. L., Jr.; Johnston, N. M.</t>
  </si>
  <si>
    <t>Understanding the structure and functioning of polar pelagic ecosystems to predict the impacts of change</t>
  </si>
  <si>
    <t>polar; ocean; ecosystems; climate change; biodiversity; ecosystem functioning</t>
  </si>
  <si>
    <t>SOUTHERN-OCEAN ECOSYSTEMS; FOOD WEBS; ANTARCTIC PENINSULA; MARINE ECOSYSTEMS; SEA ECOSYSTEM; ARCTIC-OCEAN; BARENTS SEA; TROPHIC INTERACTIONS; CALANOIDES-ACUTUS; CONTINENTAL-SHELF</t>
  </si>
  <si>
    <t>The determinants of the structure, functioning and resilience of pelagic ecosystems across most of the polar regions are not well known. Improved understanding is essential for assessing the value of biodiversity and predicting the effects of change (including in biodiversity) on these ecosystems and the services they maintain. Here we focus on the trophic interactions that underpin ecosystem structure, developing comparative analyses of how polar pelagic food webs vary in relation to the environment. We highlight that there is not a singular, generic Arctic or Antarctic pelagic food web, and, although there are characteristic pathways of energy flow dominated by a small number of species, alternative routes are important for maintaining energy transfer and resilience. These more complex routes cannot, however, provide the same rate of energy flow to highest trophic-level species. Food-web structure may be similar in different regions, but the individual species that dominate mid-trophic levels vary across polar regions. The characteristics (traits) of these species are also different and these differences influence a range of food-web processes. Low functional redundancy at key trophic levels makes these ecosystems particularly sensitive to change. To develop models for projecting responses of polar ecosystems to future environmental change, we propose a conceptual framework that links the life histories of pelagic species and the structure of polar food webs.</t>
  </si>
  <si>
    <t>[Murphy, E. J.; Cavanagh, R. D.; Grant, S. M.; Johnston, N. M.] British Antarctic Survey, NERC, Cambridge, England; [Drinkwater, K. F.] Inst Marine Res, Bergen, Norway; [Heymans, J. J.] Scottish Assoc Marine Sci, Oban, Argyll, Scotland; [Hofmann, E. E.] Old Dominion Univ, Ctr Coastal &amp; Phys Oceanog, Norfolk, VA USA; [Hunt, G. L., Jr.] Univ Washington, Sch Aquat &amp; Fishery Sci, Seattle, WA 98195 USA</t>
  </si>
  <si>
    <t>UK Research &amp; Innovation (UKRI); Natural Environment Research Council (NERC); NERC British Antarctic Survey; Institute of Marine Research - Norway; UHI Millennium Institute; Old Dominion University; University of Washington; University of Washington Seattle</t>
  </si>
  <si>
    <t>Murphy, EJ (corresponding author), British Antarctic Survey, NERC, Cambridge, England.</t>
  </si>
  <si>
    <t>e.murphy@bas.ac.uk</t>
  </si>
  <si>
    <t>Hunt, George/V-9423-2019; murphy, eugene/GZL-1620-2022; Heymans, Johanna J/H-4848-2012</t>
  </si>
  <si>
    <t>Heymans, Johanna J/0000-0002-7290-8988; Murphy, Eugene/0000-0002-7369-9196; Cavanagh, Rachel/0000-0002-2474-9716; Johnston, Nadine M/0000-0003-2211-1492</t>
  </si>
  <si>
    <t>ICED programme, a Natural Environment Research Council (NERC) [NE/I029943/1]; British Antarctic Survey; National Science Foundation [ANT-0944174, ANT-0838911]; RACArctic Project - US National Science Foundation-Norwegian Research Council-Belmont Forum; NERC-DEFRA Marine Ecosystems Research Programme [NE/L003279/1]; NERC [NE/L003058/1, bas0100035, NE/L003279/1, NE/I029943/1] Funding Source: UKRI; Natural Environment Research Council [NE/I029943/1] Funding Source: researchfish; Directorate For Geosciences; Office of Polar Programs (OPP) [0944174] Funding Source: National Science Foundation</t>
  </si>
  <si>
    <t>ICED programme, a Natural Environment Research Council (NERC); British Antarctic Survey; National Science Foundation(National Science Foundation (NSF)); RACArctic Project - US National Science Foundation-Norwegian Research Council-Belmont Forum; NERC-DEFRA Marine Ecosystems Research Programme;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</si>
  <si>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E.J.M., R.D.C. and N.M.J. were supported by the ICED programme, a Natural Environment Research Council (NERC) grant no. NE/I029943/1 and British Antarctic Survey core funding. Support for E.H. was provided by National Science Foundation grants ANT-0944174 and ANT-0838911. Partial support for G.L.H. and K.F.D. came from the RACArctic Project funded by the US National Science Foundation-Norwegian Research Council-Belmont Forum. J.J.H. was supported by NERC-DEFRA Marine Ecosystems Research Programme, grant NE/L003279/1. This paper is a contribution to the ICED, ESSAS and IMBER programmes.</t>
  </si>
  <si>
    <t>10.1098/rspb.2016.1646</t>
  </si>
  <si>
    <t>WOS:000390404200014</t>
  </si>
  <si>
    <t>Seddon, N; Mace, GM; Naeem, S; Tobias, JA; Pigot, AL; Cavanagh, R; Mouillot, D; Vause, J; Walpole, M</t>
  </si>
  <si>
    <t>Seddon, Nathalie; Mace, Georgina M.; Naeem, Shahid; Tobias, Joseph A.; Pigot, Alex L.; Cavanagh, Rachel; Mouillot, David; Vause, James; Walpole, Matt</t>
  </si>
  <si>
    <t>Biodiversity in the Anthropocene: prospects and policy</t>
  </si>
  <si>
    <t>biodiversity services; conservation; ecosystem; interdisciplinary; sustainable development; values</t>
  </si>
  <si>
    <t>ECOSYSTEM SERVICES; FUNCTIONAL DIVERSITY; LAND-USE; PLANT DIVERSITY; PRODUCTIVITY; VALUATION; ENVIRONMENT; EXTINCTION; RESILIENCE; RESISTANCE</t>
  </si>
  <si>
    <t>Meeting the ever-increasing needs of the Earth's human population without excessively reducing biological diversity is one of the greatest challenges facing humanity, suggesting that newapproaches to biodiversity conservation are required. One idea rapidly gaining momentum-as well as opposition-is to incorporate the values of biodiversity into decision-making using economic methods. Here, we develop several lines of argument for how biodiversity might be valued, building on recent developments in natural science, economics and science-policy processes. Then we provide a synoptic guide to the papers in this special feature, summarizing recent research advances relevant to biodiversity valuation and management. Current evidence suggests that more biodiverse systems have greater stability and resilience, and that by maximizing key components of biodiversity we maximize an ecosystem's long-term value. Moreover, many services and values arising from biodiversity are interdependent, and often poorly captured by standard economic models. We conclude that economic valuation approaches to biodiversity conservation should (i) account for interdependency and (ii) complement rather than replace traditional approaches. To identify possible solutions, we present a framework for understanding the foundational role of hard-to-quantify ` biodiversity services' in sustaining the value of ecosystems to humanity, and then use this framework to highlight new directions for pure and applied research. In most cases, clarifying the links between biodiversity and ecosystem services, and developing effective policy and practice for managing biodiversity, will require a genuinely interdisciplinary approach.</t>
  </si>
  <si>
    <t>[Seddon, Nathalie] Univ Oxford, Biodivers Inst, Oxford, England; [Seddon, Nathalie] Univ Oxford, Edward Grey Inst, Dept Zool, Oxford, England; [Seddon, Nathalie] Int Inst Environm &amp; Dev, 80-86 Grays Inn Rd, London WC1X 8NH, England; [Mace, Georgina M.; Pigot, Alex L.] UCL, Ctr Biodivers &amp; Environm Res, London, England; [Naeem, Shahid] Columbia Univ, Dept Ecol Evolut &amp; Environm Biol, New York, NY USA; [Tobias, Joseph A.] Imperial Coll London, Dept Life Sci, Silwood Pk,Buckhurst Rd, Ascot SL5 7PY, Berks, England; [Pigot, Alex L.] Univ Groningen, Groningen Inst Evolutionary Life Sci, POB 11103, NL-9700 CC Groningen, Netherlands; [Cavanagh, Rachel] British Antarctic Survey, Cambridge, England; [Mouillot, David] Univ Montpellier, UMR CNRS UM2 9190, MARBEC, Montpellier, France; [Mouillot, David] James Cook Univ, Australian Res Council Ctr Excellence Coral Reef, Townsville, Qld, Australia; [Vause, James; Walpole, Matt] UNEP, World Conservat Monitoring Ctr, Cambridge, England</t>
  </si>
  <si>
    <t>University of Oxford; University of Oxford; University of London; University College London; Columbia University; Imperial College London; University of Groningen; UK Research &amp; Innovation (UKRI); Natural Environment Research Council (NERC); NERC British Antarctic Survey; Ifremer; Universite de Montpellier; James Cook University</t>
  </si>
  <si>
    <t>Seddon, N (corresponding author), Univ Oxford, Biodivers Inst, Oxford, England.;Seddon, N (corresponding author), Univ Oxford, Edward Grey Inst, Dept Zool, Oxford, England.;Seddon, N (corresponding author), Int Inst Environm &amp; Dev, 80-86 Grays Inn Rd, London WC1X 8NH, England.</t>
  </si>
  <si>
    <t>nathalie.seddon@zoo.ox.ac.uk</t>
  </si>
  <si>
    <t>Mace, Georgina M/I-3072-2016</t>
  </si>
  <si>
    <t>Mace, Georgina M/0000-0001-8965-5211; Seddon, Nathalie/0000-0002-1880-6104; Naeem, Shahid/0000-0002-6569-2648; Cavanagh, Rachel/0000-0002-2474-9716</t>
  </si>
  <si>
    <t>Integrating Climate and Ecosystem Dynamics (ICED) programme under NERC International Opportunities Fund [NE/I029943/1]; NERC; VENI fellowship of The Netherlands Organisation for Scientic Research; NERC [NE/I029943/1, bas0100035, NE/I028068/1] Funding Source: UKRI</t>
  </si>
  <si>
    <t>Integrating Climate and Ecosystem Dynamics (ICED) programme under NERC International Opportunities Fund; NERC(UK Research &amp; Innovation (UKRI)Natural Environment Research Council (NERC)); VENI fellowship of The Netherlands Organisation for Scientic Research; NERC(UK Research &amp; Innovation (UKRI)Natural Environment Research Council (NERC))</t>
  </si>
  <si>
    <t>R.C. was supported by the Integrating Climate and Ecosystem Dynamics (ICED) programme under an NERC International Opportunities Fund Grant NE/I029943/1 with additional NERC core funding to British Antarctic Survey. A.L.P. was funded through a VENI fellowship of The Netherlands Organisation for Scientic Research.</t>
  </si>
  <si>
    <t>10.1098/rspb.2016.2094</t>
  </si>
  <si>
    <t>Green Submitted, Bronze, Green Published</t>
  </si>
  <si>
    <t>WOS:000390404200022</t>
  </si>
  <si>
    <t>Cuffey, KM; Clow, GD; Steig, EJ; Buizert, C; Fudge, TJ; Koutnik, M; Waddington, ED; Alley, RB; Severinghaus, JP</t>
  </si>
  <si>
    <t>Cuffey, Kurt M.; Clow, Gary D.; Steig, Eric J.; Buizert, Christo; Fudge, T. J.; Koutnik, Michelle; Waddington, Edwin D.; Alley, Richard B.; Severinghaus, Jeffrey P.</t>
  </si>
  <si>
    <t>Deglacial temperature history of West Antarctica</t>
  </si>
  <si>
    <t>climate; paleoclimate; Antarctica; glaciology; temperature</t>
  </si>
  <si>
    <t>LAST GLACIAL MAXIMUM; CORE WD2014 CHRONOLOGY; ICE-SHEET; SOUTHERN-OCEAN; POLAR FIRN; CLIMATE; AIR; SENSITIVITY; RECORDS; HEAT</t>
  </si>
  <si>
    <t>The most recent glacial to interglacial transition constitutes a remarkable natural experiment for learning how Earth's climate responds to various forcings, including a rise in atmospheric CO2. This transition has left a direct thermal remnant in the polar ice sheets, where the exceptional purity and continual accumulation of ice permit analyses not possible in other settings. For Antarctica, the deglacial warming has previously been constrained only by the water isotopic composition in ice cores, without an absolute thermometric assessment of the isotopes' sensitivity to temperature. To overcome this limitation, we measured temperatures in a deep borehole and analyzed them together with ice-core data to reconstruct the surface temperature history of West Antarctica. The deglacial warming was 11.3 +/- 1.8 degrees C, approximately two to three times the global average, in agreement with theoretical expectations for Antarctic amplification of planetary temperature changes. Consistent with evidence from glacier retreat in Southern Hemisphere mountain ranges, the Antarctic warming was mostly completed by 15 kyBP, several millennia earlier than in the Northern Hemisphere. These results constrain the role of variable oceanic heat transport between hemispheres during deglaciation and quantitatively bound the direct influence of global climate forcings on Antarctic temperature. Although climate models perform well on average in this context, some recent syntheses of deglacial climate history have underestimated Antarctic warming and the models with lowest sensitivity can be discounted.</t>
  </si>
  <si>
    <t>[Cuffey, Kurt M.] Univ Calif Berkeley, Dept Geog, Berkeley, CA 94720 USA; [Clow, Gary D.] US Geol Survey, Geosci &amp; Environm Change Sci Ctr, Lakewood, CO 80225 USA; [Steig, Eric J.; Fudge, T. J.; Koutnik, Michelle; Waddington, Edwin D.] Univ Washington, Dept Earth &amp; Space Sci, Seattle, WA 98195 USA; [Buizert, Christo] Oregon State Univ, Coll Earth Ocean &amp; Atmospher Sci, Corvallis, OR 97331 USA; [Alley, Richard B.] Penn State Univ, Dept Geosci, University Pk, PA 16802 USA; [Severinghaus, Jeffrey P.] Univ Calif San Diego, Scripps Inst Oceanog, La Jolla, CA 92093 USA</t>
  </si>
  <si>
    <t>University of California System; University of California Berkeley; United States Department of the Interior; United States Geological Survey; University of Washington; University of Washington Seattle; Oregon State University; Pennsylvania Commonwealth System of Higher Education (PCSHE); Pennsylvania State University; Pennsylvania State University - University Park; University of California System; University of California San Diego; Scripps Institution of Oceanography</t>
  </si>
  <si>
    <t>Cuffey, KM (corresponding author), Univ Calif Berkeley, Dept Geog, Berkeley, CA 94720 USA.</t>
  </si>
  <si>
    <t>kcuffey@berkeley.edu</t>
  </si>
  <si>
    <t>Steig, Eric J/G-9088-2015</t>
  </si>
  <si>
    <t>Fudge, Tyler/0000-0002-6818-7479; Severinghaus, Jeffrey/0000-0001-8883-3119</t>
  </si>
  <si>
    <t>US National Science Foundation Grants [0539232, 0537661, 0537930, 1043092, 1043518, 0944199, 0944197, 0440666, 0539578, 1043528, 1338832, 0538657]; National Aeronautics and Space Administration Grant [NNX12AB74G]; Martin Family Foundation; USGS Climate and Land Use Change Program; National Oceanic and Atmospheric Administration Climate and Global Change Fellowships; NASA [NNX12AB74G, 30949] Funding Source: Federal RePORTER; Directorate For Geosciences; Div Atmospheric &amp; Geospace Sciences [1338832] Funding Source: National Science Foundation; Directorate For Geosciences; Office of Polar Programs (OPP) [1043092] Funding Source: National Science Foundation</t>
  </si>
  <si>
    <t>US National Science Foundation Grants(National Science Foundation (NSF)); National Aeronautics and Space Administration Grant; Martin Family Foundation; USGS Climate and Land Use Change Program(United States Geological Survey); National Oceanic and Atmospheric Administration Climate and Global Change Fellowships(National Oceanic Atmospheric Admin (NOAA) - USA); NASA(National Aeronautics &amp; Space Administration (NASA)); Directorate For Geosciences; Div Atmospheric &amp; Geospace Sciences(National Science Foundation (NSF)NSF - Directorate for Geosciences (GEO)); Directorate For Geosciences; Office of Polar Programs (OPP)(National Science Foundation (NSF)NSF - Directorate for Geosciences (GEO))</t>
  </si>
  <si>
    <t>We are deeply indebted to many participants in the WDC project and especially thank K. Taylor, E. J. Brook, and J. W. C. White. The helpful comments of two anonymous referees are gratefully acknowledged. This work is funded through the US National Science Foundation Grants 0539232, 0537661 (to K.M.C.), 0537930, 1043092 (to E.J.S.), 1043518 (to C.B.), 0944199, 0944197, 0440666 (to E.D.W.), 0539578, 1043528, 1338832 (to R.B.A.), and 0538657 (to J.P.S.) and National Aeronautics and Space Administration Grant NNX12AB74G (to M.K.). We gratefully acknowledge additional support from the Martin Family Foundation (K.M.C.), the USGS Climate and Land Use Change Program (G.D.C.), and National Oceanic and Atmospheric Administration Climate and Global Change Fellowships (C.B.).</t>
  </si>
  <si>
    <t>DEC 13</t>
  </si>
  <si>
    <t>10.1073/pnas.1609132113</t>
  </si>
  <si>
    <t>EE6CQ</t>
  </si>
  <si>
    <t>Green Published, Bronze, Green Submitted</t>
  </si>
  <si>
    <t>WOS:000389696700043</t>
  </si>
  <si>
    <t>Phippen, SW; Stevens, CA; Vance, TDR; King, NP; Baker, D; Davies, PL</t>
  </si>
  <si>
    <t>Phippen, Sean W.; Stevens, Corey A.; Vance, Tyler D. R.; King, Neil P.; Baker, David; Davies, Peter L.</t>
  </si>
  <si>
    <t>Multivalent Display of Antifreeze Proteins by Fusion to Self-Assembling Protein Cages Enhances Ice-Binding Activities</t>
  </si>
  <si>
    <t>BIOCHEMISTRY</t>
  </si>
  <si>
    <t>ANTARCTIC EEL POUT; THERMAL HYSTERESIS; PEPTIDE HETEROGENEITY; SUPERIOR ACTIVITY; MOLECULAR-WEIGHT; STRUCTURAL BASIS; INHIBITION; DESIGN; GROWTH; MECHANISM</t>
  </si>
  <si>
    <t>Antifreeze proteins (APPS) are small monomeric proteins that adsorb to the surface of ice to inhibit ice crystal growth and impart freeze resistance to the organisms producing them. Previously, monomeric AFPs have been conjugated to the termini of branched polymers to increase their activity through the simultaneous binding of more than one AFP to ice. Here, we describe a superior approach to increasing AFP activity through oligomerization that eliminates the need for conjugation reactions with varying levels of efficiency. A moderately active AFP from a fish and a hyperactive AFP from an Antarctic bacterium were genetically fused to the C-termini of one component of the 24-subunit protein cage T33-21, resulting in protein nanoparticles that multivalently display exactly 12 AFPs. The resulting nanoparticles exhibited freezing point depression &gt;50-fold greater than that seen with the same concentration of monomeric AFP and a similar increase in the level of ice-recrystallization inhibition. These results support the anchored clathrate mechanism of binding of AFP to ice. The enhanced freezing point depression could be due to the difficulty of overgrowing a larger AFP on the ice surface and the improved ice-recrystallization inhibition to the ability of the nanoparticle to simultaneously bind multiple ice grains. Oligomerization of these proteins using self-assembling protein cages will be useful in a variety of biotechnology and cryobiology applications.</t>
  </si>
  <si>
    <t>[Phippen, Sean W.; Stevens, Corey A.; Vance, Tyler D. R.; Davies, Peter L.] Queens Univ, Dept Biomed &amp; Mol Sci, Kingston, ON K7L 3N6, Canada; [King, Neil P.; Baker, David] Univ Washington, Dept Biochem, Seattle, WA 98195 USA; [King, Neil P.; Baker, David] Univ Washington, Inst Prot Design, Seattle, WA 98195 USA; [Baker, David] Univ Washington, Howard Hughes Med Inst, Seattle, WA 98195 USA</t>
  </si>
  <si>
    <t>Queens University - Canada; University of Washington; University of Washington Seattle; University of Washington; University of Washington Seattle; Howard Hughes Medical Institute; University of Washington; University of Washington Seattle</t>
  </si>
  <si>
    <t>Davies, PL (corresponding author), Queens Univ, Dept Biomed &amp; Mol Sci, Kingston, ON K7L 3N6, Canada.</t>
  </si>
  <si>
    <t>daviesp@queensu.ca</t>
  </si>
  <si>
    <t>Baker, David/K-8941-2012</t>
  </si>
  <si>
    <t>Baker, David/0000-0001-7896-6217</t>
  </si>
  <si>
    <t>Canadian Institutes for Health Research [106612]; Canadian Graduate Scholarship (CGS-M) - Natural Sciences and Engineering Research Council of Canada; Jellinck-Lyttle Graduate Fellowship in Biochemistry - Queen's University; Bill and Melinda Gates Foundation; Defense Advanced Research Projects Agency [W911NF-14-1-0162]; National Science Foundation [CHE-1332907]</t>
  </si>
  <si>
    <t>Canadian Institutes for Health Research(Canadian Institutes of Health Research (CIHR)); Canadian Graduate Scholarship (CGS-M) - Natural Sciences and Engineering Research Council of Canada; Jellinck-Lyttle Graduate Fellowship in Biochemistry - Queen's University; Bill and Melinda Gates Foundation(Bill &amp; Melinda Gates Foundation); Defense Advanced Research Projects Agency(United States Department of DefenseDefense Advanced Research Projects Agency (DARPA)); National Science Foundation(National Science Foundation (NSF))</t>
  </si>
  <si>
    <t>This work was funded by the Canadian Institutes for Health Research (Grant 106612). P.L.D. holds the Canada Research Chair in Protein Engineering. S.W.P. is supported by a Canadian Graduate Scholarship (CGS-M) awarded by the Natural Sciences and Engineering Research Council of Canada, as well as the Jellinck-Lyttle Graduate Fellowship in Biochemistry awarded by Queen's University. N.P.K. and D.B. are supported by the Bill and Melinda Gates Foundation, the Defense Advanced Research Projects Agency (Grant W911NF-14-1-0162), and the National Science Foundation (Grant CHE-1332907).</t>
  </si>
  <si>
    <t>0006-2960</t>
  </si>
  <si>
    <t>BIOCHEMISTRY-US</t>
  </si>
  <si>
    <t>Biochemistry</t>
  </si>
  <si>
    <t>10.1021/acs.biochem.6b00864</t>
  </si>
  <si>
    <t>EE8HN</t>
  </si>
  <si>
    <t>WOS:000389866400008</t>
  </si>
  <si>
    <t>Saunois, M; Bousquet, P; Poulter, B; Peregon, A; Ciais, P; Canadell, JG; Dlugokencky, EJ; Etiope, G; Bastviken, D; Houweling, S; Janssens-Maenhout, G; Tubiello, FN; Castaldi, S; Jackson, RB; Alexe, M; Arora, VK; Beerling, DJ; Bergamaschi, P; Blake, DR; Brailsford, G; Brovkin, V; Bruhwiler, L; Crevoisier, C; Crill, P; Covey, K; Curry, C; Frankenberg, C; Gedney, N; Höglund-Isaksson, L; Ishizawa, M; Ito, A; Joos, F; Kim, HS; Kleinen, T; Krummel, P; Lamarque, JF; Langenfelds, R; Locatelli, R; Machida, T; Maksyutov, S; McDonald, KC; Marshall, J; Melton, JR; Morino, I; Naik, V; O'Doherty, S; Parmentier, FJW; Patra, PK; Peng, CH; Peng, SS; Peters, GP; Pison, I; Prigent, C; Prinn, R; Ramonet, M; Riley, WJ; Saito, M; Santini, M; Schroeder, R; Simpson, IJ; Spahni, R; Steele, P; Takizawa, A; Thornton, BF; Tian, HQ; Tohjima, Y; Viovy, N; Voulgarakis, A; van Weele, M; van der Werf, GR; Weiss, R; Wiedinmyer, C; Wilton, DJ; Wiltshire, A; Worthy, D; Wunch, D; Xu, XY; Yoshida, Y; Zhang, B; Zhang, Z; Zhu, Q</t>
  </si>
  <si>
    <t>Saunois, Marielle; Bousquet, Philippe; Poulter, Ben; Peregon, Anna; Ciais, Philippe; Canadell, Josep G.; Dlugokencky, Edward J.; Etiope, Giuseppe; Bastviken, David; Houweling, Sander; Janssens-Maenhout, Greet; Tubiello, Francesco N.; Castaldi, Simona; Jackson, Robert B.; Alexe, Mihai; Arora, Vivek K.; Beerling, David J.; Bergamaschi, Peter; Blake, Donald R.; Brailsford, Gordon; Brovkin, Victor; Bruhwiler, Lori; Crevoisier, Cyril; Crill, Patrick; Covey, Kristofer; Curry, Charles; Frankenberg, Christian; Gedney, Nicola; Hoeglund-Isaksson, Lena; Ishizawa, Misa; Ito, Akihiko; Joos, Fortunat; Kim, Heon-Sook; Kleinen, Thomas; Krummel, Paul; Lamarque, Jean-Francois; Langenfelds, Ray; Locatelli, Robin; Machida, Toshinobu; Maksyutov, Shamil; McDonald, Kyle C.; Marshall, Julia; Melton, Joe R.; Morino, Isamu; Naik, Vaishali; O'Doherty, Simon; Parmentier, Frans-Jan W.; Patra, Prabir K.; Peng, Changhui; Peng, Shushi; Peters, Glen P.; Pison, Isabelle; Prigent, Catherine; Prinn, Ronald; Ramonet, Michel; Riley, William J.; Saito, Makoto; Santini, Monia; Schroeder, Ronny; Simpson, Isobel J.; Spahni, Renato; Steele, Paul; Takizawa, Atsushi; Thornton, Brett F.; Tian, Hanqin; Tohjima, Yasunori; Viovy, Nicolas; Voulgarakis, Apostolos; van Weele, Michiel; van der Werf, Guido R.; Weiss, Ray; Wiedinmyer, Christine; Wilton, David J.; Wiltshire, Andy; Worthy, Doug; Wunch, Debra; Xu, Xiyan; Yoshida, Yukio; Zhang, Bowen; Zhang, Zhen; Zhu, Qiuan</t>
  </si>
  <si>
    <t>The global methane budget 2000-2012</t>
  </si>
  <si>
    <t>EARTH SYSTEM SCIENCE DATA</t>
  </si>
  <si>
    <t>ATMOSPHERIC HYDROXYL RADICALS; CARBON ISOTOPIC COMPOSITION; GREENHOUSE-GAS EMISSIONS; PROCESS-BASED MODEL; NATURAL-GAS; TRACE GASES; TROPOSPHERIC METHANE; CLIMATE-CHANGE; INTERANNUAL VARIABILITY; WETLAND EXTENT</t>
  </si>
  <si>
    <t>The global methane (CH4) budget is becoming an increasingly important component for managing realistic pathways to mitigate climate change. This relevance, due to a shorter atmospheric lifetime and a stronger warming potential than carbon dioxide, is challenged by the still unexplained changes of atmospheric CH4 over the past decade. Emissions and concentrations of CH4 are continuing to increase, making CH4 the second most important human-induced greenhouse gas after carbon dioxide. Two major difficulties in reducing uncertainties come from the large variety of diffusive CH4 sources that overlap geographically, and from the destruction of CH4 by the very short-lived hydroxyl radical (OH). To address these difficulties, we have established a consortium of multi-disciplinary scientists under the umbrella of the Global Carbon Project to synthesize and stimulate research on the methane cycle, and producing regular (similar to biennial) updates of the global methane budget. This consortium includes atmospheric physicists and chemists, biogeochemists of surface and marine emissions, and socio-economists who study anthropogenic emissions. Following Kirschke et al. (2013), we propose here the first version of a living review paper that integrates results of top-down studies (exploiting atmospheric observations within an atmospheric inverse-modelling framework) and bottom-up models, inventories and data-driven approaches (including process-based models for estimating land surface emissions and atmospheric chemistry, and inventories for anthropogenic emissions, data-driven extrapolations). For the 2003-2012 decade, global methane emissions are estimated by top-down inversions at 558 TgCH(4) yr(-1), range 540-568. About 60% of global emissions are anthropogenic (range 50-65 %). Since 2010, the bottom-up global emission inventories have been closer to methane emissions in the most carbon-intensive Representative Concentrations Pathway (RCP8.5) and higher than all other RCP scenarios. Bottom-up approaches suggest larger global emissions (736 TgCH(4) yr(-1), range 596-884) mostly because of larger natural emissions from individual sources such as inland waters, natural wetlands and geological sources. Considering the atmospheric constraints on the top-down budget, it is likely that some of the individual emissions reported by the bottom-up approaches are overestimated, leading to too large global emissions. Latitudinal data from top-down emissions indicate a predominance of tropical emissions (similar to 64% of the global budget, &lt;30 degrees N) as compared to mid (similar to 32 %, 30-60 degrees N) and high northern latitudes (similar to 4 %, 60-90 degrees N). Top-down inversions consistently infer lower emissions in China (similar to 58 TgCH(4) yr(-1), range 51-72, -14 %) and higher emissions in Africa (86 TgCH(4) yr(-1), range 73-108, + 19 %) than bottom-up values used as prior estimates. Overall, uncertainties for anthropogenic emissions appear smaller than those from natural sources, and the uncertainties on source categories appear larger for top-down inversions than for bottom-up inventories and models. The most important source of uncertainty on the methane budget is attributable to emissions from wetland and other inland waters. We show that the wetland extent could contribute 30-40% on the estimated range for wetland emissions. Other priorities for improving the methane budget include the following: (i) the development of process-based models for inland-water emissions, (ii) the intensification of methane observations at local scale (flux measurements) to constrain bottom-up land surface models, and at regional scale (surface networks and satellites) to constrain top-down inversions, (iii) improvements in the estimation of atmospheric loss by OH, and (iv) improvements of the transport models integrated in top-down inversions. The data presented here can be downloaded from the Carbon Dioxide Information Analysis Center (http://doi.org/10.3334/CDIAC/GLOBAL_METHANE_BUDGET_2016_V1.1) and the Global Carbon Project.</t>
  </si>
  <si>
    <t>[Saunois, Marielle; Bousquet, Philippe; Peregon, Anna; Ciais, Philippe; Locatelli, Robin; Peng, Shushi; Pison, Isabelle; Ramonet, Michel; Viovy, Nicolas] Univ Paris Saclay, LSCE IPSL CEA CNRS UVSQ, Lab Sci Climat &amp; Environm, F-91191 Gif Sur Yvette, France; [Poulter, Ben; Zhang, Zhen] NASA, Goddard Space Flight Ctr, Biospher Sci Lab, Greenbelt, MD 20771 USA; [Canadell, Josep G.] CSIRO Oceans &amp; Atmosphere, Global Carbon Project, Canberra, ACT 2601, Australia; [Dlugokencky, Edward J.; Bruhwiler, Lori] NOAA ESRL, 325 Broadway, Boulder, CO 80305 USA; [Etiope, Giuseppe] Ist Nazl Geofis &amp; Vulcanol, Sez Roma 2, Via V Murata 605, I-00143 Rome, Italy; [Bastviken, David] Linkoping Univ, Dept Themat Studies Environm Change, S-58183 Linkoping, Sweden; [Houweling, Sander] SRON, Netherlands Inst Space Res, Sorbonnelaan 2, NL-3584 CA Utrecht, Netherlands; [Houweling, Sander] Inst Marine &amp; Atmospher Res, Sorbonnelaan 2, NL-3584 CA Utrecht, Netherlands; [Janssens-Maenhout, Greet; Alexe, Mihai; Bergamaschi, Peter] European Commiss Joint Res Ctr, Ispra, VA, Italy; [Tubiello, Francesco N.] Food &amp; Agr Org United Nations FAO, Stat Div, Viale Terme Caracalla, I-00153 Rome, Italy; [Castaldi, Simona] Seconda Univ Napoli, Dipartimento Sci Ambientali Biol &amp; Farmaceut, Via Vivaldi 43, I-81100 Caserta, Italy; [Castaldi, Simona] FEFU, Vladivostok, Russky Island, Russia; [Castaldi, Simona; Santini, Monia] Euromediterranean Ctr Climate Change, Via Augusto Imperatore 16, I-73100 Lecce, Italy; [Jackson, Robert B.] Stanford Univ, Sch Earth Energy &amp; Environm Sci, Stanford, CA 94305 USA; [Arora, Vivek K.] Environm &amp; Climate Change Canada, Div Climate Res, Canadian Ctr Climate Modelling &amp; Anal, Victoria, BC V8W 2Y2, Canada; [Beerling, David J.; Wilton, David J.] Univ Sheffield, Dept Anim &amp; Plant Sci, Sheffield S10 2TN, S Yorkshire, England; [Blake, Donald R.; Simpson, Isobel J.] Univ Calif Irvine, Dept Chem, 570 Rowland Hall, Irvine, CA 92697 USA; [Brailsford, Gordon] Natl Inst Water &amp; Atmospher Res, 301 Evans Bay Parade, Wellington, New Zealand; [Brovkin, Victor; Kleinen, Thomas] Max Planck Inst Meteorol, Bundesstr 53, D-20146 Hamburg, Germany; [Crevoisier, Cyril] Ecole Polytech, LMD IPSL, Meteorol Dynam Lab, F-91120 Palaiseau, France; Dept Geol Sci, Svante Arrhenius Vag 8, S-10691 Stockholm, Sweden; [Crill, Patrick; Thornton, Brett F.] Bolin Ctr Climate Res, Svante Arrhenius Vag 8, S-10691 Stockholm, Sweden; [Covey, Kristofer] Yale Univ, Sch Forestry &amp; Environm Studies, New Haven, CT 06511 USA; [Curry, Charles] Univ Victoria, Sch Earth &amp; Ocean Sci, POB 1700 STN CSC, Victoria, BC V8W 2Y2, Canada; [Frankenberg, Christian] Jet Prop Lab, M-S 183-601,4800 Oak Grove Dr, Pasadena, CA 91109 USA; [Gedney, Nicola; Morino, Isamu] Joint Ctr Hydrometeorol Res, Met Off Hadley Ctr, Maclean Bldg, Wallingford OX10 8BB, Oxon, England; [Hoeglund-Isaksson, Lena] Int Inst Appl Syst Anal, Air Qual &amp; Greenhouse Gases Program AIR, A-2361 Laxenburg, Austria; Natl Inst Environm Studies, Ctr Global Environm Res, Onogawa 16-2, Tsukuba, Ibaraki 3058506, Japan; [Joos, Fortunat; Spahni, Renato] Univ Bern, Inst Phys, Climate &amp; Environm Phys, Sidlerstr 5, CH-3012 Bern, Switzerland; [Joos, Fortunat; Spahni, Renato] Univ Bern, Oeschger Ctr Climate Change Res, Sidlerstr 5, CH-3012 Bern, Switzerland; [Krummel, Paul; Langenfelds, Ray; Steele, Paul] CSIRO, Oceans &amp; Atmosphere, Aspendale, Vic 3195, Australia; [Lamarque, Jean-Francois; Wiedinmyer, Christine] NCAR, POB 3000, Boulder, CO 80307 USA; [McDonald, Kyle C.; Schroeder, Ronny] CUNY, Dept Earth &amp; Atmospher Sci, New York, NY 10031 USA; [Marshall, Julia] Max Planck Inst Biogeochem, Hans Knoll Str 10, D-07745 Jena, Germany; [Melton, Joe R.] Environm &amp; Climate Change Canada, Div Climate Res, Victoria, BC V8W 2Y2, Canada; [Naik, Vaishali] NOAA, GFDL, 201 Forrestal Rd, Princeton, NJ 08540 USA; [O'Doherty, Simon] Univ Bristol, Sch Chem, Cantocks Close, Bristol BS8 1TS, Avon, England; [Parmentier, Frans-Jan W.] Lund Univ, Dept Phys Geog &amp; Ecosyst Sci, Solvegatan 12, S-22362 Lund, Sweden; [Patra, Prabir K.] JAMSTEC, Dept Environm Geochem Cycle Res, Kanazawa Ku, 3173-25 Showa Machi, Yokohama, Kanagawa 2360001, Japan; [Peng, Changhui] Univ Quebec, Dept Biol Sci, Inst Environm Sci, Montreal, PQ H3C 3P8, Canada; [Peters, Glen P.] CICERO, Pb 1129 Blindern, N-0318 Oslo, Norway; [Prigent, Catherine] Observ Paris, CNRS, LERMA, 61 Ave Observ, F-75014 Paris, France; [Prinn, Ronald] MIT, Dept Earth Atmospher &amp; Planetary Sci, Bldg 54-1312, Cambridge, MA 02139 USA; [Riley, William J.; Xu, Xiyan] Lawrence Berkeley Natl Lab, Div Earth Sci, 1 Cyclotron Rd, Berkeley, CA 94720 USA; [Schroeder, Ronny] Univ Hohenheim, Inst Bot, D-70593 Stuttgart, Germany; [Takizawa, Atsushi] JMA, Chiyoda Ku, 1-3-4 Otemachi, Tokyo 1008122, Japan; [Tian, Hanqin; Zhang, Bowen] Auburn Univ, Sch Forestry &amp; Wildlife Sci, Int Ctr Climate &amp; Global Change Res, 602 Duncan Dr, Auburn, AL 36849 USA; [Voulgarakis, Apostolos] Imperial Coll London, Blackett Lab, Space &amp; Atmospher Phys, London SW7 2AZ, England; [van Weele, Michiel] KNMI, POB 201, NL-3730 AE De Bilt, Netherlands; [van der Werf, Guido R.] Vrije Univ Amsterdam, Earth &amp; Climate Cluster, Fac Earth &amp; Life Sci, Amsterdam, Netherlands; [Weiss, Ray] Univ Calif San Diego, Scripps Inst Oceanog, La Jolla, CA 92093 USA; [Wiltshire, Andy] Met Off Hadley Ctr, FitzRoy Rd, Exeter EX1 3PB, Devon, England; [Worthy, Doug] Environm Canada, 4905 Rue Dufferin, Toronto, ON, Canada; [Wunch, Debra] Univ Toronto, Dept Phys, 60 St George St, Toronto, ON, Canada; [Zhang, Zhen] Swiss Fed Res Inst WSL, CH-8059 Birmensdorf, Switzerland; [Zhu, Qiuan] Northwest A&amp;F Univ, State Key Lab Soil Eros &amp; Dryland Farming Loess P, Yangling 712100, Shaanxi, Peoples R China</t>
  </si>
  <si>
    <t>CEA; Centre National de la Recherche Scientifique (CNRS); Universite Paris Saclay; Universite Paris Cite; National Aeronautics &amp; Space Administration (NASA); NASA Goddard Space Flight Center; Commonwealth Scientific &amp; Industrial Research Organisation (CSIRO); National Oceanic Atmospheric Admin (NOAA) - USA; Istituto Nazionale Geofisica e Vulcanologia (INGV); Linkoping University; Utrecht University; European Commission Joint Research Centre; EC JRC ISPRA Site; Food &amp; Agriculture Organization of the United Nations (FAO); Universita della Campania Vanvitelli; Far Eastern Federal University; Centro Euro-Mediterraneo sui Cambiamenti Climatici (CMCC); Stanford University; Environment &amp; Climate Change Canada; Canadian Centre for Climate Modelling &amp; Analysis (CCCma); University of Sheffield; University of California System; University of California Irvine; National Institute of Water &amp; Atmospheric Research (NIWA) - New Zealand; Max Planck Society; Institut Polytechnique de Paris; Ecole des Ponts ParisTech; Sorbonne Universite; Yale University; University of Victoria; National Aeronautics &amp; Space Administration (NASA); NASA Jet Propulsion Laboratory (JPL); Met Office - UK; Hadley Centre; International Institute for Applied Systems Analysis (IIASA); National Institute for Environmental Studies - Japan; University of Bern; University of Bern; Commonwealth Scientific &amp; Industrial Research Organisation (CSIRO); National Center Atmospheric Research (NCAR) - USA; City University of New York (CUNY) System; Max Planck Society; Environment &amp; Climate Change Canada; National Oceanic Atmospheric Admin (NOAA) - USA; University of Bristol; Lund University; Japan Agency for Marine-Earth Science &amp; Technology (JAMSTEC); University of Quebec; University of Quebec Montreal; Centre National de la Recherche Scientifique (CNRS); Universite PSL; Observatoire de Paris; Sorbonne Universite; Massachusetts Institute of Technology (MIT); United States Department of Energy (DOE); Lawrence Berkeley National Laboratory; University Hohenheim; Auburn University System; Auburn University; Imperial College London; Royal Netherlands Meteorological Institute; Vrije Universiteit Amsterdam; University of California System; University of California San Diego; Scripps Institution of Oceanography; Met Office - UK; Hadley Centre; Environment &amp; Climate Change Canada; University of Toronto; Swiss Federal Institutes of Technology Domain; Swiss Federal Institute for Forest, Snow &amp; Landscape Research; Northwest A&amp;F University - China</t>
  </si>
  <si>
    <t>Saunois, M (corresponding author), Univ Paris Saclay, LSCE IPSL CEA CNRS UVSQ, Lab Sci Climat &amp; Environm, F-91191 Gif Sur Yvette, France.</t>
  </si>
  <si>
    <t>marielle.saunois@lsce.ipsl.fr</t>
  </si>
  <si>
    <t>Saito, Makoto/AAL-4510-2021; Maksyutov, Shamil/G-6494-2011; Riley, William J/D-3345-2015; Joos, Fortunat/B-4118-2018; Morino, Isamu/K-1033-2014; Ciais, Philippe/A-6840-2011; Marshall, Julia/K-6999-2019; YOSHIDA, Yukio/H-2759-2018; BOUSQUET, Philippe/AGI-6602-2022; Machida, Toshinobu/H-6526-2018; Patra, Prabir/B-5206-2009; Brovkin, Victor/C-2803-2016; Crill, Patrick/ABC-1357-2021; Frankenberg, Christian/A-2944-2013; Lamarque, Jean-Francois/L-2313-2014; Dlugokencky, Edward/AAN-8746-2020; Wiltshire, Andy/C-2848-2008; Peng, Shushi/J-4779-2014; Canadell, Pep/E-9419-2010; Viovy, Nicolas/S-2631-2018; Parmentier, Frans-Jan W./D-9022-2013; Steele, Paul/B-3185-2009; Wiedinmyer, Christine/E-2049-2013; Prigent, Catherine/ABF-7175-2020; Zhang, Zhen/P-4169-2016; Naik, Vaishali/A-4938-2013; Bruhwiler, Lori/AAQ-8502-2020; Etiope, Giuseppe/H-3343-2011; Peters, Glen P/B-1012-2008; Naik, Vaishali/Y-5661-2019; Xu, Xiyan/ABB-9249-2020; Melton, Joe R./H-6803-2019; van der Werf, Guido/JXY-9197-2024; PENG, Shushi/AAS-2603-2020; Ito, Akihiko/P-2624-2017; Saunois, Marielle/JYP-5156-2024; Krummel, Paul B/A-4293-2013; Poulter, Ben/ABB-5886-2021; van der Werf, Guido/M-8260-2016; Langenfelds, Ray/B-5381-2012; Kleinen, Thomas/G-5666-2018; Beerling, David/C-2840-2009; Tian, Hanqin/A-6484-2012; Santini, Monia/K-1280-2017</t>
  </si>
  <si>
    <t>Maksyutov, Shamil/0000-0002-1200-9577; Riley, William J/0000-0002-4615-2304; Joos, Fortunat/0000-0002-9483-6030; Morino, Isamu/0000-0003-2720-1569; Ciais, Philippe/0000-0001-8560-4943; Marshall, Julia/0000-0003-2648-128X; Patra, Prabir/0000-0001-5700-9389; Brovkin, Victor/0000-0001-6420-3198; Frankenberg, Christian/0000-0002-0546-5857; Dlugokencky, Edward/0000-0003-0612-6985; Canadell, Pep/0000-0002-8788-3218; Viovy, Nicolas/0000-0002-9197-6417; Parmentier, Frans-Jan W./0000-0003-2952-7706; Zhang, Zhen/0000-0003-0899-1139; Naik, Vaishali/0000-0002-2254-1700; Bruhwiler, Lori/0000-0002-3554-9250; Etiope, Giuseppe/0000-0001-8614-4221; Peters, Glen P/0000-0001-7889-8568; Naik, Vaishali/0000-0002-2254-1700; Xu, Xiyan/0000-0003-2732-1325; Melton, Joe R./0000-0002-9414-064X; PENG, Shushi/0000-0001-5098-726X; Ito, Akihiko/0000-0001-5265-0791; Saunois, Marielle/0000-0003-3983-2931; Krummel, Paul B/0000-0002-4884-3678; Poulter, Ben/0000-0002-9493-8600; Bastviken, David/0000-0003-0038-2152; van der Werf, Guido/0000-0001-9042-8630; Jackson, Robert/0000-0001-8846-7147; Blake, Donald/0000-0002-8283-5014; Langenfelds, Ray/0000-0003-4890-2049; Bousquet, Philippe/0000-0002-4444-2703; Kleinen, Thomas/0000-0001-9550-5164; Houweling, Sander/0000-0002-6189-1009; Beerling, David/0000-0003-1869-4314; Tian, Hanqin/0000-0002-1806-4091; Hoglund-Isaksson, Lena/0000-0001-7514-3135; Locatelli, Robin/0000-0002-3725-0519; Curry, Charles/0000-0002-0217-3402; Voulgarakis, Apostolos/0000-0002-6656-4437; Ishizawa, Misa/0000-0003-4177-9447; Tubiello, Francesco Nicola/0000-0003-4617-4690; Santini, Monia/0000-0002-8041-8241</t>
  </si>
  <si>
    <t>Swiss National Science Foundation; NASA [NNX14AF93G, NNX14AO73G]; National Environmental Science Program - Earth Systems and Climate Change Hub; European Commission [283576, 633080]; ESA Climate Change Initiative Greenhouse Gases Phase 2 project; US Department of Energy, BER [DE-AC02-05CH11231]; FAO member countries; Environment Research and Technology Development Fund of the Ministry of the Environment, Japan [2-1502]; ERC [322998]; NERC [NE/J00748X/1]; Swedish Research Council VR; Research Council of Norway [244074]; NSF [1243232, 1243220]; National Science and Engineering Research Council of Canada (NSERC); China's QianRen Program; CSIRO Australia; Australian Bureau of Meteorology; Australian Institute of Marine Science; Australian Antarctic Division; NOAA USA; Meteorological Service of Canada; National Aeronautic and Space Administration (NASA) [NAG5-12669, NNX07AE89G, NNX11AF17G, NNX07AE87G, NNX07AF09G, NNX11AF15G, NNX11AF16G]; Department of Energy and Climate Change (DECC, UK) [GA01081]; Commonwealth Scientific and Industrial Research Organization (CSIRO Australia); Bureau of Meteorology (Australia); Joint DECC/Defra Met Office Hadley Centre Climate Programme [GA01101]; Natural Environment Research Council [ceh010010] Funding Source: researchfish; NASA [NNX14AF93G, 684109] Funding Source: Federal RePORTER; European Research Council (ERC) [633080, 322998] Funding Source: European Research Council (ERC)</t>
  </si>
  <si>
    <t>Swiss National Science Foundation(Swiss National Science Foundation (SNSF)); NASA(National Aeronautics &amp; Space Administration (NASA)); National Environmental Science Program - Earth Systems and Climate Change Hub; European Commission(European Union (EU)European Commission Joint Research Centre); ESA Climate Change Initiative Greenhouse Gases Phase 2 project; US Department of Energy, BER(United States Department of Energy (DOE)); FAO member countries; Environment Research and Technology Development Fund of the Ministry of the Environment, Japan(Ministry of the Environment, Japan); ERC(European Research Council (ERC)); NERC(UK Research &amp; Innovation (UKRI)Natural Environment Research Council (NERC)); Swedish Research Council VR(Swedish Research Council); Research Council of Norway(Research Council of Norway); NSF(National Science Foundation (NSF)); National Science and Engineering Research Council of Canada (NSERC)(Natural Sciences and Engineering Research Council of Canada (NSERC)); China's QianRen Program; CSIRO Australia(Commonwealth Scientific &amp; Industrial Research Organisation (CSIRO)); Australian Bureau of Meteorology; Australian Institute of Marine Science; Australian Antarctic Division; NOAA USA(National Oceanic Atmospheric Admin (NOAA) - USA); Meteorological Service of Canada; National Aeronautic and Space Administration (NASA)(National Aeronautics &amp; Space Administration (NASA)); Department of Energy and Climate Change (DECC, UK); Commonwealth Scientific and Industrial Research Organization (CSIRO Australia)(Commonwealth Scientific &amp; Industrial Research Organisation (CSIRO)); Bureau of Meteorology (Australia)(Bureau of Meteorology - Australia); Joint DECC/Defra Met Office Hadley Centre Climate Programme; Natural Environment Research Council(UK Research &amp; Innovation (UKRI)Natural Environment Research Council (NERC)); NASA(National Aeronautics &amp; Space Administration (NASA)); European Research Council (ERC)(European Research Council (ERC)Spanish Government)</t>
  </si>
  <si>
    <t>This collaborative international effort is part of the Global Carbon Project activity to establish and track greenhouse gas budgets and their trends. Fortunat Joos and Renato Spahni acknowledge support by the Swiss National Science Foundation. Heon-Sook Kim and Shamil Maksyutov acknowledge use of the GOSAT Research Computation Facility. Donald R. Blake and Isobel J. Simpson (UCI) acknowledge funding support from NASA. Josep G. Canadell thanks the support from the National Environmental Science Program - Earth Systems and Climate Change Hub. Marielle Saunois and Philippe Bousquet acknowledge the Global Carbon Project for the scientific advice and the computing power of LSCE for data analyses. Peter Bergamaschi and Mihai Alexe acknowledge the support by the European Commission Seventh Framework Programme (FP7/2007-2013) project MACC-II under grant agreement 283576, by the European Commission Horizon2020 Programme project MACC-III under grant agreement 633080, and by the ESA Climate Change Initiative Greenhouse Gases Phase 2 project. William J. Riley and Xiyan Xu acknowledge support by the US Department of Energy, BER, under contract no. DE-AC02-05CH11231. The FAOSTAT database is supported by regular programme funding from all FAO member countries. Prabir K. Patra is supported by the Environment Research and Technology Development Fund (2-1502) of the Ministry of the Environment, Japan. David J. Beerling acknowledges support from an ERC Advanced grant (CDREG, 322998) and NERC (NE/J00748X/1). David Bastviken and Patrick Crill acknowledge support from the Swedish Research Council VR. Glen P. Peters acknowledges the support of the Research Council of Norway project 244074. Hanqin Tian and Bowen Zhang acknowledge funding support from NASA (NNX14AF93G; NNX14AO73G) and NSF (1243232; 1243220). Changhui Peng acknowledges the support by National Science and Engineering Research Council of Canada (NSERC) discovery grant and China's QianRen Program. The CSIRO and the Australian Government Bureau of Meteorology are thanked for their ongoing long-term support of the Cape Grim station and the Cape Grim science programme. The CSIRO flask network is supported by CSIRO Australia, Australian Bureau of Meteorology, Australian Institute of Marine Science, Australian Antarctic Division, NOAA USA, and the Meteorological Service of Canada. The operation of the AGAGE instruments at Mace Head, Trinidad Head, Cape Matatula, Ragged Point, and Cape Grim is supported by the National Aeronautic and Space Administration (NASA) (grants NAG5-12669, NNX07AE89G, and NNX11AF17G to MIT and grants NNX07AE87G, NNX07AF09G, NNX11AF15G, and NNX11AF16G to SIO), the Department of Energy and Climate Change (DECC, UK) contract GA01081 to theUniversity of Bristol, and the Commonwealth Scientific and Industrial Research Organization (CSIRO Australia), and Bureau of Meteorology (Australia). Nicola Gedney and Andy Wiltshire acknowledge support by the Joint DECC/Defra Met Office Hadley Centre Climate Programme (GA01101).</t>
  </si>
  <si>
    <t>1866-3508</t>
  </si>
  <si>
    <t>1866-3516</t>
  </si>
  <si>
    <t>EARTH SYST SCI DATA</t>
  </si>
  <si>
    <t>Earth Syst. Sci. Data</t>
  </si>
  <si>
    <t>DEC 12</t>
  </si>
  <si>
    <t>10.5194/essd-8-697-2016</t>
  </si>
  <si>
    <t>EF2HL</t>
  </si>
  <si>
    <t>Green Accepted, Green Published, Green Submitted, gold</t>
  </si>
  <si>
    <t>WOS:000390145300001</t>
  </si>
  <si>
    <t>Laube, JC; Hanif, NM; Martinerie, P; Gallacher, E; Fraser, PJ; Langenfelds, R; Brenninkmeijer, CAM; Schwander, J; Witrant, E; Wang, JL; Ou-Yang, CF; Gooch, LJ; Reeves, CE; Sturges, WT; Oram, DE</t>
  </si>
  <si>
    <t>Laube, Johannes C.; Hanif, Norfazrin Mohd; Martinerie, Patricia; Gallacher, Eileen; Fraser, Paul J.; Langenfelds, Ray; Brenninkmeijer, Carl A. M.; Schwander, Jakob; Witrant, Emmanuel; Wang, Jia-Lin; Ou-Yang, Chang-Feng; Gooch, Lauren J.; Reeves, Claire E.; Sturges, William T.; Oram, David E.</t>
  </si>
  <si>
    <t>Tropospheric observations of CFC-114 and CFC-114a with a focus on long-term trends and emissions</t>
  </si>
  <si>
    <t>OZONE-DEPLETING SUBSTANCES; HEMISPHERIC HALON TRENDS; POLAR FIRN; ATMOSPHERE; LIFETIMES; GASES; AIR; HALOCARBONS; POTENTIALS; TRANSPORT</t>
  </si>
  <si>
    <t>Chlorofluorocarbons (CFCs) are ozone-depleting substances as well as strong greenhouse gases, and the control of their production and use under the Montreal Protocol has had demonstrable benefits to both mitigation of increasing surface UV radiation and climate forcing. A global ban on consumption came into force in 2010, but there is evidence of continuing emissions of certain CFCs from a range of sources. One compound has received little attention in the literature, namely CFC-114 (C2Cl2F4). Of particular interest here is the differentiation between CFC-114 (CClF2CClF2) and its asymmetric isomeric form CFC-114a (CF3CCl2F) as atmospheric long-term measurements in the peer-reviewed literature to date have been assumed to represent the sum of both isomers with a time-invariant isomeric speciation. Here we report the first long-term measurements of the two isomeric forms separately, and find that they have different origins and trends in the atmosphere. Air samples collected at Cape Grim (41 degrees S), Australia, during atmospheric background conditions since 1978, combined with samples collected from deep polar snow (firn) enable us to obtain a near-complete record of both gases since their initial production and release in the 1940s. Both isomers were present in the unpolluted atmosphere in comparably small amounts before 1960. The mixing ratio of CFC-114 doubled from 7.9 to 14.8 parts per trillion (ppt) between the start of the Cape Grim record in 1978 and the end of our record in 2014, while over the same time CFC-114a trebled from 0.35 to 1.03 ppt. Mixing ratios of both isomers are slowly decreasing by the end of this period. This is consistent with measurements of recent aircraft-based samples showing no significant interhemispheric mixing ratio gradient. We also find that the fraction of CFC-114a mixing ratio relative to that of CFC-114 increased from 4.2 to 6.9% over the 37-year period. This contradicts the current tacit assumption used in international climate change and ozone depletion assessments that both isomers have been largely co-emitted and that their atmospheric concentration ratio has remained approximately constant in time. Complementary observations of air collected in Taiwan indicate a persisting source of CFC-114a in South East Asia which may have been contributing to the changing balance between the two isomers. In addition we present top-down global annual emission estimates of CFC-114 and CFC-114a derived from these measurements using a two-dimensional atmospheric chemistry-transport model. In general, the emissions for both compounds grew steadily during the 1980s, followed by a substantial reduction from the late 1980s onwards, which is consistent with the reduction of emission in response to the Montreal Protocol, and broadly consistent with bottom-up estimates derived by industry. However, we find that small but significant emissions of both isomers remain in 2014. Moreover the inferred changes to the ratio of emissions of the two isomers since the 1990s also indicate that the sources of the two gases are, in part, independent.</t>
  </si>
  <si>
    <t>[Laube, Johannes C.; Hanif, Norfazrin Mohd; Gallacher, Eileen; Gooch, Lauren J.; Reeves, Claire E.; Sturges, William T.; Oram, David E.] Univ East Anglia, Sch Environm Sci, Ctr Ocean &amp; Atmospher Sci, Norwich NR4 7TJ, Norfolk, England; [Martinerie, Patricia] UJF Grenoble 1, CNRS, Lab Glaciol &amp; Geophys Environm, Grenoble, France; [Fraser, Paul J.; Langenfelds, Ray] Commonwealth Sci &amp; Ind Res Org, Oceans &amp; Atmosphere, Aspendale, Vic, Australia; [Brenninkmeijer, Carl A. M.] Max Planck Inst Chem, Air Chem Div, Mainz, Germany; [Schwander, Jakob] Univ Bern, Inst Phys, Bern, Switzerland; [Witrant, Emmanuel] UJF Grenoble 1, CNRS, Grenoble Image Parole Signal Automat, Grenoble, France; [Wang, Jia-Lin] Natl Cent Univ, Dept Chem, Zhongli, Taiwan; [Ou-Yang, Chang-Feng] Natl Cent Univ, Dept Atmospher Sci, Taipei, Taiwan; [Oram, David E.] Univ East Anglia, Sch Environm Sci, Natl Ctr Atmospher Sci, Norwich NR4 7TJ, Norfolk, England</t>
  </si>
  <si>
    <t>University of East Anglia; Centre National de la Recherche Scientifique (CNRS); Communaute Universite Grenoble Alpes; Universite Grenoble Alpes (UGA); Commonwealth Scientific &amp; Industrial Research Organisation (CSIRO); Max Planck Society; University of Bern; Communaute Universite Grenoble Alpes; Universite Grenoble Alpes (UGA); Centre National de la Recherche Scientifique (CNRS); National Central University; National Central University; University of East Anglia; UK Research &amp; Innovation (UKRI); Natural Environment Research Council (NERC); NERC National Centre for Atmospheric Science</t>
  </si>
  <si>
    <t>Laube, JC (corresponding author), Univ East Anglia, Sch Environm Sci, Ctr Ocean &amp; Atmospher Sci, Norwich NR4 7TJ, Norfolk, England.</t>
  </si>
  <si>
    <t>j.laube@uea.ac.uk</t>
  </si>
  <si>
    <t>Laube, Johannes C/P-6772-2017; Martinerie, Patricia/N-5731-2017; Hanif, Norfazrin Mohd/AAO-8513-2020; Langenfelds, Raymond L/B-5381-2012; Brenninkmeijer, Carl/B-6860-2013; Fraser, Paul J. B./D-1755-2012; Ou-Yang, Chang-Feng/R-2271-2016</t>
  </si>
  <si>
    <t>Martinerie, Patricia/0000-0002-6820-2296; Gallacher, Eileen/0000-0001-8818-7700</t>
  </si>
  <si>
    <t>UK Natural Environment Research Council [NE/I021918/1]; Ministry of Education Malaysia (MOE); Universiti Kebangsaan Malaysia (UKM); NERC IOF award [NE/J016012/1]; NERC; CSIRO; Bureau of Meteorology (BoM); AFEAS; Natural Environmental Research Council (NERC); ESF-EC scientific programme [ENV4-CT95-0074]; French Polar Institute (IFRTP); ENEA Antarctic Project (Italy); CEC programmes [EUK2-CT2001-00116, ENV4-CT97-0406]; NERC [NE/J016047/1, NE/I021918/1, NE/F021194/1, NE/J016012/1, NE/N006836/1] Funding Source: UKRI; Natural Environment Research Council [1092450, 1510187, NE/J016012/1, NER/T/S/2000/01040, 1210143, NE/I021918/1, NE/F021194/1, NE/J016047/1, NE/N006836/1] Funding Source: researchfish</t>
  </si>
  <si>
    <t>UK Natural Environment Research Council(UK Research &amp; Innovation (UKRI)Natural Environment Research Council (NERC)); Ministry of Education Malaysia (MOE); Universiti Kebangsaan Malaysia (UKM); NERC IOF award; NERC(UK Research &amp; Innovation (UKRI)Natural Environment Research Council (NERC)); CSIRO(Commonwealth Scientific &amp; Industrial Research Organisation (CSIRO)); Bureau of Meteorology (BoM); AFEAS; Natural Environmental Research Council (NERC)(UK Research &amp; Innovation (UKRI)Natural Environment Research Council (NERC)); ESF-EC scientific programme; French Polar Institute (IFRTP); ENEA Antarctic Project (Italy); CEC programmes; NERC(UK Research &amp; Innovation (UKRI)Natural Environment Research Council (NERC)); Natural Environment Research Council(UK Research &amp; Innovation (UKRI)Natural Environment Research Council (NERC))</t>
  </si>
  <si>
    <t>Johannes C. Laube received funding from the UK Natural Environment Research Council (Research Fellowship NE/I021918/1) and David E. Oram from the National Centre for Atmospheric Science. The emission modelling work was conducted by Norfazrin Mohd Hanif through a PhD studentship funded by the Ministry of Education Malaysia (MOE) and Universiti Kebangsaan Malaysia (UKM). Taiwan-related work was also supported by the NERC IOF award NE/J016012/1 and a NERC Studentship to Lauren J. Gooch. We also thank DuPont for providing a CRC-114/CFC-114a mixture, all CARIBIC partners for their contributions and M. J. Newland for constructive discussions. The collection and curation of the Cape Grim air archive is jointly funded by CSIRO and the Bureau of Meteorology (BoM); BoM/CGBAPS staff at Cape Grim were/are largely responsible for the collection of archive samples and UEA flask air samples; the original (mid-1990s) subsampling of the archive for UEA was funded by AFEAS and CSIRO, ongoing subsampling by CSIRO. The Berkner Island drilling was organised and conducted by the British Antarctic Survey with funding from the Natural Environmental Research Council (NERC). Firn air analysis at Dome C contributed to the European Project for Ice Coring in Antarctica (EPICA), a joint ESF-EC scientific programme (ENV4-CT95-0074). The fieldwork at Dome C was also supported by the French Polar Institute (IFRTP) and the ENEA Antarctic Project (Italy). The firn air work was also funded by the CEC programmes: EUK2-CT2001-00116 (CRYOSTAT) and ENV4-CT97-0406 (FIRETRACC).</t>
  </si>
  <si>
    <t>DEC 9</t>
  </si>
  <si>
    <t>10.5194/acp-16-15347-2016</t>
  </si>
  <si>
    <t>EG1BY</t>
  </si>
  <si>
    <t>WOS:000390767800006</t>
  </si>
  <si>
    <t>Lambert, A; Santee, ML; Livesey, NJ</t>
  </si>
  <si>
    <t>Lambert, Alyn; Santee, Michelle L.; Livesey, Nathaniel J.</t>
  </si>
  <si>
    <t>Interannual variations of early winter Antarctic polar stratospheric cloud formation and nitric acid observed by CALIOP and MLS</t>
  </si>
  <si>
    <t>HETEROGENEOUS FORMATION; SPECTROSCOPIC EVIDENCE; OPTICAL-CONSTANTS; NAT PARTICLES; OZONE LOSS; ICE; TRIHYDRATE; DENITRIFICATION; NUCLEATION; IMPACT</t>
  </si>
  <si>
    <t>We use satellite-borne measurements collected over the last decade (2006-2015) from the Aura Microwave Limb Sounder (MLS) and the Cloud-Aerosol Lidar with Orthogonal Polarization (CALIOP) to investigate the nitric acid distribution and the properties of polar stratospheric clouds (PSCs) in the early winter Antarctic vortex. Frequently, at the very start of the winter, we find that synoptic-scale depletion of HNO3 can be detected in the inner vortex before the first lidar detection of geophysically associated PSCs. The generation of sub-visible PSCs can be explained as arising from the development of a solid particle population with low number densities and large particle sizes. Assumed to be composed of nitric acid trihydrate (NAT), the sub-visible PSCs form at ambient temperatures well above the ice frost point, but also above the temperature at which supercooled ternary solution (STS) grows out of the background supercooled binary solution (SBS) distribution. The temperature regime of their formation, inferred from the simultaneous uptake of ambient HNO3 into NAT and their Lagrangian temperature histories, is at a depression of a few kelvin with respect to the NAT existence threshold, T-NAT. Therefore, their nucleation requires a considerable supersaturation of HNO3 over NAT, and is consistent with a recently described heterogeneous nucleation process on solid foreign nuclei immersed in liquid aerosol. We make a detailed investigation of the comparative limits of detection of PSCs and the resulting sequestration of HNO3 imposed by lidar, mid-infrared, and microwave techniques. We find that the temperature history of air parcels, in addition to the local ambient temperature, is an important factor in the relative frequency of formation of liquid/solid PSCs. We conclude that the initiation of NAT nucleation and the subsequent development of large NAT particles capable of sedimentation and denitrification in the early winter do not emanate from an ice-seeding process. Finally, we investigate the patterns of interannual variability and compare the relative formation frequency of liquid and solid PSCs in the Antarctic lower polar stratosphere using the results of a cluster analysis to synthesize the combined CALIOP and MLS measurements into a relatively small number of interrelated categories.</t>
  </si>
  <si>
    <t>[Lambert, Alyn; Santee, Michelle L.; Livesey, Nathaniel J.] CALTECH, Jet Prop Lab, Pasadena, CA 91125 USA</t>
  </si>
  <si>
    <t>California Institute of Technology; National Aeronautics &amp; Space Administration (NASA); NASA Jet Propulsion Laboratory (JPL)</t>
  </si>
  <si>
    <t>Lambert, A (corresponding author), CALTECH, Jet Prop Lab, Pasadena, CA 91125 USA.</t>
  </si>
  <si>
    <t>alyn.lambert@jpl.nasa.gov</t>
  </si>
  <si>
    <t>Livesey, Nathaniel/AGQ-7257-2022; Lambert, Alyn/I-8415-2014; Santee, MIchelle/R-5762-2019</t>
  </si>
  <si>
    <t>Lambert, Alyn/0000-0003-3182-1824;</t>
  </si>
  <si>
    <t>National Aeronautics and Space Administration; World Climate Research Programme; International Space Science Institute (ISSI), Bern, Switzerland of the Polar Stratospheric Cloud initiative</t>
  </si>
  <si>
    <t>National Aeronautics and Space Administration(National Aeronautics &amp; Space Administration (NASA)); World Climate Research Programme; International Space Science Institute (ISSI), Bern, Switzerland of the Polar Stratospheric Cloud initiative</t>
  </si>
  <si>
    <t>We gratefully acknowledge members of the teams associated with the CALIOP and MLS instruments, and the GEOS-5 meteorological analyses. Work at the Jet Propulsion Laboratory, California Institute of Technology, was carried out under a contract with the National Aeronautics and Space Administration. We acknowledge the scientific guidance and sponsorship of the World Climate Research Programme, coordinated in the framework of the SPARC (Stratosphere-troposphere Processes And their Role in Climate) Polar Stratospheric Clouds activity. We acknowledge the International Space Science Institute (ISSI), Bern, Switzerland, for their support of the Polar Stratospheric Cloud initiative. We thank the anonymous reviewers for their careful reading of the manuscript and their comments and suggestions.</t>
  </si>
  <si>
    <t>DEC 8</t>
  </si>
  <si>
    <t>10.5194/acp-16-15219-2016</t>
  </si>
  <si>
    <t>EF9KO</t>
  </si>
  <si>
    <t>WOS:000390649300004</t>
  </si>
  <si>
    <t>Wang, F; Stedtfeld, RD; Kim, OS; Chai, B; Yang, L; Stedtfeld, TM; Hong, SG; Kim, D; Lim, HS; Hashsham, SA; Tiedje, JM; Sul, WJ</t>
  </si>
  <si>
    <t>Wang, Fang; Stedtfeld, Robert D.; Kim, Ok-Sun; Chai, Benli; Yang, Luxi; Stedtfeld, Tiffany M.; Hong, Soon Gyu; Kim, Dockyu; Lim, Hyoun Soo; Hashsham, Syed A.; Tiedje, James M.; Sul, Woo Jun</t>
  </si>
  <si>
    <t>Influence of Soil Characteristics and Proximity to Antarctic Research Stations on Abundance of Antibiotic Resistance Genes in Soils</t>
  </si>
  <si>
    <t>ENVIRONMENTAL SCIENCE &amp; TECHNOLOGY</t>
  </si>
  <si>
    <t>HOST-RANGE PLASMIDS; MEXA-MEXB-OPRM; PSEUDOMONAS-AERUGINOSA; WATER TREATMENT; BETA-LACTAMASE; PSYCHROTROPHIC BACTERIA; ENVIRONMENTAL BACTERIA; SURFACE-WATER; EFFLUX PUMP; INDUCTION</t>
  </si>
  <si>
    <t>Soil is an important environmental reservoir of antibiotic resistance genes (ARGs), which are increasingly recognized as environmental contaminants Methods to assess the risks associated with the acquisition or transfer of resistance mechanisms are still underdeveloped. Quantification of background levels of antibiotic resistance genes and what alters those is a first step in understanding our environmental resistome. Toward this goal, 62 samples were collected over 3 years from soils near the 30-year old Gondwana Research Station and for 4 years before and during development of the new Jang Bogo Research Station, both at Terra Nova Bay in Antarctica. These sites reflect limited and more extensive human impact, respectively. A qPCR array with 384 primer sets targeting antibiotic resistance genes and mobile genetic elements (MGEs) was used to detect and quantify these genes. A total of 73 ARGs and MGEs encompassing eight major antibiotic resistance gene categories were detected, but most at very low levels. Antarctic soil appeared to be a common reservoir for seven ARGs since they were present in most samples (42%-88%). If the seven widespread genes were removed, there was a correlation between the relative abundance of MGEs and ARGs, more typical of contaminated sites. There was a relationship between ARG content and distance from both research stations, with a significant effect at the Jang Bogo Station especially when excluding the seven widespread genes; however, the relative abundance of ARGs did not increase over the 4 year period. Silt, clay, total organic carbon, and SiO2 were the top edaphic factors that correlated with ARG abundance. Overall, this study identifies that human activity and certain soil characteristics correlate with antibiotic resistance genes in these oligotrophic Antarctic soils and provides a baseline of ARGs and MGEs for future comparisons.</t>
  </si>
  <si>
    <t>[Wang, Fang; Chai, Benli; Yang, Luxi; Hashsham, Syed A.; Tiedje, James M.] Michigan State Univ, Dept Plant Soil &amp; Microbial Sci, E Lansing, MI 48824 USA; [Wang, Fang; Chai, Benli; Yang, Luxi; Hashsham, Syed A.; Tiedje, James M.] Michigan State Univ, Ctr Microbial Ecol, E Lansing, MI 48824 USA; [Stedtfeld, Robert D.; Yang, Luxi; Stedtfeld, Tiffany M.; Hashsham, Syed A.] Michigan State Univ, Dept Civil &amp; Environm Engn, E Lansing, MI 48824 USA; [Kim, Ok-Sun; Hong, Soon Gyu; Kim, Dockyu] Korea Polar Res Inst, Div Life Sci, Inchon 21990, South Korea; [Sul, Woo Jun] Chung Ang Univ, Dept Syst Biotechnol, Anseong 17546, South Korea; [Wang, Fang] Chinese Acad Sci, Inst Soil Sci, Key Lab Soil Environm &amp; Pollut Remediat, Nanjing 210008, Jiangsu, Peoples R China; [Lim, Hyoun Soo] Pusan Natl Univ, Dept Geol Sci, Busan 46241, South Korea</t>
  </si>
  <si>
    <t>Michigan State University; Michigan State University; Michigan State University; Korea Polar Research Institute (KOPRI); Chung Ang University; Chinese Academy of Sciences; Nanjing Institute of Soil Science, CAS; Pusan National University</t>
  </si>
  <si>
    <t>Sul, WJ (corresponding author), Chung Ang Univ, Dept Syst Biotechnol, Anseong 17546, South Korea.</t>
  </si>
  <si>
    <t>woojunsul@gmail.com</t>
  </si>
  <si>
    <t>Wang, Fang/AAG-4654-2020; Sul, Woo Jun/A-9291-2012; Lim, Hyoun Soo/AAC-5499-2022</t>
  </si>
  <si>
    <t>Wang, Fang/0000-0001-9986-0948; Lim, Hyoun Soo/0000-0002-2489-4470</t>
  </si>
  <si>
    <t>Center for Health Impacts of Agriculture (CHIA) at Michigan State University; Korea Polar Research Institute [PE16020, PE16070, PP15101]; Outstanding Youth Fund of Natural Science Foundation of Jiangsu [BK20150050]; National Natural Science Foundation of China [21677149]; Institute of Soil Science, Chinese Academy of Sciences [ISSASIP1616]; National Institute for Environmental Health Sciences [2 P42 ES004911-22A1]</t>
  </si>
  <si>
    <t>Center for Health Impacts of Agriculture (CHIA) at Michigan State University; Korea Polar Research Institute(Korea Polar Research Institute of Marine Research Placement (KOPRI)); Outstanding Youth Fund of Natural Science Foundation of Jiangsu; National Natural Science Foundation of China(National Natural Science Foundation of China (NSFC)); Institute of Soil Science, Chinese Academy of Sciences(Chinese Academy of Sciences); National Institute for Environmental Health Sciences(United States Department of Health &amp; Human ServicesNational Institutes of Health (NIH) - USANIH National Institute of Environmental Health Sciences (NIEHS))</t>
  </si>
  <si>
    <t>The authors thank Dr. Ji Hee Kim, Dr. Joohan Lee, and Ms. Hyunjoo Noh for soil sampling and Dr. Teotonio Soares de Carvalho for help on data analysis. Soil sampling was permitted by the Ministry of Foreign Affairs, Republic of Korea. The research was funded in part by the Center for Health Impacts of Agriculture (CHIA) at Michigan State University and by the Korea Polar Research Institute (Grants PE16020, PE16070, and PP15101). F.W. was partially supported by the Outstanding Youth Fund of Natural Science Foundation of Jiangsu (BK20150050), National Natural Science Foundation of China (21677149), and the Institute of Soil Science, Chinese Academy of Sciences (ISSASIP1616). R.D.S. was partially supported by the Superfund Research Program (2 P42 ES004911-22A1) from the National Institute for Environmental Health Sciences.</t>
  </si>
  <si>
    <t>0013-936X</t>
  </si>
  <si>
    <t>1520-5851</t>
  </si>
  <si>
    <t>ENVIRON SCI TECHNOL</t>
  </si>
  <si>
    <t>Environ. Sci. Technol.</t>
  </si>
  <si>
    <t>DEC 6</t>
  </si>
  <si>
    <t>10.1021/acs.est.6b02863</t>
  </si>
  <si>
    <t>EE4FG</t>
  </si>
  <si>
    <t>WOS:000389557100012</t>
  </si>
  <si>
    <t>Mastromonaco, MGN; Gårdfeldt, K; Langer, S; Dommergue, A</t>
  </si>
  <si>
    <t>Mastromonaco, Michelle G. Nerentorp; Gardfeldt, Katarina; Langer, Sarka; Dommergue, Aurelien</t>
  </si>
  <si>
    <t>Seasonal Study of Mercury Species in the Antarctic Sea Ice Environment</t>
  </si>
  <si>
    <t>DISSOLVED GASEOUS MERCURY; ATMOSPHERIC MERCURY; ELEMENTAL MERCURY; SPRINGTIME DEPLETION; CLIMATE-CHANGE; FRESH-WATER; SNOW; DEPOSITION; REDUCTION; OXIDATION</t>
  </si>
  <si>
    <t>Limited studies have been conducted on mercury concentrations in the polar cryosphere and the factors affecting the distribution of mercury within sea ice and snow are poorly understood. Here we present the first comprehensive seasonal study of elemental and total mercury concentrations in the Antarctic sea ice environment covering data from measurements in air, sea ice, seawater, snow, frost flowers, and brine. The average concentration of total mercury in sea ice decreased from winter (9.7 ng L-1) to spring (4.7 ng L-1) while the average elemental mercury concentration increased from winter (0.07 ng L-1) to summer (0.105 ng L-1). The opposite trends suggest potential photo or dark oxidation/reduction processes within the ice and an eventual loss of mercury via brine drainage or gas evasion of elemental mercury. Our results indicate a seasonal variation of mercury species in the polar sea ice environment probably due to varying factors such as solar radiation, temperature, brine volume, and atmospheric deposition. This study shows that the sea ice environment is a significant interphase between the polar ocean and the atmosphere and should be accounted for when studying how climate change may affect the mercury cycle in polar regions.</t>
  </si>
  <si>
    <t>[Mastromonaco, Michelle G. Nerentorp; Gardfeldt, Katarina] Chalmers Univ Technol, Dept Chem &amp; Chem Engn, SE-41296 Gothenburg, Sweden; [Langer, Sarka] IVL Swedish Environm Res Inst, POB 53021, SE-40014 Gothenburg, Sweden; [Dommergue, Aurelien] Univ Joseph Fourier Grenoble, CNRS, Lab Glaciol &amp; Geophys Environm, UMR 5183, 54 Rue Moliere, F-38400 St Martin Dheres, France</t>
  </si>
  <si>
    <t>Chalmers University of Technology; IVL Swedish Environmental Research Institute; Communaute Universite Grenoble Alpes; Universite Grenoble Alpes (UGA); Centre National de la Recherche Scientifique (CNRS)</t>
  </si>
  <si>
    <t>Mastromonaco, MGN (corresponding author), Chalmers Univ Technol, Dept Chem &amp; Chem Engn, SE-41296 Gothenburg, Sweden.</t>
  </si>
  <si>
    <t>michelle.nerentorp@chalmers.se</t>
  </si>
  <si>
    <t>Gårdfeldt, Katarina/AAF-9952-2019; dommergue, aurelien/HLP-6539-2023; Liu, Yifan/S-6217-2017; Langer, Sarka/A-4076-2011</t>
  </si>
  <si>
    <t>dommergue, aurelien/0000-0002-8185-9604; Langer, Sarka/0000-0002-6580-8911</t>
  </si>
  <si>
    <t>GMOS; Swedish Polar Research Secretariat; CNRS-INSU through the program LEFE; IPEV; European Union [265113]; Swedish Polar Research Secretariat [2016-58]</t>
  </si>
  <si>
    <t>GMOS; Swedish Polar Research Secretariat; CNRS-INSU through the program LEFE; IPEV; European Union(European Union (EU)); Swedish Polar Research Secretariat</t>
  </si>
  <si>
    <t>This research was performed as a part of the GMOS (Global Mercury Observation System) project. Funding was provided by GMOS, the Swedish Polar Research Secretariat, CNRS-INSU through the program LEFE, and IPEV. Main funding was provided by the European Union 7th Programme for Research, Technological Development and Demonstration under grant agreement 265113: GMOS (Global Mercury Observation System). Additional funding was from a Scholarship from the Swedish Polar Research Secretariat (2016-58). We thank the Alfred Wegner Institute for Polar and Marine Research, the Swedish Polar Research Secretariat and the crews aboard RV Polarstern and IB Oden who made our participations in the campaigns possible.</t>
  </si>
  <si>
    <t>10.1021/acs.est.6b02700</t>
  </si>
  <si>
    <t>WOS:000389557100021</t>
  </si>
  <si>
    <t>Kaczmarek, L; Michalczyk, L; Mcinnes, SJ</t>
  </si>
  <si>
    <t>Kaczmarek, Lukasz; Michalczyk, Lukasz; Mcinnes, Sandra J.</t>
  </si>
  <si>
    <t>Annotated zoogeography of non-marine Tardigrada. Part III: North America and Greenland</t>
  </si>
  <si>
    <t>biogeography; species list; tardigrades</t>
  </si>
  <si>
    <t>MOUNTAINS NATIONAL-PARK; FRESH-WATER TARDIGRADES; EUTARDIGRADA APOCHELA MILNESIIDAE; ECHINISCUS-VIRIDISSIMUS PETERFI; MACROBIOTUS-HUFELANDI GROUP; SP-NOV EUTARDIGRADA; SP N. EUTARDIGRADA; STATES-OF-AMERICA; FINE-STRUCTURE; ECOLOGICAL DISTRIBUTION</t>
  </si>
  <si>
    <t>This paper is the third monograph of the series that describes the global records of limno-terrestrial water bears (Tardigrada). Here, we provide a comprehensive list of non-marine tardigrades recorded from the North America, providing an updated and revised taxonomy accompanied by geographic co-ordinates, habitat, and biogeographic comments. It is hoped this work will serve as a reference point and background for further zoogeographical and taxonomical studies.</t>
  </si>
  <si>
    <t>[Kaczmarek, Lukasz] Adam Mickiewicz Univ, Dept Anim Taxon &amp; Ecol, Umultowska 89, PL-61614 Poznan, Poland; [Michalczyk, Lukasz] Jagiellonian Univ, Inst Zool, Dept Entomol, Gronostajowa 9, PL-30387 Krakow, Poland; [Mcinnes, Sandra J.] British Antarctic Survey, Madingley Rd, Cambridge CB3 0ET, England; [Kaczmarek, Lukasz] Univ Estatal Amazon, Lab Ecol Nat &amp; Aplicada Invertebrados, Campus Principal Km 2-1-2 Via Napo Paso Lateral, Pastaza, Ecuador</t>
  </si>
  <si>
    <t>Adam Mickiewicz University; Jagiellonian University; UK Research &amp; Innovation (UKRI); Natural Environment Research Council (NERC); NERC British Antarctic Survey</t>
  </si>
  <si>
    <t>Kaczmarek, L (corresponding author), Adam Mickiewicz Univ, Dept Anim Taxon &amp; Ecol, Umultowska 89, PL-61614 Poznan, Poland.;Kaczmarek, L (corresponding author), Univ Estatal Amazon, Lab Ecol Nat &amp; Aplicada Invertebrados, Campus Principal Km 2-1-2 Via Napo Paso Lateral, Pastaza, Ecuador.</t>
  </si>
  <si>
    <t>kaczmar@amu.edu.pl; LM@tardigrada.net; s.mcinnes@bas.ac.uk</t>
  </si>
  <si>
    <t>Kaczmarek, Lukasz/A-2000-2008; McInnes, Sandra/AAN-4773-2020; Michalczyk, Lukasz/D-1362-2009</t>
  </si>
  <si>
    <t>McInnes, Sandra/0000-0003-3403-9379; Michalczyk, Lukasz/0000-0002-2912-4870</t>
  </si>
  <si>
    <t>Polish Ministry of Science and Higher Education [IP2010 015570]; Prometeo Project of the Secretariat for Higher Education, Science, Technology and Innovation of the Republic of Ecuador; NERC [bas010011] Funding Source: UKRI; Natural Environment Research Council [bas010011] Funding Source: researchfish</t>
  </si>
  <si>
    <t>Polish Ministry of Science and Higher Education(Ministry of Science and Higher Education, Poland); Prometeo Project of the Secretariat for Higher Education, Science, Technology and Innovation of the Republic of Ecuador; NERC(UK Research &amp; Innovation (UKRI)Natural Environment Research Council (NERC)); Natural Environment Research Council(UK Research &amp; Innovation (UKRI)Natural Environment Research Council (NERC))</t>
  </si>
  <si>
    <t>This work was partially supported by the Polish Ministry of Science and Higher Education via the Iuventus Plus programme (grant: IP2010 015570, Invertebrate biodiversity in temporary ponds of Costa Rica-verification of the Great American Biotic Interchange hypothesis) and by the Prometeo Project of the Secretariat for Higher Education, Science, Technology and Innovation of the Republic of Ecuador to LK.</t>
  </si>
  <si>
    <t>DEC 2</t>
  </si>
  <si>
    <t>10.11646/zootaxa.4203.1.1</t>
  </si>
  <si>
    <t>ED6XK</t>
  </si>
  <si>
    <t>WOS:000389000000001</t>
  </si>
  <si>
    <t>Carter, J; Judge, M; McLean, L; Mikucki, J; Giddings, LA</t>
  </si>
  <si>
    <t>Carter, J.; Judge, M.; McLean, L.; Mikucki, J.; Giddings, L. A.</t>
  </si>
  <si>
    <t>Induction of cryptic metabolites from a rare Antarctic psychrophile, Marinobacter sp.</t>
  </si>
  <si>
    <t>PLANTA MEDICA</t>
  </si>
  <si>
    <t>9th Joint Meeting of AFERP, ASP, GA, JSP, PSE and SIF</t>
  </si>
  <si>
    <t>JUL 24-27, 2016</t>
  </si>
  <si>
    <t>Copenhagen, DENMARK</t>
  </si>
  <si>
    <t>Cryptic metabolites; extremophilic microbes; bioactive compounds</t>
  </si>
  <si>
    <t>[Carter, J.; Judge, M.; McLean, L.; Giddings, L. A.] Middlebury Coll, Dept Chem &amp; Biochem, 276 Bicentennial Way, Middlebury, VT 05753 USA; [Mikucki, J.] Middlebury Coll, Dept &amp; Biol, 276 Bicentennial Way, Middlebury, VT 05753 USA</t>
  </si>
  <si>
    <t>GEORG THIEME VERLAG KG</t>
  </si>
  <si>
    <t>RUDIGERSTR 14, D-70469 STUTTGART, GERMANY</t>
  </si>
  <si>
    <t>0032-0943</t>
  </si>
  <si>
    <t>1439-0221</t>
  </si>
  <si>
    <t>PLANTA MED</t>
  </si>
  <si>
    <t>Planta Med.</t>
  </si>
  <si>
    <t>DEC</t>
  </si>
  <si>
    <t>P581</t>
  </si>
  <si>
    <t>10.1055/s-0036-1596642</t>
  </si>
  <si>
    <t>Plant Sciences; Chemistry, Medicinal; Integrative &amp; Complementary Medicine; Pharmacology &amp; Pharmacy</t>
  </si>
  <si>
    <t>Plant Sciences; Pharmacology &amp; Pharmacy; Integrative &amp; Complementary Medicine</t>
  </si>
  <si>
    <t>FI2RE</t>
  </si>
  <si>
    <t>WOS:000411789300466</t>
  </si>
  <si>
    <t>Gadéa, A; Le Dévéhat, F; Le Lamer, AC; Le Pogam, P; Ertz, D; Charrier, M; Boustie, J</t>
  </si>
  <si>
    <t>Gadea, A.; Le Devehat, F.; Le Lamer, A. C.; Le Pogam, P.; Ertz, D.; Charrier, M.; Boustie, J.</t>
  </si>
  <si>
    <t>Sectorial land snail damage to the lichen Argopsis friesiana could be explained by metabolite profiles</t>
  </si>
  <si>
    <t>Sub-antarctic lichens; metabolites profiling; DART-MS; Notodiscus hookeri; chemical ecology</t>
  </si>
  <si>
    <t>[Gadea, A.; Le Devehat, F.; Le Lamer, A. C.; Le Pogam, P.; Boustie, J.] Univ Rennes 1, ISCR, UMR CNRS PNSCM 6226, 2 Ave Prof Leon Bernard, F-35043 Rennes, France; [Gadea, A.; Charrier, M.] Univ Rennes 1, UMR CNRS 6553, 263 Ave Gen Leclerc, F-35042 Rennes, France; [Le Lamer, A. C.] Univ Toulouse 3, Univ Toulouse, Fac Sci Pharmaceut, UPS,UMR Pharma DEV 152, 35 Chemin Maraichers, F-31062 Toulouse 9, France; [Ertz, D.] Bot Garden Meise, Dept Bryophytes Thallophytes BT, Nieuwelaan 38, B-1860 Meise, Belgium</t>
  </si>
  <si>
    <t>Universite de Rennes; Centre National de la Recherche Scientifique (CNRS); Universite de Rennes; Universite de Toulouse; Universite Toulouse III - Paul Sabatier</t>
  </si>
  <si>
    <t>GADEA, Alice/AAY-3991-2020</t>
  </si>
  <si>
    <t>GADEA, Alice/0000-0002-7516-0514</t>
  </si>
  <si>
    <t>l'Institut Polaire Paul-Emile Victor, Plouzane, France (IPEV) [136]</t>
  </si>
  <si>
    <t>l'Institut Polaire Paul-Emile Victor, Plouzane, France (IPEV)</t>
  </si>
  <si>
    <t>Aurelie Bernard and Corentin Daugan are acknowledged for their technical assistance. The authors are also indebted to David Rondeau for giving access to DART-MS. This work used analytical facilities of P2M2 plateform for primary metabolites (amino-acids and carbohydrates) analyses. Sub-antarctic field trip was funded by l'Institut Polaire Paul-Emile Victor, Plouzane, France (IPEV, programme 136).</t>
  </si>
  <si>
    <t>P614</t>
  </si>
  <si>
    <t>10.1055/s-0036-1596670</t>
  </si>
  <si>
    <t>WOS:000411789300494</t>
  </si>
  <si>
    <t>Li, F; Marner, M; Wenzel-Storjohann, A; Silber, J; Janussen, D; Tasdemir, D</t>
  </si>
  <si>
    <t>Li, F.; Marner, M.; Wenzel-Storjohann, A.; Silber, J.; Janussen, D.; Tasdemir, D.</t>
  </si>
  <si>
    <t>Chemical and biological screening of deep-water sponges from Antarctic regions</t>
  </si>
  <si>
    <t>Antarctic deep-water sponge; screening; anticancer; antibacterial; dereplication</t>
  </si>
  <si>
    <t>[Li, F.; Marner, M.; Wenzel-Storjohann, A.; Silber, J.; Tasdemir, D.] GEOMAR Helmholtz Ctr Ocean Res Kiel, Res Unit Marine Nat Prod Chem, GEOMAR Ctr Marine Biotechnol GEOMAR Biotech, Kiel Kanal 44, D-24106 Kiel, Germany; [Janussen, D.] Senckenberg Res Inst, Senckenberganlage 25, D-60325 Frankfurt, Germany; [Janussen, D.] Nat Hist Museum, Senckenberganlage 25, D-60325 Frankfurt, Germany</t>
  </si>
  <si>
    <t>Helmholtz Association; GEOMAR Helmholtz Center for Ocean Research Kiel; Senckenberg Gesellschaft fur Naturforschung (SGN)</t>
  </si>
  <si>
    <t>China Scholarship Council</t>
  </si>
  <si>
    <t>China Scholarship Council(China Scholarship Council)</t>
  </si>
  <si>
    <t>China Scholarship Council is acknowledged for funding.</t>
  </si>
  <si>
    <t>P560</t>
  </si>
  <si>
    <t>10.1055/s-0036-1596627</t>
  </si>
  <si>
    <t>WOS:000411789300451</t>
  </si>
  <si>
    <t>Shilling, AJ; von Salm, JL; Young, RM; Amsler, MO; Amsler, CD; McClintock, JB; Baker, BJ</t>
  </si>
  <si>
    <t>Shilling, A. J.; von Salm, J. L.; Young, R. M.; Amsler, M. O.; Amsler, C. D.; McClintock, J. B.; Baker, B. J.</t>
  </si>
  <si>
    <t>Isolation and characterization of halogenated monoterpenes in the investigation of the ecological relationship between Antarctic Plocamium cartilagineum and Paradexamine fissicauda</t>
  </si>
  <si>
    <t>Halogenated monoterpenes; Plocamium cartilagineum; Paradexamine fissicauda; secondary metabolite; chemical defense; chemical sequestration</t>
  </si>
  <si>
    <t>RED ALGA PLOCAMIUM; MACROALGAE; PENINSULA</t>
  </si>
  <si>
    <t>[Shilling, A. J.; von Salm, J. L.; Young, R. M.; Baker, B. J.] Univ S Florida, Dept Chem, Tampa, FL 33620 USA; [Shilling, A. J.; von Salm, J. L.; Young, R. M.; Baker, B. J.] Univ S Florida, Ctr Drug Discovery &amp; Innovat, Tampa, FL 33620 USA; [Amsler, M. O.; Amsler, C. D.; McClintock, J. B.] Univ Alabama Birmingham, Dept Biol, Birmingham, AL 35294 USA</t>
  </si>
  <si>
    <t>State University System of Florida; University of South Florida; State University System of Florida; University of South Florida; University of Alabama System; University of Alabama Birmingham</t>
  </si>
  <si>
    <t>Baker, Bill/N-4312-2019; Young, Ryan M/E-9698-2019</t>
  </si>
  <si>
    <t>NSF [PLR-1341339]; State of Florida for Center of Excellence funding of CDDI</t>
  </si>
  <si>
    <t>NSF(National Science Foundation (NSF)); State of Florida for Center of Excellence funding of CDDI</t>
  </si>
  <si>
    <t>We are grateful for financial support from the NSF (PLR-1341339) and the State of Florida for Center of Excellence funding of CDDI. We thank the field team members of S-022 and the staff of Antarctic Support Contract for logistical support, Edwin Rivera for his assistance in obtaining high quality NMR spectra, Laurent Calcul for his assistance with mass spec and Patrick Walther for his assistance in HPLC purification.</t>
  </si>
  <si>
    <t>P617</t>
  </si>
  <si>
    <t>10.1055/s-0036-1596673</t>
  </si>
  <si>
    <t>WOS:000411789300497</t>
  </si>
  <si>
    <t>Sokolov, SG; Gordeev, II</t>
  </si>
  <si>
    <t>Sokolov, S. G.; Gordeev, I. I.</t>
  </si>
  <si>
    <t>Paralepidapedon variabile sp n. (Trematoda, Lepocreadioidea, Lepidapedidae) and Other Representatives of the Genus Paralepidapedon from Antarctic Fish</t>
  </si>
  <si>
    <t>BIOLOGY BULLETIN</t>
  </si>
  <si>
    <t>trematodes; Antarctic; new species; Lepidapedidae Paralepidapedon variabile sp n.; Paralepidapedon lepidum; Muraenolepis marmorata; Macrourus whitsoni</t>
  </si>
  <si>
    <t>NORTHEAST ATLANTIC; DIGENEA; MACROURIDAE; GADIFORMES; SEA</t>
  </si>
  <si>
    <t>In the Ross Sea and Amundsen Sea, four representatives of the genus Paralepidapedon-Paralepidapedon cf. dubium Prudhoe et Bray 1973 sensu Sokolov et Gordeev 2013, P. lepidum (Gaevskaya et Rodyuk 1988), Paralepidapedon sp., and P. variabile sp. n.-were found in demersal fishes Muraenolepis marmorata and Macrourus whitsoni. Paralepidapedon variabile sp. n. is described from Muraenolepis marmorata in the Amundsen Sea. Paralepidapedon variabile sp. n. differs from other species of the genus Paralepidapedon by the position of the anterior border of the vitellarium at the level of the anterior edge of the ventral sucker or genital pore and by the highly variable shape of the testes: from roundish with a smooth edge to sinuate-lobate. Paralepidapedon lepidum was found for the first time in the Antarctic.</t>
  </si>
  <si>
    <t>[Sokolov, S. G.] Russian Acad Sci, Severtsov Inst Ecol &amp; Evolut, Moscow 119071, Russia; [Gordeev, I. I.] Russian Fed Res Inst Fisheries &amp; Oceanog, Moscow 107140, Russia</t>
  </si>
  <si>
    <t>Russian Academy of Sciences; Saratov Scientific Center of the Russian Academy of Sciences; Severtsov Institute of Ecology &amp; Evolution; Research lnstitute of Fisheries &amp; Oceanography</t>
  </si>
  <si>
    <t>Sokolov, SG (corresponding author), Russian Acad Sci, Severtsov Inst Ecol &amp; Evolut, Moscow 119071, Russia.</t>
  </si>
  <si>
    <t>sokolovsg@mail.ru</t>
  </si>
  <si>
    <t>Gordeev, Ilya/F-2972-2017; Sokolov, Sergey/AAC-3505-2022</t>
  </si>
  <si>
    <t>Gordeev, Ilya/0000-0002-6650-9120; Sokolov, Sergey/0000-0002-4822-966X</t>
  </si>
  <si>
    <t>program of the Biological Sciences Branch of the Russian Academy of Sciences; Russian Foundation for Basic Research [14-04-31950 mol_a]</t>
  </si>
  <si>
    <t>program of the Biological Sciences Branch of the Russian Academy of Sciences(United States Department of Health &amp; Human ServicesCenters for Disease Control &amp; Prevention - USA); Russian Foundation for Basic Research(Russian Foundation for Basic Research (RFBR)Spanish Government)</t>
  </si>
  <si>
    <t>This study was supported in part by the program of the Biological Sciences Branch of the Russian Academy of Sciences Sustainable Use of Biological Resources of Russia: Fundamental Basics of Management and the Russian Foundation for Basic Research (project no. 14-04-31950 mol_a).</t>
  </si>
  <si>
    <t>1062-3590</t>
  </si>
  <si>
    <t>1026-3470</t>
  </si>
  <si>
    <t>BIOL BULL+</t>
  </si>
  <si>
    <t>Biol. Bull</t>
  </si>
  <si>
    <t>10.1134/S1062359016070189</t>
  </si>
  <si>
    <t>Biology</t>
  </si>
  <si>
    <t>Life Sciences &amp; Biomedicine - Other Topics</t>
  </si>
  <si>
    <t>EL0TZ</t>
  </si>
  <si>
    <t>WOS:000394336000004</t>
  </si>
  <si>
    <t>Egorova, EN</t>
  </si>
  <si>
    <t>Egorova, E. N.</t>
  </si>
  <si>
    <t>Fossil Bivalves in Marine Sediments of Vestfold Hills in Eastern Antarctica</t>
  </si>
  <si>
    <t>bivalves; marine deposits; Pleistocene-Holocene; Vestfold Hills; Prydz Bay</t>
  </si>
  <si>
    <t>LAST GLACIAL MAXIMUM; ICE-SHEET; LATE PLEISTOCENE; HISTORY; ISLAND; COASTLINE; DEPOSITS; CLIMATE; VALLEY</t>
  </si>
  <si>
    <t>Bivalves collected in Vestfold Hills during the 55th Russian Antarctic Expedition (RAE, 2009-2010) are represented by five species. Four of them (Laternula elliptica, Thracia meridionalis, Adamussium colbecki, and Philobrya sublaevis) were collected in the sediments that filled the coastal lake terraces during the Holocene; these species are still abundant on the Antarctic shelf at present. Bivalves were found in eight samples, with L. elliptica shells and fragments thereof found in seven of those samples. The sample collected near Deep Lake had the most diverse species composition, as it contained all four species named above. Shells of named species widely occurring in present-day Antarctica were found high above sea level in the marine sediments of the oasis. This indicate to the similarity of the oasis habitats in the past and the recent marine conditions. Fragments of shells of the fifth (now extinct) species Ruthipecten tuftsensis were found in glacial-marine sediments of the Marine Plain dating back to the late Pleistocene. The present study of fossil bivalves from the late Cenozoic marine sediments in Vestfold Hills is the first of its kind in Russia.</t>
  </si>
  <si>
    <t>[Egorova, E. N.] Russian Acad Sci, Inst Zool, St Petersburg 199034, Russia</t>
  </si>
  <si>
    <t>Russian Academy of Sciences; Zoological Institute of the Russian Academy of Sciences</t>
  </si>
  <si>
    <t>Egorova, EN (corresponding author), Russian Acad Sci, Inst Zool, St Petersburg 199034, Russia.</t>
  </si>
  <si>
    <t>antmol@zin.ru</t>
  </si>
  <si>
    <t>Egorova, Ekaterina N/T-5737-2018</t>
  </si>
  <si>
    <t>Ministry of Science and Technology of the Russian Federation [98-03-16]; World Ocean Federal Target Program</t>
  </si>
  <si>
    <t>Ministry of Science and Technology of the Russian Federation; World Ocean Federal Target Program</t>
  </si>
  <si>
    <t>The fund collection of the Zoological Institute that received financial support from the Ministry of Science and Technology of the Russian Federation (project no. 98-03-16) was used in the present work.; This work was started with the support of the World Ocean Federal Target Program (subprogram 9 Investigation and Exploration of the Antarctica, project no. 16 Comprehensive Investigation of Antarctic Biota).</t>
  </si>
  <si>
    <t>10.1134/S1062359016070050</t>
  </si>
  <si>
    <t>WOS:000394336000005</t>
  </si>
  <si>
    <t>Williams, J; Morgenstern, O; Varma, V; Behrens, E; Hayek, W; Oliver, H; Dean, S; Mullan, B; Frame, D</t>
  </si>
  <si>
    <t>Williams, J.; Morgenstern, O.; Varma, V.; Behrens, E.; Hayek, W.; Oliver, H.; Dean, S.; Mullan, B.; Frame, D.</t>
  </si>
  <si>
    <t>Development of the New Zealand Earth System Model: NZESM</t>
  </si>
  <si>
    <t>WEATHER AND CLIMATE</t>
  </si>
  <si>
    <t>Climate Model; Earth System Model; Deep South National Science Challenge</t>
  </si>
  <si>
    <t>CLIMATE-CHANGE; CMIP5 MODELS; PART 1; CIRCULATION; WEATHER</t>
  </si>
  <si>
    <t>The New Zealand Earth System Model (NZESM) is currently under development to help inform scientists, policy makers, climate-sensitive sectors of the economy, and the general public in New Zealand about climate change. The term `climate model' is generally used to describe a computer model that incorporates physical aspects of the climate system such as atmospheric and oceanic fluid mechanics and thermodynam- ics. In addition, Earth System Models represent aspects of biology and chemistry such as marine biogeochemistry and atmospheric ozone chemistry. The development of the NZESM represents a step-change in model complexity for New Zealand science, and a major motivation for its development is to reduce Southern Hemisphere specific mod- elling problems such as the formation of Southern Ocean sea ice and Antarctic Bottom Water. The atmosphere, land surface, ocean and sea ice components of the model are already available in New Zealand. In the future, additional models representing (for ex-ample) ocean biogeochemistry and marine ice-sheets will also be added to the NZESM framework. Over the next 5 years, the NZESM will be run to produce hindcasts for the past 150 years and projections for up to 200 years into the future. Such experiments will ... enable New Zealanders to adapt, manage risk, and thrive in a changing climate, which is the mission statement of the Deep South National Science Challenge. Over the next decade, the NZESM will be used in Earth System science research throughout New Zealand, both in terms of pure science and via communication of its results to New Zealanders.</t>
  </si>
  <si>
    <t>[Williams, J.; Morgenstern, O.; Varma, V.; Behrens, E.; Hayek, W.; Oliver, H.; Dean, S.; Mullan, B.; Frame, D.] NIWA, Natl Inst Water &amp; Atmospher Res, 301 Evans Bay Parade, Wellington 6021, New Zealand; [Hayek, W.] NIWA, New Zealand eSci Infrastruct, NeSI, Wellington, New Zealand; [Frame, D.] Victoria Univ Wellington, Dept Geog Environm &amp; Earth Sci, Wellington 6012, New Zealand</t>
  </si>
  <si>
    <t>National Institute of Water &amp; Atmospheric Research (NIWA) - New Zealand; National Institute of Water &amp; Atmospheric Research (NIWA) - New Zealand; Victoria University Wellington</t>
  </si>
  <si>
    <t>Williams, J (corresponding author), NIWA, Natl Inst Water &amp; Atmospher Res, 301 Evans Bay Parade, Wellington 6021, New Zealand.</t>
  </si>
  <si>
    <t>jonny.williams@niwa.co.nz</t>
  </si>
  <si>
    <t>Frame, Dave/R-6169-2016; Dean, Samuel/F-7711-2011</t>
  </si>
  <si>
    <t>Frame, Dave/0000-0002-0949-3994; Dean, Samuel/0000-0001-6338-4601; Williams, Jonny/0000-0002-0680-0098; Varma, Vidya/0000-0003-0332-1339</t>
  </si>
  <si>
    <t>New Zealand Government Ministry for Business, Innovation, and Employment (MBIE) through The Deep South National Science Challenge; NIWA; NeSI's collaborator institutions; Ministry of Business, Innovation and Employment; New Zealand eScience Infrastructure (NeSI)</t>
  </si>
  <si>
    <t>New Zealand Government Ministry for Business, Innovation, and Employment (MBIE) through The Deep South National Science Challenge; NIWA; NeSI's collaborator institutions; Ministry of Business, Innovation and Employment(New Zealand Ministry of Business, Innovation and Employment (MBIE)); New Zealand eScience Infrastructure (NeSI)</t>
  </si>
  <si>
    <t>We acknowledge funding by the New Zealand Government Ministry for Business, Innovation, and Employment (MBIE) through The Deep South National Science Challenge. This work has also been supported by NIWA as part of its Government-funded, core research. The authors thank the reviewers of this manuscript. JW thanks Peter Hairsine (Australian National University), Lettie Roach (NIWA, Victoria University of Wellington) and Stephen Stuart (NIWA) for helpful reviews throughout the preparation stages of this paper. The authors wish to acknowledge the contribution of NeSI to the results of this research. New Zealand's national compute and analytics services and team are supported by the New Zealand eScience Infrastructure (NeSI) and funded jointly by NeSI's collaborator institutions and through the Ministry of Business, Innovation and Employment. URL http://www.nesi.org.nz.</t>
  </si>
  <si>
    <t>METEOROLOGICAL SOC NEW ZEALAND</t>
  </si>
  <si>
    <t>WELLINGTON</t>
  </si>
  <si>
    <t>PO BOX 6523, WELLINGTON, 6011, NEW ZEALAND</t>
  </si>
  <si>
    <t>0111-5499</t>
  </si>
  <si>
    <t>WEATHER CLIM</t>
  </si>
  <si>
    <t>Weather Clim</t>
  </si>
  <si>
    <t>EP0QX</t>
  </si>
  <si>
    <t>WOS:000397092900002</t>
  </si>
  <si>
    <t>Di Vincenzo, G; Horton, F; Palmeri, R</t>
  </si>
  <si>
    <t>Di Vincenzo, Gianfranco; Horton, Forrest; Palmeri, Rosaria</t>
  </si>
  <si>
    <t>Protracted (∼30 Ma) eclogite-facies metamorphism in northern Victoria Land (Antarctica): Implications for the geodynamics of the Ross/Delamerian Orogen</t>
  </si>
  <si>
    <t>Antarctica; Eclogite-facies metamorphism; Northern Victoria Land; Ross Orogen; Split-stream LA-ICP-MS; Zircon</t>
  </si>
  <si>
    <t>HIGH-PRESSURE METAMORPHISM; LANTERMAN RANGE ANTARCTICA; U-PB AGES; PACIFIC MARGIN; ULTRAHIGH-PRESSURE; DECAY CONSTANTS; TRACE-ELEMENT; ROSS OROGEN; TECTONIC EVOLUTION; DETRITAL ZIRCONS</t>
  </si>
  <si>
    <t>Northern Victoria Land, Antarctica, plays a key role in any geodynamic reconstructions of the paleo-Pacific margin of Gondwana because it represents the along-strike continuation of Australia in Antarctica and hosts the only Paleozoic eclogites known along the Transantarctic Mountains. The architecture and evolution of the early Cambrian to Early Ordovician Ross-Delamerian Orogen in northern Victoria Land, however, remain controversial. Accurate geodynamic reconstructions have been hindered by a dearth of temporal metamorphic constraints. This study reports laser-ablation split-stream ICP-MS data on zircon in newly recognized eclogite, that preserves a memory of the prograde evolution, and on zircon from its country rock from the Lanterman Range of northern Victoria Land. Geochronological data are supplemented for the eclogite by whole-rock geochemical and petrological constraints, that indicate an E-MORB protolith derived from a depleted mantle source, and P-T conditions for the eclogite-facies stage of similar to 700 degrees C and 1.7-2.4 GPa. U-Pb ages, trace-element contents, cathodoluminescence imaging and textural/inclusion relationships testify to protracted zircon growth/recrystallization history under eclogite-facies conditions, that also included (re) crystallization during part of the prograde path. Results extend the onset of eclogite-facies metamorphism in northern Victoria Land back to similar to 530 Ma and, together with geochronological evidence for the emplacement of calc-alkaline granitoids at similar to 530-520 Ma, suggest that UHP-HP rocks formed by accretion of material beneath an active continental margin. Regionally, this interpretation implies that burial of mafic rocks and associated siliciclastic sequences to mantle depths commenced significantly earlier than previously believed (similar to 500 Ma), thereby contrasting with the common belief that high-pressure metamorphism was linked to arc-continent collision. New and old results reveal the coexistence along the same ridge of two eclogite types: (1) medium-grained, colder and undeformed eclogites, that recorded both prograde and peak conditions, and (2) finer-grained, hotter and slightly deformed eclogites, that recorded only metamorphic peak conditions with hints of the subsequent retrogression. We propose that prograde/peak eclogites formed during an active continental margin stage and peak eclogites during the subsequent island arc-continental arc collision. (C) 2016 International Association for Gondwana Research. Published by Elsevier B.V. All rights reserved.</t>
  </si>
  <si>
    <t>[Di Vincenzo, Gianfranco] CNR, Ist Geosci &amp; Georisorse, Via Moruzzi 1, I-56124 Pisa, Italy; [Horton, Forrest] Univ Calif Santa Barbara, Dept Earth Sci, Santa Barbara, CA 93106 USA; [Palmeri, Rosaria] Univ Siena, Museo Nazl Antartide, Via Laterina 8, I-53100 Siena, Italy; [Horton, Forrest] Caltech Div Geol &amp; Planetary Sci, 1200 East Calif Blvd, Pasadena, CA 91125 USA</t>
  </si>
  <si>
    <t>Consiglio Nazionale delle Ricerche (CNR); Istituto di Geoscienze e Georisorse (IGG-CNR); University of California System; University of California Santa Barbara; University of Siena</t>
  </si>
  <si>
    <t>Di Vincenzo, G (corresponding author), CNR, Ist Geosci &amp; Georisorse, Via Moruzzi 1, I-56124 Pisa, Italy.</t>
  </si>
  <si>
    <t>g.divincenzo@igg.cnr.it</t>
  </si>
  <si>
    <t>DI VINCENZO, GIANFRANCO/0000-0002-9669-9789; Horton, Forrest/0000-0001-9524-8874</t>
  </si>
  <si>
    <t>PNRA [PdR 13/B2.07]; NSF [EAR-1219942]</t>
  </si>
  <si>
    <t>PNRA; NSF(National Science Foundation (NSF))</t>
  </si>
  <si>
    <t>B.R. Hacker helped with insightful comments on an early version of the manuscript. D. Smith and G. Godard are acknowledged for help with Raman spectroscopy of zircon inclusions at Institute de Physique du Globe (IPGP, Paris, France). S. Agostini is acknowledged for Nd isotopic compositions of sample GL10. Journal review by Tim Johnson and an anonymous reviewer is greatly appreciated. Rock samples investigated in this study were selected from the collection available at the PNRA (Programma Nazionale Ricerche in Antartide) rock repository located at the Museo Nazionale dell'Antartide (Siena, Italy). Geologists involved in the fieldwork during the 2003-04 Antarctic expedition are warmly thanked; special thanks go to G. Capponi and L. Crispini. The research was realized with the financial support by PNRA (PdR 13/B2.07) and coordination by CNR, NSF grant EAR-1219942, and UCSB.</t>
  </si>
  <si>
    <t>10.1016/j.gr.2016.08.005</t>
  </si>
  <si>
    <t>EQ2BK</t>
  </si>
  <si>
    <t>WOS:000397873100006</t>
  </si>
  <si>
    <t>Han, H; Im, J; Kim, HC</t>
  </si>
  <si>
    <t>Han, Hyangsun; Im, Jungho; Kim, Hyun-Cheol</t>
  </si>
  <si>
    <t>Variations in ice velocities of Pine Island Glacier Ice Shelf evaluated using multispectral image matching of Landsat time series data</t>
  </si>
  <si>
    <t>Pine Island Glacier Ice Shelf; Ice velocity; Strain rate; Landsat; Multispectral image matching</t>
  </si>
  <si>
    <t>ORBIT GEOMETRIC CALIBRATION; AMUNDSEN SEA EMBAYMENT; EAST ANTARCTICA; OCEAN CIRCULATION; WEST ANTARCTICA; MASS-BALANCE; SATELLITE; FLOW; ACCELERATION; TONGUE</t>
  </si>
  <si>
    <t>Pine Island Glacier (PIG) in West Antarctica drains out to the Amundsen Sea through Pine Island Glacier Ice Shelf (PIGIS). As changes in ice velocities on PIGIS are strongly linked to changes in ice mass discharge from the West Antarctic Ice Sheet, it is very important to evaluate the spatiotemporal variations in ice velocities on the ice shelf. This research estimated ice velocities of PIGIS from an ensemble of image matching of Landsat time series multispectral data obtained from 2000 to 2014. Orientation correlation was adopted for the image matching of blue, green, red, near infrared, panchromatic, and the first principal image of the Landsat multispectral data, from which the results were combined and averaged. The multispectral image matching proposed in this research produced similar to 35% more ice velocity vectors than the use of a single band (i.e., panchromatic band) image matching. The erroneous matches were filtered through simple but rigorous statistical evaluations. The ice velocity of PIGIS accelerated by similar to 55% during 2000-2010, and the acceleration of the image northing velocity component (similar to 13 km a(-1)) was higher than that of the image easting velocity component (similar to 0.8 km a-1). During 20102012, the ice velocity of PIGIS slowed down by similar to 10%. The ice velocity in 2014 increased by 5% from 2012, but was still lower than the peak values observed in 2010. The surface strain rate fields of PIGIS were derived from the ice velocity fields. The longitudinal ice compression was observed near the grounding line and the geographically northern part of the central ice shelf of PIGIS, while a fast-flowing band was observed near the southern margin of the ice shelf. The transverse strain rate showed that ice divergence in the hinge zone of the central ice shelf has increased since 2000. The width of the shear margins of the central ice shelf of PIGIS is similar to 25 km, which has been stable since 2000. (C) 2016 Elsevier Inc. All rights reserved.</t>
  </si>
  <si>
    <t>[Han, Hyangsun; Im, Jungho] Ulsan Natl Inst Sci &amp; Technol, Sch Urban andEnvironmental Engn, Ulsan, South Korea; [Kim, Hyun-Cheol] Korea Polar Res Inst, Div Polar Ocean Environm, Incheon, South Korea</t>
  </si>
  <si>
    <t>Ulsan National Institute of Science &amp; Technology (UNIST); Korea Polar Research Institute (KOPRI)</t>
  </si>
  <si>
    <t>Im, J (corresponding author), Ulsan Natl Inst Sci &amp; Technol, Sch Urban andEnvironmental Engn, Ulsan, South Korea.</t>
  </si>
  <si>
    <t>ersgis@unist.ac.kr</t>
  </si>
  <si>
    <t>Kim, Hyun-Cheol/AAP-1250-2020; Han, Hyangsun/AAE-7670-2022; Im, Jungho/K-6257-2017</t>
  </si>
  <si>
    <t>Kim, Hyun-Cheol/0000-0002-6831-9291; Han, Hyangsun/0000-0002-0414-519X; Im, Jungho/0000-0002-4506-6877</t>
  </si>
  <si>
    <t>Korea Polar Research Institute, South Korea [PE16040]</t>
  </si>
  <si>
    <t>Korea Polar Research Institute, South Korea</t>
  </si>
  <si>
    <t>This research was a part of the project titled 'SaTellite remote sensing on west Antarctic ocean Research (STAR) (KOPRI, PE16040)', funded by the Korea Polar Research Institute, South Korea.</t>
  </si>
  <si>
    <t>DEC 1</t>
  </si>
  <si>
    <t>10.1016/j.rse.2016.09.001</t>
  </si>
  <si>
    <t>EO0IW</t>
  </si>
  <si>
    <t>WOS:000396382500028</t>
  </si>
  <si>
    <t>Tikhonov, VV; Raev, MD; Sharkov, EA; Boyarskii, DA; Repina, IA; Komarova, NY</t>
  </si>
  <si>
    <t>Tikhonov, V. V.; Raev, M. D.; Sharkov, E. A.; Boyarskii, D. A.; Repina, I. A.; Komarova, N. Yu.</t>
  </si>
  <si>
    <t>Satellite microwave radiometry of sea ice of polar regions: a review</t>
  </si>
  <si>
    <t>satellite microwave radiometry; emissivity; brightness temperature; algorithm; ice concentration; sea ice; puddles</t>
  </si>
  <si>
    <t>PASSIVE MICROWAVE; CONCENTRATION ALGORITHMS; SSM/I DATA; RETRIEVAL; SNOW; PARAMETERS; SIGNATURES; GREENLAND; FIELDS; COVER</t>
  </si>
  <si>
    <t>This is a review of methods of passive microwave satellite monitoring of the sea-ice cover in polar regions. We briefly describe the microwave radiometers launched into the Earth's orbit and provide data used in studies of Arctic and Antarctic sea ice. We give a detailed description of currently used algorithms for determining the sea-ice concentration and cover in polar regions according to satellite microwave radiometry. The methods for constructing these algorithms and their related drawbacks are considered. The final section of this paper briefly analyzes the studies that compare current algorithms with each other, with radar data, infrared data, and data of visual ship observations.</t>
  </si>
  <si>
    <t>[Tikhonov, V. V.; Raev, M. D.; Sharkov, E. A.; Boyarskii, D. A.; Repina, I. A.; Komarova, N. Yu.] Russian Acad Sci, Space Res Inst, Moscow 117997, Russia; [Repina, I. A.] Russian Acad Sci, Obukhov Inst Atmospher Phys, Moscow 119017, Russia; [Repina, I. A.] Hydrometeorol Res Ctr Russian Federat, Moscow 123242, Russia</t>
  </si>
  <si>
    <t>Russian Academy of Sciences; Space Research Institute of the Russian Academy of Sciences; Russian Academy of Sciences; Obukhov Institute of Atmospheric Physics of Russian Academy of Sciences</t>
  </si>
  <si>
    <t>Tikhonov, VV (corresponding author), Russian Acad Sci, Space Res Inst, Moscow 117997, Russia.</t>
  </si>
  <si>
    <t>vtikhonov@asp.iki.rssi.ru</t>
  </si>
  <si>
    <t>Repina, Irina A/H-3530-2016; Boyarskii, Dmitry/S-4386-2018; Tikhonov, Vasiliy/R-9093-2017</t>
  </si>
  <si>
    <t>Tikhonov, Vasiliy/0000-0003-3656-1734; Repina, Irina/0000-0001-7341-0826</t>
  </si>
  <si>
    <t>Russian Foundation for Basic Research [16-05-00164]</t>
  </si>
  <si>
    <t>This work was supported by the Russian Foundation for Basic Research, project no. 16-05-00164.</t>
  </si>
  <si>
    <t>10.1134/S0001433816090267</t>
  </si>
  <si>
    <t>EK9UZ</t>
  </si>
  <si>
    <t>WOS:000394270700013</t>
  </si>
  <si>
    <t>Artamonov, JV; Fedirko, AV; Skripaleva, EA</t>
  </si>
  <si>
    <t>Artamonov, Ju. V.; Fedirko, A. V.; Skripaleva, E. A.</t>
  </si>
  <si>
    <t>Climatic variability of transport in the upper layer of the Antarctic Circumpolar Current from hydrological and satellite data</t>
  </si>
  <si>
    <t>Antarctic circumpolar current; transport; sea level anomalies; wind field; interannual variability; linear trend; spectral analysis; cross-correlation function</t>
  </si>
  <si>
    <t>NINO-SOUTHERN OSCILLATION; SEA-ICE; DRAKE PASSAGE; ANNULAR MODE; OCEAN; WIND; TEMPERATURE; EDDIES; WAVE</t>
  </si>
  <si>
    <t>Based on the satellite altimetry dataset of sea level anomalies, the climatic hydrological database World Ocean Atlas-2009, ocean reanalysis ECMWF ORA-S3, and wind velocity components from NCEP/NCAR reanalysis, the interannual variability of Antarctic Circumpolar Current (ACC) transport in the ocean upper layer is investigated for the period 1959-2008, and estimations of correlative connections between ACC transport and wind velocity components are performed. It has been revealed that the maximum (by absolute value) linear trends of ACC transport over the last 50 years are observed in the date-line region, in the Western and Eastern Atlantic and the western part of the Indian Ocean. The greatest increase in wind velocity for this period for the zonal component is observed in Drake Passage, at Greenwich meridian, in the Indian Ocean near 90A degrees E, and in the date-line region; for the meridional component, it is in the Western and Eastern Pacific, in Drake Passage, and to the south of Africa. It has been shown that the basic energy-carrying frequencies of interannual variability of ACC transport and wind velocity components, as well as their correlative connections, correspond to the periods of basic large-scale modes of atmospheric circulation: multidecadal and interdecadal oscillations, Antarctic Circumpolar Wave, Southern Annual Mode, and Southern Oscillation. A significant influence of the wind field on the interannual variability of ACC transport is observed in the Western Pacific (140A degrees E-160A degrees W) and Eastern Pacific; Drake Passage and Western Atlantic (90A degrees-30A degrees W); in the Eastern Atlantic and Western Indian Ocean (10A degrees-70A degrees E). It has been shown in the Pacific Ocean that the ACC transport responds to changes of the meridional wind more promptly than to changes of the zonal wind.</t>
  </si>
  <si>
    <t>[Artamonov, Ju. V.; Fedirko, A. V.; Skripaleva, E. A.] Inst Marine Hydrophys, Sevastopol, Russia</t>
  </si>
  <si>
    <t>Marine Hydrophysical Institute of RAS</t>
  </si>
  <si>
    <t>Artamonov, JV (corresponding author), Inst Marine Hydrophys, Sevastopol, Russia.</t>
  </si>
  <si>
    <t>artam-ant@yandex.ru</t>
  </si>
  <si>
    <t>Fedirko, Aleksandr/AAC-6629-2020; Skripaleva, Elena/AAC-6648-2020</t>
  </si>
  <si>
    <t>Fedirko, Aleksandr/0000-0002-8399-3743;</t>
  </si>
  <si>
    <t>10.1134/S000143381609005X</t>
  </si>
  <si>
    <t>WOS:000394270700016</t>
  </si>
  <si>
    <t>Zheng, RC; Zhao, YM; Wang, LQ; Chang, XL; Zhang, YM; Da, XY; Peng, F</t>
  </si>
  <si>
    <t>Zheng, Ruichen; Zhao, Yiming; Wang, Liqiu; Chang, Xulu; Zhang, Yumin; Da, Xuyang; Peng, Fang</t>
  </si>
  <si>
    <t>Mucilaginibacter antarcticus sp nov., isolated from tundra soil</t>
  </si>
  <si>
    <t>INTERNATIONAL JOURNAL OF SYSTEMATIC AND EVOLUTIONARY MICROBIOLOGY</t>
  </si>
  <si>
    <t>EMENDED DESCRIPTION; TREES; SEQUENCES; DEFLUVII; FAMILY; WATER; DYE</t>
  </si>
  <si>
    <t>The novel, pale yellow bacterial strain, designated S14-88(T), was isolated from a tundra soil near Antarctic Peninsula, South Shetland Islands, and its taxonomic position was investigated by a genotypic and phenotypic analysis. Cells were facultatively anaerobic, Gram-stain-negative, non -motile and rod-shaped. Growth occurred at 4-28 degrees C (optimum at 15 degrees C), at pH 7.0-8.0 (optimum at 7.0) and with 0-0.6% (w/v) NaCl (optimum, no NaCl). Phylogenetic analysis based on 16S rRNA gene sequences indicated that strain S14-88(T) formed a lineage within the genus Mucilaginibacter. The 16S rRNA gene sequence similarity between strain S14-88(T) and the type strains of related species ranged from 92.2 to 96.5%, and the 16S rRNA gene sequence of S14-88(T) showed highest similarity of 96.5% to Mucilaginibacter soyangensis HME6664(T). The major cellular fatty acids of strain S14-88(T) were iso-C-15:0 and summed feature 3 (C-16:1 omega 7C and/or C-16:1 omega 6c). The major respiratory quinone was menaquinone MK -7, and the main polar lipid was phosphatidylethanolamine. The DNA G+C content of strain S14-88(T) was 42.3 mol%. On the basis of the evidence presented in this study, strain S14-88(T) is considered to represent a novel species of the genus Mucilaginibacter, for which the name Mucilaginibacter antarcticus sp. nov. is proposed. The type strain is S14-88(T) (=CCTCC AB 2015321(T)=KCTC 52232(T)).</t>
  </si>
  <si>
    <t>[Zheng, Ruichen; Zhao, Yiming; Wang, Liqiu; Chang, Xulu; Zhang, Yumin; Da, Xuyang; Peng, Fang] Wuhan Univ, Coll Life Sci, CCTCC, Wuhan 430072, Peoples R China; [Peng, Fang] Hubei Prov Cooperat Innovat Ctr Ind Fermentat, Wuhan 430072, Peoples R China</t>
  </si>
  <si>
    <t>Wuhan University</t>
  </si>
  <si>
    <t>Peng, F (corresponding author), Wuhan Univ, Coll Life Sci, CCTCC, Wuhan 430072, Peoples R China.;Peng, F (corresponding author), Hubei Prov Cooperat Innovat Ctr Ind Fermentat, Wuhan 430072, Peoples R China.</t>
  </si>
  <si>
    <t>fangpeng2@aliyun.com</t>
  </si>
  <si>
    <t>Zhang, Han/JMR-0670-2023; da, xu/KFS-5133-2024; Zhao, Yiming/C-9783-2015; yuan, lin/JDW-7387-2023</t>
  </si>
  <si>
    <t>R&amp;D Infrastructure and Facility Development Program from the Ministry of Science and Technology of the People's Republic of China [NIMR-2016-8]; National Natural Science Foundation of China [31270538]; Chinese Polar Scientific Strategy Research Fund [20150306]; Key Project of Chinese Ministry of Education [113042A]</t>
  </si>
  <si>
    <t>R&amp;D Infrastructure and Facility Development Program from the Ministry of Science and Technology of the People's Republic of China; National Natural Science Foundation of China(National Natural Science Foundation of China (NSFC)); Chinese Polar Scientific Strategy Research Fund; Key Project of Chinese Ministry of Education(Ministry of Education, China)</t>
  </si>
  <si>
    <t>This work was supported by the R&amp;D Infrastructure and Facility Development Program from the Ministry of Science and Technology of the People's Republic of China (No. NIMR-2016-8), the National Natural Science Foundation of China (No. 31270538), Chinese Polar Scientific Strategy Research Fund 20150306 and Key Project of Chinese Ministry of Education (113042A).</t>
  </si>
  <si>
    <t>MICROBIOLOGY SOC</t>
  </si>
  <si>
    <t>CHARLES DARWIN HOUSE, 12 ROGER ST, LONDON WC1N 2JU, ERKS, ENGLAND</t>
  </si>
  <si>
    <t>1466-5026</t>
  </si>
  <si>
    <t>1466-5034</t>
  </si>
  <si>
    <t>INT J SYST EVOL MICR</t>
  </si>
  <si>
    <t>Int. J. Syst. Evol. Microbiol.</t>
  </si>
  <si>
    <t>10.1099/ijsem.0.001486</t>
  </si>
  <si>
    <t>EJ6VM</t>
  </si>
  <si>
    <t>WOS:000393357900039</t>
  </si>
  <si>
    <t>Pikuta, EV; Menes, RJ; Bruce, AM; Lyu, Z; Patel, NB; Liu, Y; Hoover, RB; Busse, HJ; Lawson, PA; Whitman, WB</t>
  </si>
  <si>
    <t>Pikuta, Elena Vladimirovna; Menes, Rodolfo Javier; Bruce, Alisa Michelle; Lyu, Zhe; Patel, Nisha B.; Liu, Yuchen; Hoover, Richard Brice; Busse, Hans-Juergen; Lawson, Paul Alexander; Whitman, William Barney</t>
  </si>
  <si>
    <t>Raineyella antarctica gen. nov., sp nov., a psychrotolerant, D-amino-acid-utilizing anaerobe isolated from two geographic locations of the Southern Hemisphere</t>
  </si>
  <si>
    <t>DEOXYRIBONUCLEIC-ACID; CORYNEFORM BACTERIA; DNA HYBRIDIZATION; LIPID-COMPOSITION; CLASSIFICATION</t>
  </si>
  <si>
    <t>A Gram-stain-positive bacterium, strain LZ-22(T), was isolated from a rhizosphere of moss Leptobryum sp. collected at the shore of Lake Zub in Antarctica. Cells were motile, straight or pleomorphic rods with sizes of 0.6-1.0 x 3.5-10 mu m. The novel isolate was a facultatively anaerobic, catalase-positive, psychrotolerant mesophile. Growth was observed at 3-41 degrees C (optimum 24-28 degrees C), with 0-7% (w/v) NaCI (optimum 0.25 %) and at pH 4.0-9.0 (optimum pH 7.8). The quinone system of strain LZ-22(T) possessed predominately menaquinone MK-9(H-4). The genomic G+C content was 70.2 mol%. Strain 10J was isolated from a biofilm of sediment microbial fuel cell, in Uruguay and had 99% 16S rRNA gene sequence similarity to strain LZ-22(T). DNA DNA-hybridization values of 84% confirmed that both strains belonged to the same species. Both strains grew on sugars, proteinaceous compounds, and some amino- and organic acids. Strain LZ-22(T) uniquely grew on D-enantiomers of histidine and valine while neglecting growth on L-enantiomers. Both strains were sensitive to most of the tested antibiotics but resistant to tested nitrofurans and sulfanilamides. Phylogenetic analyses of the 16S rRNA gene sequences indicated that the strains were related to members of the family Propionibacteriaceae (similar to 93-94% 16S rRNA gene sequence similarity) with formation of a separate branch within the radiation of the genera Granulicoccus and Luteococcus. Based on phenotypic and genotypic characteristics, we propose the affiliation of both strains into a novel species of a new genus. The name Raineyella antarctica gen. nov., sp. nov. is proposed for the novel taxon with the type strain LZ-22(T) (=ATCC TSD-18(T)=DSM 100494(T)=JCM 30886(T)).</t>
  </si>
  <si>
    <t>[Pikuta, Elena Vladimirovna; Hoover, Richard Brice] Athens State Univ, Dept Math Comp &amp; Nat Sci, Athens, AL 35611 USA; [Menes, Rodolfo Javier] UDELAR, Fac Quim, Catedra Microbiol, Montevideo 11800, Uruguay; [Menes, Rodolfo Javier] UDELAR, Fac Ciencias, Montevideo 11800, Uruguay; [Bruce, Alisa Michelle] Univ Alabama, Dept Biol, Huntsville, AL 35899 USA; [Lyu, Zhe; Whitman, William Barney] Univ Georgia, Dept Microbiol, Athens, GA 30602 USA; [Patel, Nisha B.; Lawson, Paul Alexander] Univ Oklahoma, Dept Microbiol &amp; Plant Biol, Norman, OK 73019 USA; [Liu, Yuchen] Louisiana State Univ, Dept Biol Sci, Baton Rouge, LA 70803 USA; [Busse, Hans-Juergen] Vet Med Univ Wien, Inst Mikrobiol, A-1210 Vienna, Austria; [Bruce, Alisa Michelle] Univ West Florida, Clin Lab Sci Dept, Pensacola, FL 32514 USA</t>
  </si>
  <si>
    <t>Athens State University; Universidad de la Republica, Uruguay; Universidad de la Republica, Uruguay; University of Alabama System; University of Alabama Huntsville; University System of Georgia; University of Georgia; University of Oklahoma System; University of Oklahoma - Norman; Louisiana State University System; Louisiana State University; University of Veterinary Medicine Vienna; State University System of Florida; University of West Florida</t>
  </si>
  <si>
    <t>Pikuta, EV (corresponding author), Athens State Univ, Dept Math Comp &amp; Nat Sci, Athens, AL 35611 USA.</t>
  </si>
  <si>
    <t>epikuta@my.athens.edu</t>
  </si>
  <si>
    <t>Liu, Yuchen/E-3034-2017; Whitman, William/AAC-5896-2020; Lyu, Zhe/H-8273-2019</t>
  </si>
  <si>
    <t>Lyu, Zhe/0000-0003-0184-6609; Whitman, William/0000-0003-1229-0423; Menes, Rodolfo/0000-0001-8968-6149; Liu, Yuchen/0000-0003-0842-5882</t>
  </si>
  <si>
    <t>Tawani Foundation; Office of Science of the US Department of Energy [DE-AC02-05CH11231]</t>
  </si>
  <si>
    <t>Tawani Foundation; Office of Science of the US Department of Energy(United States Department of Energy (DOE))</t>
  </si>
  <si>
    <t>We express gratitude to Col. James Pritzker and The Tawani Foundation, which provided a primary funding for the 2008 Tawani International Schirmacher Oasis/Lake Untersee, Antarctica Expeditions, and we also thank National Aeronautics and Space Administration (NASA) and the National Science Foundation (NSF). We express special gratitude to Dr Valerie Lukin of the Arctic and Antarctic Research Institute/Russian Antarctic Expedition (AARI/RAE) of the Russian Federation, Mirella Kruger of Antarctic Logistics Centre International (ALCI), the team from the United States, Russia and Austria for scientific and engineering assistance, equipment and logistic support during expeditions. We also thank the Russian support team at Novolazarevsky Station, Antarctica for their kind hospitality and assistance. We thank Prof. Larry Shimkets (Bio Science, UGA) for his help with photography of our new isolate, Ying Xiao, MD (LSU) for assistance with TEM photomicrographs, and Dr Sara Cline (Athens State University) for assistance with UV spectrophotometry. We also acknowledge the generous assistance of Nikos C. Kyrpides, Tanja Woyke, Nicole Shapiro, and the other members of the JGI microbial genome sequencing team. The work conducted by the US Department of Energy Joint Genome Institute, a DOE Office of Science User Facility, is supported by the Office of Science of the US Department of Energy under Contract No. DE-AC02-05CH11231.</t>
  </si>
  <si>
    <t>14-16 MEREDITH ST, LONDON, ENGLAND</t>
  </si>
  <si>
    <t>10.1099/ijsem.0.001552</t>
  </si>
  <si>
    <t>WOS:000393357900096</t>
  </si>
  <si>
    <t>IceCube and the discovery of high-energy cosmic neutrinos</t>
  </si>
  <si>
    <t>INTERNATIONAL JOURNAL OF MODERN PHYSICS D</t>
  </si>
  <si>
    <t>IceCube; neutrino; Antarctica</t>
  </si>
  <si>
    <t>GAMMA-RAY BURSTS; ATMOSPHERIC NEUTRINOS; TEV; GALAXIES; ASTRONOMY; SPECTRUM; EMISSION; CLUSTERS; FLUX; PHYSICS</t>
  </si>
  <si>
    <t>By transforming a cubic kilometer of natural Antarctic ice into a neutrino detector, the IceCube project created the opportunity to observe cosmic neutrinos. We describe the experiment and the complementary methods presently used to study the flux of the recently discovered cosmic neutrinos. In one method, events are selected in which neutrinos interacted inside the instrumented volume of the detector, yielding a sample of events dominated by neutrinos of electron and tau flavor. Alternatively, another method detects secondary muons produced by neutrinos selected for having traveled through the Earth to reach the detector, providing a pure sample of muon neutrinos. We will summarize the results obtained with the enlarged data set collected since the initial discovery and appraise the current status of high-energy neutrino astronomy. The large extragalactic neutrino flux observed points to a nonthermal universe with comparable energy in neutrinos, gamma rays and cosmic rays. Continued observations may be closing in on the source candidates. In this context, we highlight the potential of multimessenger analyses as well as the compelling case for constructing a next-generation detector larger in volume by one order of magnitude.</t>
  </si>
  <si>
    <t>[Halzen, Francis] Univ Wisconsin, Dept Phys, 1150 Univ Ave, Madison, WI 53706 USA</t>
  </si>
  <si>
    <t>Halzen, F (corresponding author), Univ Wisconsin, Dept Phys, 1150 Univ Ave, Madison, WI 53706 USA.</t>
  </si>
  <si>
    <t>halzen@icecube.wisc.edu</t>
  </si>
  <si>
    <t>Discussion with collaborators inside and outside the IceCube Collaboration, too many to be listed, have greatly shaped this presentation. Thanks. This research was supported in part by the U.S. National Science Foundation under Grants Nos. ANT-0937462 and PHY-1306958 and by the University of Wisconsin Research Committee with funds granted by the Wisconsin Alumni Research Foundation.</t>
  </si>
  <si>
    <t>5 TOH TUCK LINK, SINGAPORE 596224, SINGAPORE</t>
  </si>
  <si>
    <t>0218-2718</t>
  </si>
  <si>
    <t>1793-6594</t>
  </si>
  <si>
    <t>INT J MOD PHYS D</t>
  </si>
  <si>
    <t>Int. J. Mod. Phys. D</t>
  </si>
  <si>
    <t>10.1142/S0218271816300287</t>
  </si>
  <si>
    <t>EJ6IS</t>
  </si>
  <si>
    <t>WOS:000393323300005</t>
  </si>
  <si>
    <t>Roden, NP; Tilbrook, B; Trull, TW; Virtue, P; Williams, GD</t>
  </si>
  <si>
    <t>Roden, Nicholas P.; Tilbrook, Bronte; Trull, Thomas W.; Virtue, Patti; Williams, Guy D.</t>
  </si>
  <si>
    <t>Carbon cycling dynamics in the seasonal sea-ice zone of East Antarctica</t>
  </si>
  <si>
    <t>NET COMMUNITY PRODUCTION; INDIAN-OCEAN SECTOR; ANTHROPOGENIC CO2 CONCENTRATIONS; DISSOLVED INORGANIC CARBON; SOUTHERN-OCEAN; DISSOCIATION-CONSTANTS; BIOLOGICAL PRODUCTION; ATMOSPHERIC CO2; AUSTRAL SUMMER; SURFACE-WATER</t>
  </si>
  <si>
    <t>The carbon cycle of the seasonally ice covered region of the southwest Indian Ocean sector of East Antarctica (30 degrees-80 degrees E, 60 degrees-69 degrees S) was investigated during austral summer (January-March 2006). Large variability in the drivers and timing of carbon cycling dynamics were observed and indicated that the study site was a weak net source of carbon dioxide (CO2) to the atmosphere of 0.8 +/- 1.6 g C m(-2) during the ice-free period, with narrow bands of CO2 uptake observed near the continental margin and north of the Southern Antarctic Circumpolar Current Front. Continuous surface measurements of dissolved oxygen and the fugacity of CO2 were combined with net community production estimates from oxygen/argon ratios to show that surface heat gain and photosynthesis were responsible for the majority of observed surface water variability. On seasonal timescales, winter sea-ice cover reduced the flux of CO2 to the atmosphere in the study area, followed by biologically driven drawdown of CO2 as the ice retreated in spring-summer highlighting the important role that sea-ice formation and retreat has on the biogeochemical cycling of the region.</t>
  </si>
  <si>
    <t>[Roden, Nicholas P.; Virtue, Patti; Williams, Guy D.] Univ Tasmania, Inst Marine &amp; Antarctic Studies, Hobart, Tas, Australia; [Roden, Nicholas P.; Tilbrook, Bronte; Trull, Thomas W.] CSIRO Oceans &amp; Atmosphere, Hobart, Tas, Australia; [Roden, Nicholas P.; Tilbrook, Bronte; Trull, Thomas W.; Virtue, Patti; Williams, Guy D.] Univ Tasmania, Antarctic Climate &amp; Ecosyst Cooperat Res Ctr, Hobart, Tas, Australia</t>
  </si>
  <si>
    <t>University of Tasmania; Commonwealth Scientific &amp; Industrial Research Organisation (CSIRO); Antarctic Climate &amp; Ecosystems Cooperative Research Centre (ACE CRC); University of Tasmania</t>
  </si>
  <si>
    <t>Roden, NP (corresponding author), Univ Tasmania, Inst Marine &amp; Antarctic Studies, Hobart, Tas, Australia.;Roden, NP (corresponding author), CSIRO Oceans &amp; Atmosphere, Hobart, Tas, Australia.;Roden, NP (corresponding author), Univ Tasmania, Antarctic Climate &amp; Ecosyst Cooperat Res Ctr, Hobart, Tas, Australia.</t>
  </si>
  <si>
    <t>nick.roden@utas.edu.au</t>
  </si>
  <si>
    <t>Roden, Nicholas/M-3801-2016; Tilbrook, Bronte/W-4007-2019; Roden, Nick/T-1206-2019</t>
  </si>
  <si>
    <t>Roden, Nicholas/0000-0001-5623-0284; Tilbrook, Bronte/0000-0001-9385-3827; Williams, Guy/0000-0002-3975-2977</t>
  </si>
  <si>
    <t>Australian Postgraduate Award; CSIRO Oceans and Atmosphere scholarship; Antarctic Climate and Ecosystem Cooperative Research Centre; Australian Climate Change Research Program; Australian Scientific Assessment Committee [1302]</t>
  </si>
  <si>
    <t>Australian Postgraduate Award(Australian Government); CSIRO Oceans and Atmosphere scholarship; Antarctic Climate and Ecosystem Cooperative Research Centre; Australian Climate Change Research Program; Australian Scientific Assessment Committee</t>
  </si>
  <si>
    <t>NR was supported by an Australian Postgraduate Award and a CSIRO Oceans and Atmosphere scholarship. The collection and analyses of samples for this paper were supported by the Antarctic Climate and Ecosystem Cooperative Research Centre, the Australian Climate Change Research Program, and the Australian Scientific Assessment Committee Project 1302, awarded to B.T. The authors would like to thank Kristina Paterson, Ty Hibberd, Mark Pretty, and Kate Berry for carbon sampling and analysis as well as the officers and crew aboard the RV Aurora Australis for their professionalism and efforts. Professors Michael Bender and Nicolas Cassar, who helped establish O2/Ar measurements on the ship, provided O2/Ar ratio measurements on discrete samples used to calibrate the MIMS. The authors would also like to thank Doctor Elizabeth Jones and one anonymous reviewer for their thoughtful comments. Data availability: Underway carbon data are available from the Surface Ocean CO2 Atlas at http://www.socat.info. CTD data are available from the Australian Antarctic Data Centre at http://data.aad.gov.au/aadc/metadata/metadata_redirect.cfm?md=/AMD/AU/BROKE-West_CTD_au0603. Data from the Princess Elizabeth Trough and WOCE SR3 transect available from the GLODAPv2 database at: http://cdiac.ornl.gov/oceans/GLODAPv2. MODIS-Aqua data obtained from the NASA Goddard Space Flight Center, Ocean Ecology Laboratory, Ocean Processing Group http://oceandata.sci.gsfc.nasa.gov/MODIS-Aqua/Mapped/Monthly/9km. NCEP-DOE Reanalysis 2 data provided by the NOAA/OAR/ESRL PSD available from: http://www.esrl.noaa.gov/psd/data/gridded/data.ncep.reanalysis2.html.</t>
  </si>
  <si>
    <t>10.1002/2016JC012008</t>
  </si>
  <si>
    <t>EJ3VN</t>
  </si>
  <si>
    <t>Bronze, Green Accepted, Green Published</t>
  </si>
  <si>
    <t>WOS:000393140400019</t>
  </si>
  <si>
    <t>Mangeard, PS; Ruffolo, D; Sáiz, A; Nuntiyakul, W; Bieber, JW; Clem, J; Evenson, P; Pyle, R; Duldig, ML; Humble, JE</t>
  </si>
  <si>
    <t>Mangeard, P. -S.; Ruffolo, D.; Saiz, A.; Nuntiyakul, W.; Bieber, J. W.; Clem, J.; Evenson, P.; Pyle, R.; Duldig, M. L.; Humble, J. E.</t>
  </si>
  <si>
    <t>Dependence of the neutronmonitor count rate and time delay distribution on the rigidity spectrum of primary cosmic rays</t>
  </si>
  <si>
    <t>SOLAR MODULATION; YIELD FUNCTION; SIMULATION; PAMELA; HELIUM; ENERGY; PROTON; CODE; FLUX</t>
  </si>
  <si>
    <t>Neutron monitors are the premier instruments for precisely tracking time variations in the Galactic cosmic ray flux at GeV-range energies above the geomagnetic cutoff at the location of measurement. Recently, a new capability has been developed to record and analyze the neutron time delay distribution (related to neutron multiplicity) to infer variations in the cosmic ray spectrum as well. In particular, from time delay histograms we can determine the leader fraction L, defined as the fraction of neutrons that did not follow a previous neutron detection in the same tube from the same atmospheric secondary particle. Using data taken during 2000-2007 by a shipborne neutron monitor latitude survey, we observe a strong dependence of the count rate and L on the geomagnetic cutoff. We have modeled this dependence using Monte Carlo simulations of cosmic ray interactions in the atmosphere and in the neutron monitor. We present new yield functions for the count rate of a neutron monitor at sea level. The simulation results show a variation of L with geomagnetic cutoff as observed by the latitude survey, confirming that these changes in L can be attributed to changes in the cosmic ray spectrum arriving at Earth's atmosphere. We also observe a variation in L with time at a fixed cutoff, which reflects the evolution of the cosmic ray spectrum with the sunspot cycle, known as solar modulation.</t>
  </si>
  <si>
    <t>[Mangeard, P. -S.; Ruffolo, D.; Saiz, A.; Nuntiyakul, W.] Mahidol Univ, Dept Phys, Fac Sci, Bangkok, Thailand; [Mangeard, P. -S.] Natl Astron Res Inst Thailand, Chiang Mai, Thailand; [Mangeard, P. -S.; Bieber, J. W.; Clem, J.; Evenson, P.; Pyle, R.] Univ Delaware, Bartol Res Inst, Newark, DC USA; [Mangeard, P. -S.; Bieber, J. W.; Clem, J.; Evenson, P.; Pyle, R.] Univ Delaware, Dept Phys &amp; Astron, Newark, DC USA; [Nuntiyakul, W.] Chandrakasem Rajabhat Univ, Fac Sci, Bangkok, Thailand; [Duldig, M. L.; Humble, J. E.] Univ Tasmania, Sch Phys Sci, Hobart, Tas, Australia</t>
  </si>
  <si>
    <t>Mahidol University; University of Delaware; University of Delaware; Chandrakasem Rajabhat University; University of Tasmania</t>
  </si>
  <si>
    <t>Ruffolo, D (corresponding author), Mahidol Univ, Dept Phys, Fac Sci, Bangkok, Thailand.</t>
  </si>
  <si>
    <t>david.ruf@mahidol.ac.th</t>
  </si>
  <si>
    <t>Sáiz, Alejandro/F-7367-2010</t>
  </si>
  <si>
    <t>Sáiz, Alejandro/0000-0001-7771-4341; Nuntiyakul, Waraporn/0000-0002-1664-5845; Evenson, Paul/0000-0001-7929-810X; Duldig, Marcus/0000-0001-7463-8267; Ruffolo, David/0000-0003-3414-9666; Mangeard, Pierre-Simon/0000-0003-4865-6968</t>
  </si>
  <si>
    <t>Mahidol University; Thailand Research Fund award [RTA5980003]; United States National Science Foundation awards [PLR-1245939, PLR-1341562]; Australian Antarctic Division; Office of Polar Programs (OPP); Directorate For Geosciences [1245939, 1341562] Funding Source: National Science Foundation</t>
  </si>
  <si>
    <t>Mahidol University; Thailand Research Fund award; United States National Science Foundation awards; Australian Antarctic Division; Office of Polar Programs (OPP); Directorate For Geosciences(National Science Foundation (NSF)NSF - Directorate for Geosciences (GEO))</t>
  </si>
  <si>
    <t>This work was partially supported by the postdoctoral research sponsorship of Mahidol University; the Thailand Research Fund award RTA5980003; the United States National Science Foundation awards PLR-1245939, PLR-1341562, and their predecessors; and the Australian Antarctic Division. We thank the officers and crew of the USCG icebreakers Polar Star and Polar Sea for their assistance in conducting the surveys. We also thank Leonard Shulman, James Roth, and Keith Bolton for their technical assistance in preparing and maintaining the TasVan and enclosed mobile monitor; Suttiwat Madlee for visualization assistance; and Andrew Snodin for setting up and maintaining the computing cluster on which our simulations were performed. The data displayed in the figures are available upon request to the corresponding author.</t>
  </si>
  <si>
    <t>10.1002/2016JA023515</t>
  </si>
  <si>
    <t>EJ4JQ</t>
  </si>
  <si>
    <t>WOS:000393183300003</t>
  </si>
  <si>
    <t>Xue, X; Adhikari, BN; Perkes, A; Martin, M; Wall, DH; Adams, BJ</t>
  </si>
  <si>
    <t>Xue, X.; Adhikari, B. N.; Perkes, A.; Martin, M.; Wall, D. H.; Adams, B. J.</t>
  </si>
  <si>
    <t>LIFE HISTORY EVOLUTION OF AN ANTARCTIC NEMATODE: ELEMENTAL STOICHIOMETRY AND THE GROWTH RATE HYPOTHESIS</t>
  </si>
  <si>
    <t>JOURNAL OF NEMATOLOGY</t>
  </si>
  <si>
    <t>[Xue, X.; Perkes, A.; Martin, M.; Adams, B. J.] Brigham Young Univ, Dept Biol, Provo, UT 84602 USA; [Xue, X.; Perkes, A.; Martin, M.; Adams, B. J.] Brigham Young Univ, Evolutionary Ecol Labs, Provo, UT 84602 USA; [Adhikari, B. N.] ARS, USDA, Tucson, AZ USA; [Wall, D. H.] Colorado State Univ, Dept Biol, Ft Collins, CO 80523 USA; [Wall, D. H.] Colorado State Univ, Nat Resource Ecol Lab, Ft Collins, CO 80523 USA; [Perkes, A.] Univ Penn, Dept Biol, Philadelphia, PA 19104 USA; [Martin, M.] Midwestern Univ, Arizona Coll Osteopath Med, Glendale, AZ USA</t>
  </si>
  <si>
    <t>Brigham Young University; Brigham Young University; United States Department of Agriculture (USDA); Colorado State University; Colorado State University; University of Pennsylvania; Midwestern University</t>
  </si>
  <si>
    <t>Perkes, Ammon/ITU-0205-2023; Wall, Diana H/F-5491-2011; Adams, Byron J/C-3808-2009; Perkes, Ammon/JNS-5923-2023</t>
  </si>
  <si>
    <t>Perkes, Ammon/0000-0001-8932-8309;</t>
  </si>
  <si>
    <t>SOC NEMATOLOGISTS</t>
  </si>
  <si>
    <t>MARCELINE</t>
  </si>
  <si>
    <t>PO BOX 311, MARCELINE, MO 64658 USA</t>
  </si>
  <si>
    <t>0022-300X</t>
  </si>
  <si>
    <t>J NEMATOL</t>
  </si>
  <si>
    <t>J. Nematol.</t>
  </si>
  <si>
    <t>EJ1FL</t>
  </si>
  <si>
    <t>WOS:000392955800235</t>
  </si>
  <si>
    <t>Rea, DK; Moore, TC; Hassold, N; van der Pluijm, B</t>
  </si>
  <si>
    <t>Rea, David K.; Moore, Theodore C.; Hassold, Noralynn; van der Pluijm, Ben</t>
  </si>
  <si>
    <t>Do magnetic fabrics of marine deposits preserve orbital forcing? A test case in the Southern Ocean, Antarctic Peninsula</t>
  </si>
  <si>
    <t>LITHOSPHERE</t>
  </si>
  <si>
    <t>MAJOR GLACIATION CYCLES; DEEP-SEA SEDIMENTS; INSOLATION QUANTITIES; PACIFIC MARGIN; LATE MIOCENE; GRAIN-SIZE; PLEISTOCENE; DRIFT; VARIABILITY; ECCENTRICITY</t>
  </si>
  <si>
    <t>The anisotropy of magnetic susceptibility (AMS), or magnetic fabric, of marine sediments is related to depositional current strength; higher AMS values indicate stronger currents. We have collected a 3.1 m.y. record of AMS data from the abyssal silts of Drift 4 (Ocean Drilling Program Site 1101) on the Pacific margin of the Antarctic Peninsula. Spectral analyses of these data show strong, uniform, 100 k.y. and 400 k.y. power in-phase with minima in Earth's eccentricity throughout the long record. However, significant variability related to the 40 k.y. period of obliquity is absent. The unchanging strong 100 k.y. power and the apparent absence of 40 k.y. variability in the AMS record are in contrast to the behavior of most other paleoclimatic proxies for late Pliocene and Pleistocene time.</t>
  </si>
  <si>
    <t>[Rea, David K.; Moore, Theodore C.; Hassold, Noralynn; van der Pluijm, Ben] Univ Michigan, Dept Earth &amp; Environm Sci, 2534 CC Little Bldg,1100 North Univ Ave, Ann Arbor, MI 48109 USA</t>
  </si>
  <si>
    <t>University of Michigan System; University of Michigan</t>
  </si>
  <si>
    <t>van der Pluijm, B (corresponding author), Univ Michigan, Dept Earth &amp; Environm Sci, 2534 CC Little Bldg,1100 North Univ Ave, Ann Arbor, MI 48109 USA.</t>
  </si>
  <si>
    <t>vdpluijm@umich.edu</t>
  </si>
  <si>
    <t>van der Pluijm, Ben A/A-8985-2008; van der Pluijm, Ben/M-3155-2019</t>
  </si>
  <si>
    <t>van der Pluijm, Ben/0000-0001-7737-2791</t>
  </si>
  <si>
    <t>National Science Foundation Office of Polar Programs and Division of Earth Sciences</t>
  </si>
  <si>
    <t>Research was supported by the National Science Foundation Office of Polar Programs and Division of Earth Sciences, using samples and data collected through the Ocean Drilling Program (ODP). Samples from ODP Site 1101 were provided by the Bremen Core Repository, Germany; we thank Walter Hale and his staff for help with sampling. We also thank Chris Poulsen for discussions and sharing ideas at an early stage of this study, and two anonymous reviewers for thoughtful comments that helped clarify and strengthen the paper.</t>
  </si>
  <si>
    <t>1941-8264</t>
  </si>
  <si>
    <t>1947-4253</t>
  </si>
  <si>
    <t>LITHOSPHERE-US</t>
  </si>
  <si>
    <t>Lithosphere</t>
  </si>
  <si>
    <t>10.1130/L566.1</t>
  </si>
  <si>
    <t>EJ2RP</t>
  </si>
  <si>
    <t>WOS:000393059000011</t>
  </si>
  <si>
    <t>Brückner, A; Wehner, K; Neis, M; Heethoff, M</t>
  </si>
  <si>
    <t>Brueckner, Adrian; Wehner, Katja; Neis, Maximilian; Heethoff, Michael</t>
  </si>
  <si>
    <t>Attack and defense in a gamasid-oribatid mite predator-prey experiment - sclerotization outperforms chemical repellency</t>
  </si>
  <si>
    <t>ACAROLOGIA</t>
  </si>
  <si>
    <t>Defensive mechanisms; Oribatida; Mesostigmata; soil food webs; attack type; chemical ecology</t>
  </si>
  <si>
    <t>ARCHEGOZETES-LONGISETOSUS ACARI; ENEMY-FREE-SPACE; COLEOPTERA STAPHYLINIDAE SCYDMAENINAE; HYPOASPIS-ACULEIFER; BODY-SIZE; FOOD WEBS; ECOLOGICAL COMMUNITIES; BIOLOGICAL-CONTROL; HUNTING BEHAVIOR; ANTARCTIC MITE</t>
  </si>
  <si>
    <t>Oribatid mites represent a diverse group of soil micro-arthropods. They have evolved a broad range of defensive chemical and morphological traits (e.g. sclerotization, ptychoidy, biomineralization). Chemical defense, rather than sclerotization, can provide protection against large predators (staphylinid beetles) and many oribatid mite species are also well protected against gamasid soil mites using morphological traits (enemy-free-space hypothesis). However, since predatory mites and staphylinid beetles have different types of attacking and feeding, the adaptive values of chemical and morphological traits might differ accordingly. We used the oribatid model species Archegozetes longisetosus Aoki and the common gamasid mite Stratiolaelaps miles Berlese in a predator-prey experiment. We tested for effects of chemical defense (treatments with and without oil gland secretions) and sclerotization (treatments with unsclerotized tritonymphs and sclerotized adults) in an orthogonal design. In contrast to attacks by large predators, chemical defense was mostly ineffective against gamasid mites. Sclerotization, however, had a positive effect. Hence, in a natural environment with diverse types of predators, the enemy-free space seems only realizable by combinations of chemical and morphological protective traits.</t>
  </si>
  <si>
    <t>[Brueckner, Adrian; Wehner, Katja; Neis, Maximilian; Heethoff, Michael] Tech Univ Darmstadt, Dept Biol, Ecol Networks, Schnittspahnstr 3, D-64287 Darmstadt, Germany</t>
  </si>
  <si>
    <t>Technical University of Darmstadt</t>
  </si>
  <si>
    <t>adrian.brueckner@gmail.com; kdwehner@gmx.de; maxi_neis@web.de; heethoff@bio.tu-darmstadt.de</t>
  </si>
  <si>
    <t>German National Academic Foundation (Studienstiftung des deutschen Volkes)</t>
  </si>
  <si>
    <t>We acknowledge the technical assistance of Nando Schmidt and Benjamin Uhl. Furthermore, we are grateful to Sebastian Schmelzle for commenting on the manuscript. AKB was supported by the German National Academic Foundation (Studienstiftung des deutschen Volkes).</t>
  </si>
  <si>
    <t>ACAROLOGIA-UNIVERSITE PAUL VALERY</t>
  </si>
  <si>
    <t>MONTPELLIER</t>
  </si>
  <si>
    <t>SERVICES PUBLICATIONS, 17 REU ABBE DE L EPEE, 34090 MONTPELLIER, FRANCE</t>
  </si>
  <si>
    <t>0044-586X</t>
  </si>
  <si>
    <t>2107-7207</t>
  </si>
  <si>
    <t>Acarologia</t>
  </si>
  <si>
    <t>10.1051/acarologia/20164135</t>
  </si>
  <si>
    <t>EI6JW</t>
  </si>
  <si>
    <t>WOS:000392602700002</t>
  </si>
  <si>
    <t>Scharf, HR; Hooten, MB; Fosdick, BK; Johnson, DS; London, JM; Durban, JW</t>
  </si>
  <si>
    <t>Scharf, Henry R.; Hooten, Mevin B.; Fosdick, Bailey K.; Johnson, Devin S.; London, Josh M.; Durban, John W.</t>
  </si>
  <si>
    <t>DYNAMIC SOCIAL NETWORKS BASED ON MOVEMENT</t>
  </si>
  <si>
    <t>ANNALS OF APPLIED STATISTICS</t>
  </si>
  <si>
    <t>Dynamic social network; animal movement; Orcinus orca; hidden Markov model; Gaussian Markov random field</t>
  </si>
  <si>
    <t>KILLER WHALES; ANIMAL MOVEMENT; SPACE MODELS; PATTERNS</t>
  </si>
  <si>
    <t>Network modeling techniques provide a means for quantifying social structure in populations of individuals. Data used to define social connectivity are often expensive to collect and based on case-specific, ad hoc criteria. Moreover, in applications involving animal social networks, collection of these data is often opportunistic and can be invasive. Frequently, the social network of interest for a given population is closely related to the way individuals move. Thus, telemetry data, which are minimally invasive and relatively inexpensive to collect, present an alternative source of information. We develop a framework for using telemetry data to infer social relationships among animals. To achieve this, we propose a Bayesian hierarchical model with an underlying dynamic social network controlling movement of individuals via two mechanisms: an attractive effect and an aligning effect. We demonstrate the model and its ability to accurately identify complex social behavior in simulation, and apply our model to telemetry data arising from killer whales. Using auxiliary information about the study population, we investigate model validity and find the inferred dynamic social network is consistent with killer whale ecology and expert knowledge.</t>
  </si>
  <si>
    <t>[Scharf, Henry R.; Hooten, Mevin B.; Fosdick, Bailey K.] Colorado State Univ, Dept Stat, Ft Collins, CO 80523 USA; [Hooten, Mevin B.] US Geol Survey, Dept Fish Wildlife &amp; Conservat Biol, Colorado Cooperat Fish &amp; Wildlife res UNIT, 201 JVK WAGAR BLDG, Ft Collins, CO 80523 USA; [Johnson, Devin S.; London, Josh M.] Natl Marine Fisheries Serv, ALASKA FISHERIES Sci Ctr, 7600 SAND POINT WAY NE, Seattle, WA 98115 USA; [Durban, John W.] Natl Marine Fisheries Serv, Natl Oceanic &amp; atmospher Adm, Southwest Fisheries Sci Ctr, 8901 La Jolla Shores Dr, La Jolla, CA 92037 USA</t>
  </si>
  <si>
    <t>Colorado State University; United States Department of the Interior; United States Geological Survey; National Oceanic Atmospheric Admin (NOAA) - USA; National Oceanic Atmospheric Admin (NOAA) - USA</t>
  </si>
  <si>
    <t>Scharf, HR (corresponding author), Colorado State Univ, Dept Stat, Ft Collins, CO 80523 USA.</t>
  </si>
  <si>
    <t>henry.scharf@colostate.edu; mevin.hooten@colostate.edu; bailey.fosdick@colostate.edu</t>
  </si>
  <si>
    <t>Scharf, Henry/AAC-4453-2019</t>
  </si>
  <si>
    <t>Scharf, Henry/0000-0002-9266-4191; Fosdick, Bailey/0000-0003-3736-2219; London, Josh/0000-0002-3647-5046</t>
  </si>
  <si>
    <t>Lindblad Expeditions; National Geographic Society; NSF rapid grant; Direct For Social, Behav &amp; Economic Scie; Divn Of Social and Economic Sciences [1461495] Funding Source: National Science Foundation</t>
  </si>
  <si>
    <t>Lindblad Expeditions; National Geographic Society(National Geographic Society); NSF rapid grant; Direct For Social, Behav &amp; Economic Scie; Divn Of Social and Economic Sciences(National Science Foundation (NSF)NSF - Directorate for Social, Behavioral &amp; Economic Sciences (SBE))</t>
  </si>
  <si>
    <t>Killer whale tagging was conducted under permit #14097 from the National Marine Fisheries Service and Antarctic Conservation Act permit #2009-013. Shipboard tagging operations were supported by Lindblad Expeditions and the National Geographic Society, and by an NSF rapid grant to Ari Friedlaender. Robert Pitman helped with tag deployments and identification of killer whale types in the field.</t>
  </si>
  <si>
    <t>INST MATHEMATICAL STATISTICS</t>
  </si>
  <si>
    <t>CLEVELAND</t>
  </si>
  <si>
    <t>3163 SOMERSET DR, CLEVELAND, OH 44122 USA</t>
  </si>
  <si>
    <t>1932-6157</t>
  </si>
  <si>
    <t>ANN APPL STAT</t>
  </si>
  <si>
    <t>Ann. Appl. Stat.</t>
  </si>
  <si>
    <t>10.1214/16-AOAS970</t>
  </si>
  <si>
    <t>Statistics &amp; Probability</t>
  </si>
  <si>
    <t>Mathematics</t>
  </si>
  <si>
    <t>EI9HR</t>
  </si>
  <si>
    <t>WOS:000392819100022</t>
  </si>
  <si>
    <t>Chang, W; Haran, M; Applegate, P; Pollard, D</t>
  </si>
  <si>
    <t>Chang, Won; Haran, Murali; Applegate, Patrick; Pollard, David</t>
  </si>
  <si>
    <t>IMPROVING ICE SHEET MODEL CALIBRATION USING PALEOCLIMATE AND MODERN DATA</t>
  </si>
  <si>
    <t>Paleoclimate; West Antarctic Ice Sheet; computer model calibration; Gaussian process; dimension reduction</t>
  </si>
  <si>
    <t>FUTURE SEA-LEVEL; COLLAPSE; DEGLACIATION; SIMULATIONS; PROJECTIONS</t>
  </si>
  <si>
    <t>Human-induced climate change may cause significant ice volume loss from the West Antarctic Ice Sheet (WAIS). Projections of ice volume change from ice sheet models and corresponding future sea-level rise have large uncertainties due to poorly constrained input parameters. In most future applications to date, model calibration has utilized only modern or recent (decadal) observations, leaving input parameters that control the long-term behavior of WAIS largely unconstrained. Many paleo-observations are in the form of localized time series, while modern observations are non-Gaussian spatial data; combining information across these types poses nontrivial statistical challenges. Here we introduce a computationally efficient calibration approach that utilizes both modern and paleo-observations to generate better constrained ice volume projections. Using fast emulators built upon principal component analysis and a reduced dimension calibration model, we can efficiently handle high-dimensional and non-Gaussian data. We apply our calibration approach to the PSU3D-ICE model which can realistically simulate long-term behavior of WAIS. Our results show that using paleo-observations in calibration significantly reduces parametric uncertainty, resulting in sharper projections about the future state of WAIS. One benefit of using paleo-observations is found to be that unrealistic simulations with overshoots in past ice retreat and projected future regrowth are eliminated.</t>
  </si>
  <si>
    <t>[Chang, Won] Univ Cincinnati, Dept Math Sci, Cincinnati, OH 45221 USA; [Haran, Murali] Penn State Univ, Dept Stat, University Pk, PA 16802 USA; [Applegate, Patrick; Pollard, David] Penn State Univ, Earth &amp; Environm Syst Inst, University Pk, PA 16802 USA</t>
  </si>
  <si>
    <t>University System of Ohio; University of Cincinnati;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</si>
  <si>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Chang, W (corresponding author), Univ Cincinnati, Dept Math Sci, Cincinnati, OH 45221 USA.</t>
  </si>
  <si>
    <t>won.chang@uc.edu; mharan@stat.psu.edu; patrick.applegate@psu.edu; pollard@essc.psu.edu</t>
  </si>
  <si>
    <t>Chang, Won/I-5908-2019</t>
  </si>
  <si>
    <t>Chang, Won/0000-0003-3556-1249</t>
  </si>
  <si>
    <t>NSF through Network for Sustainable Climate Risk Management under NSF [GEO1240507]; NSF Statistical Methods in the Atmospheric Sciences Network [1106862, 1106974, 1107046]; NSF [NSF-DMS-1418090, NSF/OCE/FESD 1202632, NSF/OPP/ANT 1341394]; Directorate For Geosciences [1240507] Funding Source: National Science Foundation; Division Of Mathematical Sciences; Direct For Mathematical &amp; Physical Scien [1418090, 1106974, 1107046, 1106862] Funding Source: National Science Foundation</t>
  </si>
  <si>
    <t>NSF through Network for Sustainable Climate Risk Management under NSF; NSF Statistical Methods in the Atmospheric Sciences Network; NSF(National Science Foundation (NSF)); Directorate For Geosciences(National Science Foundation (NSF)NSF - Directorate for Geosciences (GEO)); Division Of Mathematical Sciences; Direct For Mathematical &amp; Physical Scien(National Science Foundation (NSF)NSF - Directorate for Mathematical &amp; Physical Sciences (MPS))</t>
  </si>
  <si>
    <t>Supported in part by the NSF through Network for Sustainable Climate Risk Management under NSF cooperative agreement GEO1240507.; Supported in part by the NSF Statistical Methods in the Atmospheric Sciences Network (Award Nos. 1106862, 1106974 and 1107046).; Supported in part by the NSF through NSF-DMS-1418090.; Supported in part by the NSF through NSF/OCE/FESD 1202632 and NSF/OPP/ANT 1341394.</t>
  </si>
  <si>
    <t>10.1214/16-AOAS979</t>
  </si>
  <si>
    <t>WOS:000392819100026</t>
  </si>
  <si>
    <t>Schiaffino, MR; Lara, E; Fernández, LD; Balagué, V; Singer, D; Seppey, CCW; Massana, R; Izaguirre, I</t>
  </si>
  <si>
    <t>Romina Schiaffino, M.; Lara, Enrique; Fernandez, Leonardo D.; Balague, Vanessa; Singer, David; Seppey, Christophe C. W.; Massana, Ramon; Izaguirre, Irina</t>
  </si>
  <si>
    <t>Microbial eukaryote communities exhibit robust biogeographical patterns along a gradient of Patagonian and Antarctic lakes</t>
  </si>
  <si>
    <t>ENVIRONMENTAL MICROBIOLOGY</t>
  </si>
  <si>
    <t>FRESH-WATER ECOSYSTEMS; LATITUDINAL GRADIENT; SPECIES-DIVERSITY; BETA DIVERSITY; PROTIST COMMUNITIES; GENETIC DIVERSITY; SPATIAL-PATTERNS; BYERS PENINSULA; RARE; SCALE</t>
  </si>
  <si>
    <t>Microbial eukaryotes play important roles in aquatic ecosystem functioning. Unravelling their distribution patterns and biogeography provides important baseline information to infer the underlying mechanisms that regulate the biodiversity and complexity of ecosystems. We studied the distribution patterns and factors driving diversity gradients in microeukaryote communities (total, abundant, uncommon and rare community composition) along a latitudinal gradient of lakes distributed from Argentinean Patagonia to Maritime Antarctica using both denaturing gradient gel electrophoresis (DGGE) and high-throughput sequencing (Illumina HiSeq). DGGE and abundant Illumina operational taxonomic units (OTUs) showed both decreasing richness with latitude and significant differences between Patagonian and Antarctic lakes communities. In contrast, total richness did not change significantly across the latitudinal gradient, although evenness and diversity indices were significantly higher in Patagonian lakes. Beta-diversity was characterized by a high species turnover, influenced by both environmental and geographical descriptors, although this pattern faded in the rare community. Our results suggest the co-existence of a 'core biosphere' containing reduced number of abundant/dominant OTUs on which classical ecological rules apply, together with a much larger seedbank of rare OTUs driven by stochastic and reduced dispersal processes. These findings shed new light on the biogeographical patterns and forces structuring inland microeukaryote composition across broad spatial scales.</t>
  </si>
  <si>
    <t>[Romina Schiaffino, M.] Consejo Nacl Invest Cient &amp; Tecn, UNNOBA, Ctr Invest &amp; Transferencia Noroeste Prov Buenos A, RA-6000 Junin, Argentina; [Lara, Enrique; Fernandez, Leonardo D.; Singer, David; Seppey, Christophe C. W.] Univ Neuchatel, Lab Soil Biodivers, Rue Emile Argand 11, CH-2000 Neuchatel, Switzerland; [Fernandez, Leonardo D.] Univ Concepcion, Fac Ciencias Nat &amp; Oceanog, Dept Zool, Lab Ecol Evolut &amp; Filoinformat, Barrio Univ S-N, Concepcion, Chile; [Fernandez, Leonardo D.] Univ Las Amer, Fac Med Vet &amp; Agron, Chacabuco 539, Concepcion, Chile; [Balague, Vanessa; Massana, Ramon] CSIC, Inst Ciencies Mar, Passeig Maritim Barceloneta 37-49, E-08003 Barcelona, Catalonia, Spain; [Izaguirre, Irina] Univ Buenos Aires, Fac Ciencias Exactas &amp; Nat, Dept Ecol Genet &amp; Evoluc, IEGEBA CONICET UBA, Ciudad Univ,C1428EHA, Buenos Aires, DF, Argentina</t>
  </si>
  <si>
    <t>Universidad Nacional del Noroeste de la Provincia de Buenos Aires; Consejo Nacional de Investigaciones Cientificas y Tecnicas (CONICET); University of Neuchatel; Universidad de Concepcion; Universidad de Las Americas - Chile; Consejo Superior de Investigaciones Cientificas (CSIC); CSIC - Centro Mediterraneo de Investigaciones Marinas y Ambientales (CMIMA); CSIC - Instituto de Ciencias del Mar (ICM); University of Buenos Aires</t>
  </si>
  <si>
    <t>Schiaffino, MR (corresponding author), Consejo Nacl Invest Cient &amp; Tecn, UNNOBA, Ctr Invest &amp; Transferencia Noroeste Prov Buenos A, RA-6000 Junin, Argentina.</t>
  </si>
  <si>
    <t>rschiaffino@conicet.gov.ar</t>
  </si>
  <si>
    <t>Massana, Ramon/F-4205-2016; Fernández, Leonardo/AAS-2142-2021; Singer, David/B-6889-2016; Lara, Enrique/N-3679-2017</t>
  </si>
  <si>
    <t>Fernández, Leonardo/0000-0001-9550-1921; Singer, David/0000-0002-4116-033X; Schiaffino, Maria Romina/0000-0002-9383-2003; Lara, Enrique/0000-0001-8500-522X; Massana, Ramon/0000-0001-9172-5418; Balague, Vanessa/0000-0001-6813-8207</t>
  </si>
  <si>
    <t>Argentinean Funds for Technical and Scientific Investigation (FONCYT) [PICT 32732, PICT 2013-0794]; Spanish Project MIX-ANTAR [REN 2002-11396-E/ANT]; Swiss NSF [310003A_143960]; Program 'Luis Santalo' of the National Research Council of Spain; National Council of Scientific and Technical Research of Argentina (CSIC-CONICET) [PROBA 2007AR0018]; CONICYT [21110037, 78130011]; Wildlife Conservation Society (Karukinka grant) [2012]</t>
  </si>
  <si>
    <t>Argentinean Funds for Technical and Scientific Investigation (FONCYT)(FONCyT); Spanish Project MIX-ANTAR; Swiss NSF(Swiss National Science Foundation (SNSF)); Program 'Luis Santalo' of the National Research Council of Spain; National Council of Scientific and Technical Research of Argentina (CSIC-CONICET); CONICYT(Comision Nacional de Investigacion Cientifica y Tecnologica (CONICYT)); Wildlife Conservation Society (Karukinka grant)</t>
  </si>
  <si>
    <t>This work was supported by a grant from the Argentinean Funds for Technical and Scientific Investigation (FONCYT, PICT 32732 and PICT 2013-0794), the Spanish Project MIX-ANTAR (REN 2002-11396-E/ANT), the Swiss NSF project 310003A_143960 and the Program 'Luis Santalo' of the National Research Council of Spain and the National Council of Scientific and Technical Research of Argentina (CSIC-CONICET, PROBA 2007AR0018). The authors also thank the members of the Antarctic Esperanza Station for logistic support and Dr A. Quesada and his team for providing the samples from the Byers Peninsula. L.D.F. is supported by CONICYT (doctoral scholarships No 21110037 and 78130011) and the Wildlife Conservation Society (Karukinka grant No 2012).</t>
  </si>
  <si>
    <t>1462-2912</t>
  </si>
  <si>
    <t>1462-2920</t>
  </si>
  <si>
    <t>ENVIRON MICROBIOL</t>
  </si>
  <si>
    <t>Environ. Microbiol.</t>
  </si>
  <si>
    <t>10.1111/1462-2920.13566</t>
  </si>
  <si>
    <t>EJ1CD</t>
  </si>
  <si>
    <t>WOS:000392946900070</t>
  </si>
  <si>
    <t>Pellizza, LA; Smal, C; Ithuralde, RE; Turjanski, AG; Cicero, DO; Arán, M</t>
  </si>
  <si>
    <t>Pellizza, Leonardo A.; Smal, Clara; Ithuralde, Raul E.; Turjanski, Adrian G.; Cicero, Daniel O.; Aran, Martin</t>
  </si>
  <si>
    <t>Structural and functional characterization of a cold-adapted stand-alone TPM domain reveals a relationship between dynamics and phosphatase activity</t>
  </si>
  <si>
    <t>Antarctic bacteria; Bizionia argentinensis; nuclear magnetic resonance; phosphatase activity; structural genomics; TPM domain</t>
  </si>
  <si>
    <t>MOLECULAR-DYNAMICS; THYLAKOID LUMEN; PHOTOSYSTEM-II; PROTEIN; SIMULATION; BACTERIA; FORCE; TEMPERATURES; GROWTH; SITE</t>
  </si>
  <si>
    <t>The TPM domain constitutes a family of recently characterized protein domains that are present in most living organisms. Although some progress has been made in understanding the cellular role of TPM-containing proteins, the relationship between structure and function is not clear yet. We have recently solved the solution and crystal structure of one TPM domain (BA42) from the Antarctic bacterium Bizionia argentinensis. In this work, we demonstrate that BA42 has phosphoric-monoester hydrolase activity. The activity of BA42 is strictly dependent on the binding of divalent metals and retains nearly 70% of the maximum at 4 degrees C, a typical characteristic of cold-adapted enzymes. From HSQC, N-15 relaxation measurements, and molecular dynamics studies, we determine that the flexibility of the crossing loops was associated to the protein activity. Thermal unfolding experiments showed that the local increment in flexibility of Mg2+-bound BA42, when compared with Ca2+-bound BA42, is associated to a decrease in global protein stability. Finally, through mutagenesis experiments, we unambiguously demonstrate that the region comprising the metal-binding site participates in the catalytic mechanism. The results shown here contribute to the understanding of the relationship between structure and function of this new family of TPM domains providing important cues on the regulatory role of Mg2+ and Ca2+ and the molecular mechanism underlying enzyme activity at low temperatures.</t>
  </si>
  <si>
    <t>[Pellizza, Leonardo A.; Smal, Clara; Aran, Martin] IIBBA CONICET, Fdn Inst Leloir, Patricias Argentinas 435,C1405BWE, Buenos Aires, DF, Argentina; [Ithuralde, Raul E.; Turjanski, Adrian G.] Univ Buenos Aires, Fac Ciencias Exactas &amp; Nat, Dept Quim Biol, RA-1053 Buenos Aires, DF, Argentina; [Ithuralde, Raul E.; Turjanski, Adrian G.] Univ Buenos Aires, Fac Ciencias Exactas &amp; Nat, IQUIBICEN CONICET, RA-1053 Buenos Aires, DF, Argentina; [Cicero, Daniel O.] Univ Roma Tor Vergata, Dipartimento Sci &amp; Tecnol Chim, Via Ric Sci SNC, I-00133 Rome, Italy</t>
  </si>
  <si>
    <t>Consejo Nacional de Investigaciones Cientificas y Tecnicas (CONICET); Leloir Institute; University of Buenos Aires; University of Buenos Aires; University of Rome Tor Vergata</t>
  </si>
  <si>
    <t>Arán, M (corresponding author), IIBBA CONICET, Fdn Inst Leloir, Patricias Argentinas 435,C1405BWE, Buenos Aires, DF, Argentina.;Cicero, DO (corresponding author), Univ Roma Tor Vergata, Dipartimento Sci &amp; Tecnol Chim, Via Ric Sci SNC, I-00133 Rome, Italy.</t>
  </si>
  <si>
    <t>cicero@scienze.uniroma2.it; maran@leloir.org.ar</t>
  </si>
  <si>
    <t>Cicero, Daniel/AAV-5203-2021; Aran, Martin/N-2095-2019; Ithuralde, Raul/AAU-5092-2020</t>
  </si>
  <si>
    <t>Ithuralde, Raul/0000-0002-9757-0530; Turjanski, Adrian/0000-0003-2190-137X</t>
  </si>
  <si>
    <t>Consejo Nacional de Investigaciones Cientificas y Tecnicas (CONICET); Agencia Nacional de Promocion Cientifica y Tecnologica (ANPCyT)</t>
  </si>
  <si>
    <t>Consejo Nacional de Investigaciones Cientificas y Tecnicas (CONICET)(Consejo Nacional de Investigaciones Cientificas y Tecnicas (CONICET)); Agencia Nacional de Promocion Cientifica y Tecnologica (ANPCyT)(ANPCyTSpanish Government)</t>
  </si>
  <si>
    <t>This work was supported by the Consejo Nacional de Investigaciones Cientificas y Tecnicas (CONICET) and the Agencia Nacional de Promocion Cientifica y Tecnologica (ANPCyT).</t>
  </si>
  <si>
    <t>10.1111/febs.13929</t>
  </si>
  <si>
    <t>EI8FY</t>
  </si>
  <si>
    <t>WOS:000392742500013</t>
  </si>
  <si>
    <t>Partin, CA; Sadler, PM</t>
  </si>
  <si>
    <t>Partin, Camille A.; Sadler, Peter M.</t>
  </si>
  <si>
    <t>Slow net sediment accumulation sets snowball Earth apart from all younger glacial episodes</t>
  </si>
  <si>
    <t>GEOLOGY</t>
  </si>
  <si>
    <t>ANTARCTIC PENINSULA; NEOPROTEROZOIC GLACIATIONS; RATES; CHRONOLOGY; EROSION; MA</t>
  </si>
  <si>
    <t>During the Sturtian and Marinoan snowball Earth episodes, ice cover is thought to have extended from polar to tropical latitudes. We test the supposition that such an extreme glacial climate, not repeated in the subsequent similar to 635 m.y. of Earth history, would have reduced the vigor of the hydrologic cycle and thus diminished sediment flux to the oceans. With &gt;500 sediment accumulation rates to characterize Sturtian and Marinoan deposits, we find median accumulation rates at least four to 15 times slower than expected for Phanerozoic glaciomarine deposits as characterized by &gt;10,000 rates. Our comparison is conservative with respect to time span, latitude, and distance from the ice margin. Phanerozoic accumulation rates decrease systematically when averaged over longer time spans. Comparisons were drawn, therefore, at 5 and 57 m.y. time spans to match minimum Marinoan and Sturtian durations, respectively. Cenozoic glaciomarine accumulation also slows with increasing latitude from temperate to polar climates and with increasing distance from the ice margin. After accounting for time span, snowball Earth deposits at low latitude are found to be thinner than would be expected either for high-latitude Cenozoic glacial deposits or for very distal glaciomarine abyssal muds with ice-rafted debris. The rate discrepancy is not readily attributed to overestimates of the total Marinoan or Sturtian durations. If sediment fluxes during warm melt intervals did approach Phanerozoic rates, these intervals must have occupied a much smaller proportion of snowball Earth episodes than in younger glacial climates.</t>
  </si>
  <si>
    <t>[Partin, Camille A.] Univ Saskatchewan, Dept Geol Sci, 114 Sci Pl, Saskatoon, SK S7N 5E2, Canada; [Sadler, Peter M.] Univ Calif Riverside, Dept Earth Sci, Riverside, CA 92521 USA</t>
  </si>
  <si>
    <t>University of Saskatchewan; University of California System; University of California Riverside</t>
  </si>
  <si>
    <t>Partin, CA (corresponding author), Univ Saskatchewan, Dept Geol Sci, 114 Sci Pl, Saskatoon, SK S7N 5E2, Canada.</t>
  </si>
  <si>
    <t>Partin, Camille/JXN-0945-2024</t>
  </si>
  <si>
    <t>Sadler, Peter/0000-0002-7728-0042; Partin, Camille/0000-0002-1544-7994</t>
  </si>
  <si>
    <t>Geological Society of America</t>
  </si>
  <si>
    <t>We thank P.F. Hoffman for discussion and generously adding to our database, thus increasing the statistical robustness of our findings. CAP acknowledges support from the Geological Society of America. The clarity of the paper was improved by welcome feedback from A. Maloof, B. Hallett, C. Dehler, A. Miall, and B. Peucker-Ehrenbrink.</t>
  </si>
  <si>
    <t>0091-7613</t>
  </si>
  <si>
    <t>1943-2682</t>
  </si>
  <si>
    <t>10.1130/G38350.1</t>
  </si>
  <si>
    <t>EI8CY</t>
  </si>
  <si>
    <t>WOS:000392733800013</t>
  </si>
  <si>
    <t>Albalat, A; Nadler, LE; Foo, N; Dick, JR; Watts, AJR; Philp, H; Neil, DM; Monroig, O</t>
  </si>
  <si>
    <t>Albalat, Amaya; Nadler, Lauren E.; Foo, Nicholas; Dick, James R.; Watts, Andrew J. R.; Philp, Heather; Neil, Douglas M.; Monroig, Oscar</t>
  </si>
  <si>
    <t>Lipid Composition of Oil Extracted from Wasted Norway Lobster (Nephrops norvegicus) Heads and Comparison with Oil Extracted from Antarctic Krill (Euphasia superba)</t>
  </si>
  <si>
    <t>MARINE DRUGS</t>
  </si>
  <si>
    <t>Norway lobster; Nephrops norvegicus; head waste; lipid class; EPA; DHA</t>
  </si>
  <si>
    <t>REPRODUCTIVE-CYCLE; FATTY-ACIDS; DECAPODA; PURIFICATION; ATLANTIC; DHA</t>
  </si>
  <si>
    <t>In the UK, the Norway lobster (Nephrops norvegicus) supports its most important shellfish fishery. Nephrops are sold either whole, or as tails-only for the scampi trade. In the tailing process, the head (cephalothorax) is discarded as waste. A smaller crustacean species, the Antarctic krill Euphasia superba, represents an economically valuable industry, as its extractable oil is sold as a human dietary supplement. The aim of this study was to determine the amount and composition of the oil contained in discarded Nephrops heads and to compare its composition to the oil extracted from krill. Differences due to Geographical variation and seasonal patterns in the amount and composition of lipid were also noted. Results indicated that Nephrops head waste samples collected from more southern locations in Scotland (Clyde Sea area) contained higher levels of oil when compared to samples collected from northern locations in Iceland. Moreover, seasonal differences within the Clyde Sea area in Scotland were also observed, with oil extracted from Nephrops head waste peaking at around 11.5% during the summer months when larger and more mature females were caught by trawl. At this time of the year, the valuable fatty acids eicosapentaenoic acid (EPA) and docosahexaenoic acid (DHA) accounted for around 23% of the total fatty acid content in oil extracted from Nephrops head waste. A seasonal effect on EPA content was found, with higher levels obtained in the summer, while no trend was found in DHA percentages. Finally, oil from Nephrops head waste contained a higher proportion of EPA and DHA than krill oil but these fatty acids were more abundantly linked to the neutral lipids rather to than polar lipids. The characterization of lipid that could be extracted from Nephrops head waste should be seen as a first step for the commercial use of a valuable resource currently wasted. This approach is extremely relevant given the current limited supply of EPA and DHA and changes in the Common Fisheries Policy.</t>
  </si>
  <si>
    <t>[Albalat, Amaya; Foo, Nicholas; Dick, James R.; Monroig, Oscar] Univ Stirling, Inst Aquaculture, Fac Nat Sci, Stirling FK9 4LA, Scotland; [Nadler, Lauren E.; Watts, Andrew J. R.; Neil, Douglas M.] Univ Glasgow, Coll Med Vet &amp; Life Sci, Inst Biodivers Anim Hlth &amp; Comparat Med, Graham Kerr Bldg, Glasgow G12 8QQ, Lanark, Scotland; [Philp, Heather] Univ Iceland, Fac Life &amp; Environm Sci, IS-101 Reykjavik, Iceland; [Nadler, Lauren E.] James Cook Univ, ARC Ctr Excellence Coral Reef Studies, Townsville, Qld 4811, Australia; [Watts, Andrew J. R.] Univ Exeter, Coll Life &amp; Environm Sci, Exeter EX4 4QD, Devon, England</t>
  </si>
  <si>
    <t>University of Stirling; University of Glasgow; University of Iceland; James Cook University; University of Exeter</t>
  </si>
  <si>
    <t>Albalat, A (corresponding author), Univ Stirling, Inst Aquaculture, Fac Nat Sci, Stirling FK9 4LA, Scotland.</t>
  </si>
  <si>
    <t>amaya.albalat@stir.ac.uk; lauren.nadler@my.jcu.edu.au; nicholasfoo93@gmail.com; j.r.dick@stir.ac.uk; a.watts.research@gmail.com; heather_philp@yahoo.co.uk; Douglas.Neil@glasgow.ac.uk; oscar.monroig@stir.ac.uk</t>
  </si>
  <si>
    <t>Watts, Andrew JR/J-7691-2015; Albalat, Amaya/C-2756-2014; Neil, Douglas/JJE-5201-2023; Monroig, Oscar/K-9117-2014; Neil, Douglas/ABC-7721-2021</t>
  </si>
  <si>
    <t>Neil, Douglas/0000-0001-9390-5631; Monroig, Oscar/0000-0001-8712-0440; Nadler, Lauren/0000-0001-8225-8344; Albalat, Amaya/0000-0002-8606-2995</t>
  </si>
  <si>
    <t>Young's Seafood Ltd.; European Fisheries Fund; Added Value Seafood, AVS fund from the Ministry of Icelandic Fisheries; Research and Enterprise Office in the University of Stirling</t>
  </si>
  <si>
    <t>This work was supported by Young's Seafood Ltd., grants from the European Fisheries Fund, the Added Value Seafood, AVS fund from the Ministry of Icelandic Fisheries and from Research and Enterprise Office in the University of Stirling. The authors are grateful to Angelbond Ltd. for providing samples at no cost to this study.</t>
  </si>
  <si>
    <t>1660-3397</t>
  </si>
  <si>
    <t>MAR DRUGS</t>
  </si>
  <si>
    <t>Mar. Drugs</t>
  </si>
  <si>
    <t>10.3390/md14120219</t>
  </si>
  <si>
    <t>Chemistry, Medicinal; Pharmacology &amp; Pharmacy</t>
  </si>
  <si>
    <t>EI4TL</t>
  </si>
  <si>
    <t>WOS:000392486100003</t>
  </si>
  <si>
    <t>Kubicki, M; Odzimek, A; Neska, M; Berlinski, J; Michnowski, S</t>
  </si>
  <si>
    <t>Kubicki, Marek; Odzimek, Anna; Neska, Mariusz; Berlinski, Jerzy; Michnowski, Stanislaw</t>
  </si>
  <si>
    <t>First Measurements of the Earth's Electric Field at the Arctowski Antarctic Station, King George Island, by the New Polish Atmospheric Electricity Observation Network</t>
  </si>
  <si>
    <t>ACTA GEOPHYSICA</t>
  </si>
  <si>
    <t>atmospheric electricity; observation network; Arctowski Antarctic Station; geomagnetic activity; fair weather conditions</t>
  </si>
  <si>
    <t>INTERPLANETARY MAGNETIC-FIELD; MORNING POLAR SUBSTORMS; LATITUDES; CIRCUIT</t>
  </si>
  <si>
    <t>Atmospheric electricity measurements are performed all over the globe for getting a better understanding of the processes and phenomena operating in the Earth's electric atmosphere, ionosphere and magnetosphere. Over recent years, we have established coordinated observations of atmospheric electricity, mainly of the vertical component of the Earth's atmospheric electric field, from Polish observation stations: Stanislaw Kalinowski Geophysical Observatory in Swider, Poland, Stanislaw Siedlecki Polar Station in Hornsund, Svalbard, Norway, and, for the first time, the Henryk Arctowski Antarctic Station in King George Island. The organisation of this network is presented here as well as a preliminary summary of geophysical conditions at Arctowski, important from the point of view of atmospheric electricity observations. In particular, we refer to the geomagnetic observations made at Arctowski station in 1978-1995. We also present the average fair-weather diurnal variation of the atmospheric electric field based on observations made so far between 2013 and 2015.</t>
  </si>
  <si>
    <t>[Kubicki, Marek; Odzimek, Anna; Neska, Mariusz; Michnowski, Stanislaw] Polish Acad Sci, Inst Geophys, Warsaw, Poland; [Berlinski, Jerzy] Warsaw Univ Technol, Fac Elect &amp; Informat Technol, Warsaw, Poland</t>
  </si>
  <si>
    <t>Polish Academy of Sciences; Institute of Geophysics of the Polish Academy of Sciences; Warsaw University of Technology</t>
  </si>
  <si>
    <t>Kubicki, M (corresponding author), Polish Acad Sci, Inst Geophys, Warsaw, Poland.</t>
  </si>
  <si>
    <t>swider@igf.edu.pl</t>
  </si>
  <si>
    <t>Odzimek, Anna/AAG-2364-2020</t>
  </si>
  <si>
    <t>Odzimek, Anna/0000-0003-3490-5257; Michnowski, Stanislaw/0000-0001-7007-3924</t>
  </si>
  <si>
    <t>Polish National Science Centre [NCN-2011/01/B/ST10/07118]; Institute of Geophysics PAS of the Ministry of Science and Higher Education of Poland [3841/E-41/S/2013, 3841/E-41/S/2015]</t>
  </si>
  <si>
    <t>Polish National Science Centre; Institute of Geophysics PAS of the Ministry of Science and Higher Education of Poland</t>
  </si>
  <si>
    <t>This work has been supported by Polish National Science Centre grant number NCN-2011/01/B/ST10/07118, awarded to the Institute of Geophysics of the Polish Academy of Sciences. Atmospheric electricity observations at Swider and Hornsund have been supported within the statutory activities of Institute of Geophysics PAS, grant No. 3841/E-41/S/2013 and No. 3841/E-41/S/2015 of the Ministry of Science and Higher Education of Poland. Credits are also to the Institute of Biochemistry and Biophysics of the Polish Academy of Sciences for providing access to the observation site and operating the measurements of the atmospheric ground-level electric field at the Henryk Arctowski Polish Antarctic Station, and for providing meteorological and aerosol concentration data. The authors would like to thank Maciej Benedyk, Miroslaw Szumny, Piotr Lepkowski who performed the measurements at the Polish Polar Station in Hornsund, and Sylwia Lukawska, Emil Kasprzyk and Dawid Gajownik who performed the measurements at the Polish Arctowski Antarctic Station.</t>
  </si>
  <si>
    <t>1895-7455</t>
  </si>
  <si>
    <t>ACTA GEOPHYS</t>
  </si>
  <si>
    <t>Acta Geophys.</t>
  </si>
  <si>
    <t>10.1515/acgeo-2016-0096</t>
  </si>
  <si>
    <t>EH7QN</t>
  </si>
  <si>
    <t>WOS:000391967700030</t>
  </si>
  <si>
    <t>Schattner, U; Lazar, M; Souza, LAP; ten Brink, U; Mahiques, MM</t>
  </si>
  <si>
    <t>Schattner, U.; Lazar, M.; Souza, L. A. P.; ten Brink, U.; Mahiques, M. M.</t>
  </si>
  <si>
    <t>Pockmark asymmetry and seafloor currents in the Santos Basin offshore Brazil</t>
  </si>
  <si>
    <t>GEO-MARINE LETTERS</t>
  </si>
  <si>
    <t>SOUTH-ATLANTIC-OCEAN; DANISH NORTH-SEA; BELFAST BAY; MORPHOLOGY; MARGIN; SLOPE; CIRCULATION; MAINE; FIELD; SIDE</t>
  </si>
  <si>
    <t>Pockmarks form by gas/fluid expulsion into the ocean and are preserved under conditions of negligible sedimentation. Ideally, they are circular at the seafloor and symmetrical in profile. Elliptical pockmarks are more enigmatic. They are associated with seafloor currents while asymmetry is connected to sedimentation patterns. This study examines these associations through morphological analysis of new multibeam data collected across the Santos continental slope offshore Brazil in 2011 (353-865 mbsl). Of 984 pockmarks, 78% are both elliptical and asymmetric. Geometric criteria divide the pockmarks into three depth ranges that correlate with a transition between two currents: the Brazil Current transfers Tropical Water and South Atlantic Central Water southwestwards while the Intermediate Western Boundary Current transfers Antarctic Intermediate Water northeast-wards. It is suggested that the velocity of seafloor currents and their persistence dictate pockmark ellipticity, orientation and profile asymmetry. Fast currents (&gt;20 cm/s) are capable of maintaining pockmark flank steepness close to the angle of repose. These morphological expressions present direct evidence for an edge effect of the South Atlantic Subtropical Gyre and, in general, provide a correlation between pockmark geometry and seafloor currents that can be applied at other locations worldwide.</t>
  </si>
  <si>
    <t>[Schattner, U.; Lazar, M.; ten Brink, U.] Univ Haifa, Leon H Charney Sch Marine Sci, Dr Mosses Straus Dept Marine Geosci, IL-31905 Har Hakarmel, Israel; [Souza, L. A. P.] Inst Technol Res State Sao Paulo IPT, Sao Paulo, Brazil; [ten Brink, U.] US Geol Survey, Woods Hole Sci Ctr, Woods Hole, MA 02543 USA; [Mahiques, M. M.] Univ Sao Paulo IOUSP, Oceanog Inst, Sao Paulo, Brazil</t>
  </si>
  <si>
    <t>University of Haifa; United States Department of the Interior; United States Geological Survey</t>
  </si>
  <si>
    <t>Schattner, U (corresponding author), Univ Haifa, Leon H Charney Sch Marine Sci, Dr Mosses Straus Dept Marine Geosci, IL-31905 Har Hakarmel, Israel.</t>
  </si>
  <si>
    <t>schattner@univ.haifa.ac.il</t>
  </si>
  <si>
    <t>Souza, Luiz A. P./J-2768-2017; Schattner, Uri/AAC-7679-2019; Mahiques, Michel/D-1526-2010; Lazar, Michael/G-5038-2015</t>
  </si>
  <si>
    <t>Souza, Luiz A. P./0000-0003-1487-7885; Schattner, Uri/0000-0002-4453-4552; Mahiques, Michel/0000-0002-5249-5610; Lazar, Michael/0000-0003-0892-5166</t>
  </si>
  <si>
    <t>Sao Paulo Science Foundation [2010/06147-5, 2014/08266-2]</t>
  </si>
  <si>
    <t>Sao Paulo Science Foundation</t>
  </si>
  <si>
    <t>The authors are indebted to the National Agency for Oil, Natural Gas and Biofuels (ANP-Brazil) for providing the multi-channel seismic lines, and to the Brazilian Navy for the multibeam bathymetry surveys. Thanks are also due to Dr. Paulo Sumida (Oceanographic Institute of the University of Sao Paulo) who co-led the multibeam surveys, and to Dr. Laura Brothers for valuable comments. We would also like to thank O. Hammer, an anonymous reviewer and the journal editors for their constructive comments. Financial support was provided by the Sao Paulo Science Foundation grants nos. 2010/06147-5 and 2014/08266-2.</t>
  </si>
  <si>
    <t>0276-0460</t>
  </si>
  <si>
    <t>1432-1157</t>
  </si>
  <si>
    <t>GEO-MAR LETT</t>
  </si>
  <si>
    <t>Geo-Mar. Lett.</t>
  </si>
  <si>
    <t>10.1007/s00367-016-0468-0</t>
  </si>
  <si>
    <t>Geosciences, Multidisciplinary; Oceanography</t>
  </si>
  <si>
    <t>Geology; Oceanography</t>
  </si>
  <si>
    <t>EI2JN</t>
  </si>
  <si>
    <t>WOS:000392313300005</t>
  </si>
  <si>
    <t>Lee, CW; Yu, SC; Lee, JH; Park, SH; Park, H; Oh, TJ; Lee, JH</t>
  </si>
  <si>
    <t>Lee, Chang Woo; Yu, Sang-Cheol; Lee, Joo-Ho; Park, Sun-Ha; Park, Hyun; Oh, Tae-Jin; Lee, Jun Hyuck</t>
  </si>
  <si>
    <t>Crystal Structure of a Putative Cytochrome P450 Alkane Hydroxylase (CYP153D17) from Sphingomonas sp PAMC 26605 and Its Conformational Substrate Binding</t>
  </si>
  <si>
    <t>INTERNATIONAL JOURNAL OF MOLECULAR SCIENCES</t>
  </si>
  <si>
    <t>cytochrome P450; substrate binding assay; crystal structure; Sphingomonas sp.; X-ray crystallography</t>
  </si>
  <si>
    <t>FATTY-ACIDS; MYCOBACTERIUM-TUBERCULOSIS; NOVOSPHINGOBIUM-AROMATICIVORANS; STREPTOMYCES-PEUCETIUS; P450; MONOOXYGENASE; ENZYMES; REFINEMENT; METABOLISM; INTERFACE</t>
  </si>
  <si>
    <t>Enzymatic alkane hydroxylation reactions are useful for producing pharmaceutical and agricultural chemical intermediates from hydrocarbons. Several cytochrome P450 enzymes catalyze the regio- and stereo-specific hydroxylation of alkanes. We evaluated the substrate binding of a putative CYP alkane hydroxylase (CYP153D17) from the bacterium Sphingomonas sp. PAMC 26605. Substrate affinities to C10-C12 n-alkanes and C10-C14 fatty acids with K-d values varied from 0.42 to 0.59 mu M. A longer alkane (C12) bound more strongly than a shorter alkane (C10), while shorter fatty acids (C10, capric acid; C12, lauric acid) bound more strongly than a longer fatty acid (C14, myristic acid). These data displayed a broad substrate specificity of CYP153D17, hence it was named as a putative CYP alkane hydroxylase. Moreover, the crystal structure of CYP153D17 was determined at 3.1 angstrom resolution. This is the first study to provide structural information for the CYP153D family. Structural analysis showed that a co-purified alkane-like compound bound near the active-site heme group. The alkane-like substrate is in the hydrophobic pocket containing Thr74, Met90, Ala175, Ile240, Leu241, Val244, Leu292, Met295, and Phe393. Comparison with other CYP structures suggested that conformational changes in the beta 1-beta 2, alpha 3-alpha 4, and alpha 6-alpha 7 connecting loop are important for incorporating the long hydrophobic alkane-like substrate. These results improve the understanding of the catalytic mechanism of CYP153D17 and provide valuable information for future protein engineering studies.</t>
  </si>
  <si>
    <t>[Lee, Chang Woo; Park, Sun-Ha; Park, Hyun; Lee, Jun Hyuck] Korea Polar Res Inst, Unit Polar Genom, Inchon 406840, South Korea; [Lee, Chang Woo; Park, Hyun; Lee, Jun Hyuck] Univ Sci &amp; Technol, Dept Polar Sci, Inchon 406840, South Korea; [Yu, Sang-Cheol; Lee, Joo-Ho; Oh, Tae-Jin] Sunmoon Univ, Dept BT Convergent Pharmaceut Engn, Asan 336708, South Korea</t>
  </si>
  <si>
    <t>Korea Polar Research Institute (KOPRI); Korea Institute of Ocean Science &amp; Technology (KIOST); Sun Moon University</t>
  </si>
  <si>
    <t>Lee, JH (corresponding author), Korea Polar Res Inst, Unit Polar Genom, Inchon 406840, South Korea.;Lee, JH (corresponding author), Univ Sci &amp; Technol, Dept Polar Sci, Inchon 406840, South Korea.;Oh, TJ (corresponding author), Sunmoon Univ, Dept BT Convergent Pharmaceut Engn, Asan 336708, South Korea.</t>
  </si>
  <si>
    <t>justay@kopri.re.kr; ysc9056@naver.com; shadowjhl@empas.com; psh@kopri.re.kr; hpark@kopri.re.kr; tjoh3782@sunmoon.ac.kr; junhyucklee@kopri.re.kr</t>
  </si>
  <si>
    <t>Lee, Joo Ho/AAS-2614-2021; Lee, Chang-Woo/L-5093-2015</t>
  </si>
  <si>
    <t>Lee, Joo Ho/0000-0001-7307-7744;</t>
  </si>
  <si>
    <t>Antarctic organisms: Cold-Adaptation Mechanisms and its application grant - Korea Polar Research Institute [PE16070]; Cooperative Research Program for Agriculture Science &amp; Technology Development, Rural Development Administration, Korea [PJ01045705]</t>
  </si>
  <si>
    <t>Antarctic organisms: Cold-Adaptation Mechanisms and its application grant - Korea Polar Research Institute; Cooperative Research Program for Agriculture Science &amp; Technology Development, Rural Development Administration, Korea</t>
  </si>
  <si>
    <t>We would like to thank the staff at the X-ray core facility of Korea Basic Science Institute (KBSI) (Ochang, Korea) and BL-5C and BL-7A of the Pohang Accelerator Laboratory (Pohang, Korea) for their kind help in data collection. This work was supported by the Antarctic organisms: Cold-Adaptation Mechanisms and its application grant (PE16070) funded by the Korea Polar Research Institute. In addition, this work was carried out with the support of the Cooperative Research Program for Agriculture Science &amp; Technology Development (Project No. PJ01045705), Rural Development Administration, Korea.</t>
  </si>
  <si>
    <t>MDPI AG</t>
  </si>
  <si>
    <t>1422-0067</t>
  </si>
  <si>
    <t>INT J MOL SCI</t>
  </si>
  <si>
    <t>Int. J. Mol. Sci.</t>
  </si>
  <si>
    <t>10.3390/ijms17122067</t>
  </si>
  <si>
    <t>Biochemistry &amp; Molecular Biology; Chemistry, Multidisciplinary</t>
  </si>
  <si>
    <t>EI1XR</t>
  </si>
  <si>
    <t>WOS:000392280500111</t>
  </si>
  <si>
    <t>Huang, XX; Jokat, W</t>
  </si>
  <si>
    <t>Huang, Xiaoxia; Jokat, Wilfried</t>
  </si>
  <si>
    <t>Sedimentation and potential venting on the rifted continental margin of Dronning Maud Land</t>
  </si>
  <si>
    <t>MARINE GEOPHYSICAL RESEARCH</t>
  </si>
  <si>
    <t>Dronning Maud Land margin; Debris flow deposits; Canyons; Ice streams; Seismic chimneys</t>
  </si>
  <si>
    <t>RIISER-LARSEN SEA; WEDDELL SEA; ICE-SHEET; SUBMARINE LANDSLIDES; SEISMIC STRATIGRAPHY; TECTONIC PROVINCES; CRUSTAL STRUCTURE; EAST ANTARCTICA; LAZAREV SEA; WILKES LAND</t>
  </si>
  <si>
    <t>The relief of Dronning Maud Land (DML), formed by Middle and Late Mesozoic tectonic activity, had a strong spatial control on the early fluvial and subsequent glacial erosion and deposition. The sources, processes, and products of sedimentation along the DML margin and in the Lazarev Sea in front of the DML mountains have been barely studied. The onshore mountain belt parallel to the coast of the DML margin acts as a barrier to the transport of terrigenous sediments from the east Antarctic interior to the margin and into the Lazarev Sea. Only the Jutul-Penck Graben system allows a localized ice stream controlled transport of material from the interior of DML across its old mountain belt. Offshore, we attribute repeated large-scale debris flow deposits to instability of sediments deposited locally on the steep gradient of the DML margin by high sediment flux. Two types of canyons are defined based on their axial dimensions and originated from turbidity currents and slope failures during glacial/fluvial transport. For the first time, we report pipe-like seismic structures in this region and suggest that they occurred as consequences of volcanic processes. Sedimentary processes on the DML margin were studied using seismic reflection data and we restricted the seismic interpretation to the identification of major seismic sequences and their basal unconformities.</t>
  </si>
  <si>
    <t>[Huang, Xiaoxia; Jokat, Wilfried] Helmholtz Ctr Polar &amp; Marine Res, Alfred Wegener Inst, Alten Hafen 26, D-27568 Bremerhaven, Germany; [Jokat, Wilfried] Univ Bremen, Dept Geosci FB5, Klagenfurter Str, D-28334 Bremen, Germany</t>
  </si>
  <si>
    <t>Helmholtz Association; Alfred Wegener Institute, Helmholtz Centre for Polar &amp; Marine Research; University of Bremen</t>
  </si>
  <si>
    <t>Huang, XX (corresponding author), Helmholtz Ctr Polar &amp; Marine Res, Alfred Wegener Inst, Alten Hafen 26, D-27568 Bremerhaven, Germany.</t>
  </si>
  <si>
    <t>xiaoxia.huang@awi.de</t>
  </si>
  <si>
    <t>Jokat, Wilfried/0000-0002-7793-5854; Huang, Xiaoxia/0000-0002-9978-5404</t>
  </si>
  <si>
    <t>Chinese Scholarship Council (CSC)</t>
  </si>
  <si>
    <t>Chinese Scholarship Council (CSC)(China Scholarship Council)</t>
  </si>
  <si>
    <t>The authors would like to thank the masters, crews and seismic teams of the many ship expeditions to the Weddell Sea who made the acquisition of the data used in this study possible. The German Federal Institute of Geosciences and Resources (BGR) is gratefully acknowledged for their contribution of the used seismic data to the Antarctic Seismic Data Library System (SDLS). Many thanks to Dr. Graeme Eagles his careful reading and discussions of the manuscript before submission. Many thanks to reviewers for their thoughtful comments. X.H. has received a Ph.D. scholarship from the Chinese Scholarship Council (CSC).</t>
  </si>
  <si>
    <t>0025-3235</t>
  </si>
  <si>
    <t>1573-0581</t>
  </si>
  <si>
    <t>MAR GEOPHYS RES</t>
  </si>
  <si>
    <t>Mar. Geophys. Res.</t>
  </si>
  <si>
    <t>10.1007/s11001-016-9296-x</t>
  </si>
  <si>
    <t>Geochemistry &amp; Geophysics; Oceanography</t>
  </si>
  <si>
    <t>EH9GP</t>
  </si>
  <si>
    <t>WOS:000392080000006</t>
  </si>
  <si>
    <t>Vijay, S; Braun, M</t>
  </si>
  <si>
    <t>Vijay, Saurabh; Braun, Matthias</t>
  </si>
  <si>
    <t>Elevation Change Rates of Glaciers in the Lahaul-Spiti (Western Himalaya, India) during 2000-2012 and 2012-2013</t>
  </si>
  <si>
    <t>glacier elevation change; geodetic glacier mass balance; TanDEM-X; InSAR processing; SRTM; Lahaul-Spiti</t>
  </si>
  <si>
    <t>DEBRIS-COVERED GLACIERS; CHHOTA SHIGRI GLACIER; MASS-BALANCE; TANDEM-X; ANTARCTIC PENINSULA; NEPAL-HIMALAYA; ENERGY-BALANCE; REGION; ICE; MODELS</t>
  </si>
  <si>
    <t>Previous studies have shown contrasting glacier elevation and mass changes in the sub-regions of high-mountain Asia. However, the elevation changes on an individual catchment scale can be potentially influenced by supraglacial debris, ponds, lakes and ice cliffs besides regionally driven factors. Here, we present a detailed study on elevation changes of glaciers in the Lahaul-Spiti region derived from TanDEM-X and SRTM C-/X-band DEMs during 2000-2012 and 2012-2013. We observe three elevation change patterns during 2000-2012 among glaciers with different extent of supraglacial debris. The first pattern (&lt;10% debris cover, type-1) indicates maximum thinning rates at the glacier terminus and is observed for glaciers with no or very low debris cover. In the second pattern (&gt;10% debris cover, type-2), maximum thinning is observed up-glacier instead of glacier terminus. This is interpreted as the insulating effect of a thick debris cover. A third pattern, high elevation change rates near the terminus despite high debris cover (&gt;10% debris cover, type-3) is most likely associated with either thinner debris thickness or enhanced melting at supraglacial ponds and lakes as well as ice cliffs. We empirically determined the SRTM C- and X-band penetration differences for debris-covered ice, clean ice/firn/snow and correct for this bias in our elevation change measurements. We show that this penetration bias, if uncorrected, underestimates the region-wide elevation change and geodetic mass balance by 20%. After correction, the region-wide elevation change (1712 km During 2000-2012. Due to the short observation period, elevation change measurements from TanDEM-X for selected glaciers in the period 2012-2013 are subject to large uncertainties. However, similar spatial patterns were observed during 2000-2012 and 2012-2013, but at different magnitudes. This study reveals that the thinning patterns of debris-covered glaciers cannot be generalized and spatially detailed mapping of glacier elevation change is required to better understand the impact of different surface types under changing climatic conditions.</t>
  </si>
  <si>
    <t>[Vijay, Saurabh; Braun, Matthias] Friedrich Alexander Univ Erlangen Nurnberg, Inst Geog, Wetterkreuz 15, D-91058 Erlangen, Germany</t>
  </si>
  <si>
    <t>University of Erlangen Nuremberg</t>
  </si>
  <si>
    <t>Vijay, S (corresponding author), Friedrich Alexander Univ Erlangen Nurnberg, Inst Geog, Wetterkreuz 15, D-91058 Erlangen, Germany.</t>
  </si>
  <si>
    <t>saurabh.vijay@fau.de; matthias.h.braun@fau.de</t>
  </si>
  <si>
    <t>Braun, Matthias H/S-4693-2016; Braun, Matthias/A-4968-2009</t>
  </si>
  <si>
    <t>Braun, Matthias/0000-0001-5169-1567; Vijay, Saurabh/0000-0002-8970-9213</t>
  </si>
  <si>
    <t>HGF Alliance Remote Sensing and Earth System Dynamics; DLR/BMWi project TanDEM-ICE [50EE1414]</t>
  </si>
  <si>
    <t>HGF Alliance Remote Sensing and Earth System Dynamics; DLR/BMWi project TanDEM-ICE</t>
  </si>
  <si>
    <t>The study was funded by the HGF Alliance Remote Sensing and Earth System Dynamics and the DLR/BMWi project TanDEM-ICE (contract #50EE1414). The TanDEM-X data was kindly provided under DLR AO XTI_GLAC0264. Landsat data and SRTM/SIR-C data were kindly available from USGS and SRTM/X-SAR was obtained from DLR. We thank Hannes Feilhauer, Thorsten Seehaus, Melanie Rankl, Philipp Malz, Stefan Lippl (FAU) for their useful suggestions.</t>
  </si>
  <si>
    <t>10.3390/rs8121038</t>
  </si>
  <si>
    <t>EI4UQ</t>
  </si>
  <si>
    <t>WOS:000392489400067</t>
  </si>
  <si>
    <t>Bao, Y; Li, YC</t>
  </si>
  <si>
    <t>Bao Ying; Li Yangchun</t>
  </si>
  <si>
    <t>Simulations of dissolved oxygen concentration in CMIP5 Earth system models</t>
  </si>
  <si>
    <t>dissolved oxygen; CMIP5 Earth system model; meridional overturning circulation; particulate organic carbon flux</t>
  </si>
  <si>
    <t>MINIMUM ZONES; PROJECTIONS; FORMULATION; PACIFIC</t>
  </si>
  <si>
    <t>The climatologies of dissolved oxygen concentration in the ocean simulated by nine Earth system models (ESMs) from the historical emission driven experiment of CMIP5 (Phase 5 of the Climate Model Intercomparison Project) are quantitatively evaluated by comparing the simulated oxygen to the WOA09 observation based on common statistical metrics. At the sea surface, distribution of dissolved oxygen is well simulated by all nine ESMs due to well-simulated sea surface temperature (SST), with both globally-averaged error and root mean square error (RMSE) close to zero, and both correlation coefficients and normalized standard deviation close to 1. However, the model performance differs from each other at the intermediate depth and deep ocean where important water masses exist. At the depth of 500 to 1 000 m where the oxygen minimum zones (OMZs) exist, all ESMs show a maximum of globally-averaged error and RMSE, and a minimum of the spatial correlation coefficient. In the ocean interior, the reason for model biases is complicated, and both the meridional overturning circulation (MOC) and the particulate organic carbon flux contribute to the biases of dissolved oxygen distribution. Analysis results show the physical bias contributes more. Simulation bias of important water masses such as North Atlantic Deep Water (NADW), Antarctic Bottom Water (AABW) and North Pacific Intermediate Water (NPIW) indicated by distributions of MOCs greatly affects the distributions of oxygen in north Atlantic, Southern Ocean and north Pacific, respectively. Although the model simulations of oxygen differ greatly from each other in the ocean interior, the multi-model mean shows a better agreement with the observation.</t>
  </si>
  <si>
    <t>[Bao Ying] State Ocean Adm, Inst Oceanog 1, Qingdao 266061, Peoples R China; [Bao Ying; Li Yangchun] Qingdao Natl Lab Marine Sci &amp; Technol, Lab Reg Oceanog &amp; Numer Modeling, Qingdao 266237, Peoples R China; [Li Yangchun] Chinese Acad Sci, Inst Atmospher Phys, State Key Lab Atmospher Boundary Layer Phys &amp; Atm, Beijing 100029, Peoples R China</t>
  </si>
  <si>
    <t>First Institute of Oceanography, Ministry of Natural Resources; Laoshan Laboratory; Chinese Academy of Sciences; Institute of Atmospheric Physics, CAS</t>
  </si>
  <si>
    <t>Li, YC (corresponding author), Qingdao Natl Lab Marine Sci &amp; Technol, Lab Reg Oceanog &amp; Numer Modeling, Qingdao 266237, Peoples R China.;Li, YC (corresponding author), Chinese Acad Sci, Inst Atmospher Phys, State Key Lab Atmospher Boundary Layer Phys &amp; Atm, Beijing 100029, Peoples R China.</t>
  </si>
  <si>
    <t>lych@mail.iap.ac.cn</t>
  </si>
  <si>
    <t>Li, Yangchun/AAG-7858-2020; IAP, LAPC/AAI-6390-2020</t>
  </si>
  <si>
    <t>IAP, LAPC/0000-0002-6195-7362</t>
  </si>
  <si>
    <t>National Natural Science Foundation of China [41306029]; Basic Scientific Fund for National Public Research Institutes of China [2013T01, 2014G25]</t>
  </si>
  <si>
    <t>National Natural Science Foundation of China(National Natural Science Foundation of China (NSFC)); Basic Scientific Fund for National Public Research Institutes of China</t>
  </si>
  <si>
    <t>The National Natural Science Foundation of China under contract No. 41306029; the Basic Scientific Fund for National Public Research Institutes of China under contract Nos 2013T01 and 2014G25.</t>
  </si>
  <si>
    <t>10.1007/s13131-016-0959-x</t>
  </si>
  <si>
    <t>EH0AD</t>
  </si>
  <si>
    <t>WOS:000391423600004</t>
  </si>
  <si>
    <t>Devillez, J; Charbonnier, S; Hyzny, M; Leroy, L</t>
  </si>
  <si>
    <t>Devillez, Julien; Charbonnier, Sylvain; Hyzny, Matus; Leroy, Lucien</t>
  </si>
  <si>
    <t>Review of the Early Cretaceous erymid lobsters (Crustacea: Decapoda) from the Western Tethys</t>
  </si>
  <si>
    <t>GEODIVERSITAS</t>
  </si>
  <si>
    <t>Crustacea; Erymidae; lobster; Mesozoic; Western Europe; lectotypification; new combinations; new genus; new species</t>
  </si>
  <si>
    <t>TAPHONOMY; FRANCE; PRESERVATION; GERMANY</t>
  </si>
  <si>
    <t>Erymid lobsters (Crustacea, Decapoda, Erymidae) are relatively common and abundant in Jurassic rocks (c. 70 species) but are far less common in the Early Cretaceous with about 20 species only listed in Europe, North America, South America, Australia, Antarctic, Japan, and Madagascar. A study of the twelve species of erymid lobsters from the Early Cretaceous of Europe (France, United Kingdom) is here presented. Based on new observations, the concepts of some erymid genera are updated and new diagnoses are proposed for Eryma Meyer, 1840, Enoploclytia M'Coy, 1849, Palaeastacus Bell, 1850, Pustulina Quenstedt, 1857, and Stenodactylina Beurlen, 1928, including carapace groove pattern, first pereiopods and also a new structure - the post-orbital area located in front of the cephalic region. The new genus Tethysastacus n. gen. is erected with Tethysastacus tithonius n. comb. (Valanginian, France) as type species. Five new species are described: Eryma vocontii n. sp. (Albian, France), Enoploclytia augustobonae n. sp. (Barremian, France), Enoploclytia gigantea n. sp. (Albian, Texas), Pustulina occitana n. sp. (Berriasian, France), and Pustulina colossea n. sp. (Hauterivian, France).</t>
  </si>
  <si>
    <t>[Devillez, Julien; Charbonnier, Sylvain] Museum Natl Hist Nat, Paris, France; [Devillez, Julien; Charbonnier, Sylvain] Sorbonne Univ, UPMC, MNHN, CNRS,CR2P,UMR 7207, 57 Rue Cuvier, F-75231 Paris 05, France; [Hyzny, Matus] Comenius Univ, Dept Geol &amp; Palaeontol, Fac Nat Sci, Mlynska Dolina G1, Bratislava 84215, Slovakia; [Hyzny, Matus] Nat Hist Museum Wien, Geol Palaontol Abt, Burgring 7, A-1010 Vienna, Austria</t>
  </si>
  <si>
    <t>Museum National d'Histoire Naturelle (MNHN); Sorbonne Universite; Museum National d'Histoire Naturelle (MNHN); Centre National de la Recherche Scientifique (CNRS); Comenius University Bratislava</t>
  </si>
  <si>
    <t>Devillez, J (corresponding author), Museum Natl Hist Nat, Paris, France.;Devillez, J (corresponding author), Sorbonne Univ, UPMC, MNHN, CNRS,CR2P,UMR 7207, 57 Rue Cuvier, F-75231 Paris 05, France.</t>
  </si>
  <si>
    <t>julien.devillez@edu.mnhn.fr; sylvain.charbonnier@mnhn.fr; hyzny.matus@gmail.com; lucien.leroy@orange.fr</t>
  </si>
  <si>
    <t>Charbonnier, Sylvain/AAU-9571-2020; /ABG-2074-2021</t>
  </si>
  <si>
    <t>1280-9659</t>
  </si>
  <si>
    <t>1638-9395</t>
  </si>
  <si>
    <t>Geodiversitas</t>
  </si>
  <si>
    <t>10.5252/g2016n4a4</t>
  </si>
  <si>
    <t>EH4YA</t>
  </si>
  <si>
    <t>WOS:000391778600004</t>
  </si>
  <si>
    <t>Czechowski, P; White, D; Clarke, L; McKay, A; Cooper, A; Stevens, MI</t>
  </si>
  <si>
    <t>Czechowski, Paul; White, Duanne; Clarke, Laurence; McKay, Alan; Cooper, Alan; Stevens, Mark I.</t>
  </si>
  <si>
    <t>Age-related environmental gradients influence invertebrate distribution in the Prince Charles Mountains, East Antarctica</t>
  </si>
  <si>
    <t>Antarctica; invertebrates; environmental DNA; gradient; salinity; high-throughput sequencing</t>
  </si>
  <si>
    <t>SOUTHERN VICTORIA LAND; DRY VALLEY SOILS; BIODIVERSITY; DIVERSITY; PATTERNS; SURVIVAL; BIOGEOGRAPHY; METABARCODES; REPRODUCTION; MICROFAUNA</t>
  </si>
  <si>
    <t>The potential impact of environmental change on terrestrial Antarctic ecosystems can be explored by inspecting biodiversity patterns across large-scale gradients. Unfortunately, morphology-based surveys of Antarctic invertebrates are time-consuming and limited by the cryptic nature of many taxa. We used biodiversity information derived from high-throughput sequencing (HTS) to elucidate the relationship between soil properties and invertebrate biodiversity in the Prince Charles Mountains, East Antarctica. Across 136 analysed soil samples collected from Mount Menzies, Mawson Escarpment and Lake Terrasovoje, we found invertebrate distribution in the Prince Charles Mountains significantly influenced by soil salinity and/or sulfur content. Phyla Tardigrada and Arachnida occurred predominantly in low-salinity substrates with abundant nutrients, whereas Bdelloidea (Rotifera) and Chromadorea (Nematoda) were more common in highly saline substrates. A significant correlation between invertebrate occurrence, soil salinity and time since deglaciation indicates that terrain age indirectly influences Antarctic terrestrial biodiversity, with more recently deglaciated areas supporting greater diversity. Our study demonstrates the value of HTS metabarcoding to investigate environmental constraints on inconspicuous soil biodiversity across large spatial scales.</t>
  </si>
  <si>
    <t>[Czechowski, Paul; Clarke, Laurence; Cooper, Alan] Univ Adelaide, Australian Ctr Ancient DNA, Adelaide, SA 5005, Australia; [Czechowski, Paul] Antarctic Biol Res Initiat, Bolivar, SA 5110, Australia; [White, Duanne] Univ Canberra, Inst Appl Ecol, Canberra, ACT 2601, Australia; [Clarke, Laurence] Australian Antarctic Div, Kingston, Tas 7050, Australia; [Clarke, Laurence] Univ Tasmania, Antarctic Climate &amp; Ecosyst Cooperat Res Ctr, Hobart, Tas 7001, Australia; [McKay, Alan] South Australian Res &amp; Dev Inst, Plant &amp; Soil Hlth, Waite Campus, Urrbrae, SA 5064, Australia; [Stevens, Mark I.] South Australian Museum, Ctr Sci, Adelaide, SA 5000, Australia; [Stevens, Mark I.] Univ South Australia, Sch Pharm &amp; Med Sci, Adelaide, SA 5001, Australia</t>
  </si>
  <si>
    <t>University of Adelaide; University of Canberra; Australian Antarctic Division; Antarctic Climate &amp; Ecosystems Cooperative Research Centre (ACE CRC); University of Tasmania; South Australian Research &amp; Development Institute (SARDI); South Australian Museum; University of South Australia</t>
  </si>
  <si>
    <t>Czechowski, P (corresponding author), Univ Adelaide, Australian Ctr Ancient DNA, Adelaide, SA 5005, Australia.;Czechowski, P (corresponding author), Antarctic Biol Res Initiat, Bolivar, SA 5110, Australia.</t>
  </si>
  <si>
    <t>paul.czechowski@abiori.org</t>
  </si>
  <si>
    <t>Czechowski, Paul/M-4749-2019; White, Duanne A/E-6919-2012; Clarke, Laurence/N-3579-2017; Cooper, Alan/E-8171-2012</t>
  </si>
  <si>
    <t>Czechowski, Paul/0000-0001-7894-4042; Clarke, Laurence/0000-0002-0844-4453; Cooper, Alan/0000-0002-7738-7851; White, Duanne/0000-0003-0740-2072</t>
  </si>
  <si>
    <t>University of Adelaide through an International Post-Graduate Research Scholarship; University of Adelaide through Royal Society of South Australia; University of Canberra; Australian Antarctic Division [2355]; Australian Research Council [LP0991985]; Sir Mark Mitchell Foundation; Australian Research Council [LP0991985] Funding Source: Australian Research Council</t>
  </si>
  <si>
    <t>University of Adelaide through an International Post-Graduate Research Scholarship; University of Adelaide through Royal Society of South Australia; University of Canberra; Australian Antarctic Division; Australian Research Council(Australian Research Council); Sir Mark Mitchell Foundation; Australian Research Council(Australian Research Council)</t>
  </si>
  <si>
    <t>P.C. was supported by The University of Adelaide through an International Post-Graduate Research Scholarship, and through the Royal Society of South Australia. D.W. was supported by The University of Canberra. M.S. received funding from The Australian Antarctic Division, science project 2355. A.C. and M.S. received funding for this project through Australian Research Council linkage grant LP0991985, which also supported L.C. in this project. M.S. and P.C. received funding for this project from the Sir Mark Mitchell Foundation.</t>
  </si>
  <si>
    <t>10.1098/rsos.160296</t>
  </si>
  <si>
    <t>EH4HH</t>
  </si>
  <si>
    <t>gold, Green Published, Green Accepted, Green Submitted</t>
  </si>
  <si>
    <t>WOS:000391731800005</t>
  </si>
  <si>
    <t>Heggie, V</t>
  </si>
  <si>
    <t>Heggie, Vanessa</t>
  </si>
  <si>
    <t>Higher and colder: The success and failure of boundaries in high altitude and Antarctic research stations</t>
  </si>
  <si>
    <t>SOCIAL STUDIES OF SCIENCE</t>
  </si>
  <si>
    <t>altitude; Antarctica; experiment; exploration; field stations; fieldwork; laboratories; mountains; physiology</t>
  </si>
  <si>
    <t>LABORATORY DESIGN; FIELD-SITES; SCIENCE; EXPEDITION; PHYSIOLOGY; HISTORY; OBJECTIVITY; OXYGEN; PLACE</t>
  </si>
  <si>
    <t>This article offers a series of case studies of field stations and field laboratories based at high altitudes in the Alps, Himalayas and Antarctica, which have been used by Western scientists (largely physiologists and physicists) from circa 1820 to present. It rejects the common frame for work on such spaces that polarizes a set of generalizations about practices undertaken in the field' versus the laboratory'. Field sites are revealed as places that can be used to highlight common and crucial features of modern experimental science that are exposed by, but not uniquely the properties of, fieldwork. This includes heterogeneity of population and practice, diverse afterlives, the manner in which spaces of science construct individual and group expertise, and the extensive support and funding structures needed for modern scientific work.</t>
  </si>
  <si>
    <t>[Heggie, Vanessa] Univ Birmingham, Social Studies Med, 90 Vincent Dr, Birmingham B15 2SQ, W Midlands, England</t>
  </si>
  <si>
    <t>University of Birmingham</t>
  </si>
  <si>
    <t>Heggie, V (corresponding author), Univ Birmingham, Social Studies Med, 90 Vincent Dr, Birmingham B15 2SQ, W Midlands, England.</t>
  </si>
  <si>
    <t>v.heggie@bham.ac.uk</t>
  </si>
  <si>
    <t>Heggie, Vanessa/C-6361-2012</t>
  </si>
  <si>
    <t>Heggie, Vanessa/0000-0001-9659-7072</t>
  </si>
  <si>
    <t>Wellcome Trust [088204/Z/09/A]; Isaac Newton Trust; Birmingham Fellowship; Wellcome Trust [088204/Z/09/A] Funding Source: Wellcome Trust</t>
  </si>
  <si>
    <t>Wellcome Trust(Wellcome Trust); Isaac Newton Trust; Birmingham Fellowship; Wellcome Trust(Wellcome Trust)</t>
  </si>
  <si>
    <t>Research for this paper was funded in part by the Wellcome Trust (grant no: 088204/Z/09/A) and the Isaac Newton Trust; writing up was made possible by the Medicine, Ethics, Society and History (now the Social Studies of Medicine) Unit at the University of Birmingham and my associated Birmingham Fellowship.</t>
  </si>
  <si>
    <t>0306-3127</t>
  </si>
  <si>
    <t>1460-3659</t>
  </si>
  <si>
    <t>SOC STUD SCI</t>
  </si>
  <si>
    <t>Soc. Stud. Sci.</t>
  </si>
  <si>
    <t>10.1177/0306312716636249</t>
  </si>
  <si>
    <t>Science Citation Index Expanded (SCI-EXPANDED); Social Science Citation Index (SSCI); Arts &amp; Humanities Citation Index (A&amp;HCI)</t>
  </si>
  <si>
    <t>EH1UV</t>
  </si>
  <si>
    <t>WOS:000391553800002</t>
  </si>
  <si>
    <t>Viana, DR; Sansigolo, CA</t>
  </si>
  <si>
    <t>Viana, Denilson Ribeiro; Sansigolo, Clovis Angeli</t>
  </si>
  <si>
    <t>Monthly and Seasonal Rainfall Forecasting in Southern Brazil Using Multiple Discriminant Analysis</t>
  </si>
  <si>
    <t>WEATHER AND FORECASTING</t>
  </si>
  <si>
    <t>EL-NINO; SURFACE-TEMPERATURE; CLIMATE PREDICTION; MONSOON RAINFALL; SEA-ICE; SKILL; VARIABILITY; AMERICA; PREDICTABILITY; PRECIPITATION</t>
  </si>
  <si>
    <t>A multiple discriminant analysis was employed to forecast monthly and seasonal rainfall in southern Brazil. The methodology used includes six steps: data acquisition, preprocessing, feature extraction, feature selection, classification, and evaluation. The predictors (atmospheric, surface, and oceanic variables) and predictand (rainfall) were obtained from the Twentieth Century Reanalysis (version 2), as well as from the HadISST1 (Met Office Hadley Centre) and Global Precipitation Climatology Centre (GPCC) databases. The definition of key regions (feature extraction step) was performed using spatial principal component analysis. In the selection step, the rainfall time series were allocated into terciles, which were related to the predictors via multiple discriminating analyses. The results revealed that 1/3 of the predictors are associated with atmospheric pressure and also emphasized the role of atmospheric circulation over the Antarctic region and its surroundings. Surface variables (albedo and soil moisture) were also of great importance in the forecasting. The average skill score (gain over climatology) was 29%. It is concluded that the proposed model is a reliable alternative for use in forecasting monthly and seasonal rainfall over southern Brazil.</t>
  </si>
  <si>
    <t>[Viana, Denilson Ribeiro; Sansigolo, Clovis Angeli] Natl Inst Space Res, Ctr Weather Forecasting &amp; Climate Studies, Av Astronautas 1758, BR-12227010 Sao Paulo, Brazil</t>
  </si>
  <si>
    <t>Viana, DR (corresponding author), Natl Inst Space Res, Ctr Weather Forecasting &amp; Climate Studies, Av Astronautas 1758, BR-12227010 Sao Paulo, Brazil.</t>
  </si>
  <si>
    <t>ribeiro.denilson@cptec.inpe.br; clovis.sansigolo@cptec.inpe.br</t>
  </si>
  <si>
    <t>CAPES; CNPq</t>
  </si>
  <si>
    <t>CAPES(Coordenacao de Aperfeicoamento de Pessoal de Nivel Superior (CAPES)); CNPq(Conselho Nacional de Desenvolvimento Cientifico e Tecnologico (CNPQ))</t>
  </si>
  <si>
    <t>This paper is part of the DRV's Ph.D. dissertation in meteorology at INPE in 2015. DRV acknowledges the CAPES and CNPq for the Ph.D. scholarship. We also thank the anonymous reviewers for their helpful comments and suggestions for improving the manuscript.</t>
  </si>
  <si>
    <t>45 BEACON ST, BOSTON, MA 02108-3693, UNITED STATES</t>
  </si>
  <si>
    <t>0882-8156</t>
  </si>
  <si>
    <t>1520-0434</t>
  </si>
  <si>
    <t>WEATHER FORECAST</t>
  </si>
  <si>
    <t>Weather Forecast.</t>
  </si>
  <si>
    <t>10.1175/WAF-D-15-0155.1</t>
  </si>
  <si>
    <t>EH1IR</t>
  </si>
  <si>
    <t>WOS:000391518700011</t>
  </si>
  <si>
    <t>Kutuzov, SS; Mikhalenko, VN; Grachev, AM; Ginot, P; Lavrentiev, II; Kozachek, AV; Krupskaya, VV; Ekaykin, AA; Tielidze, LG; Toropov, PA</t>
  </si>
  <si>
    <t>Kutuzov, Stanislav S.; Mikhalenko, Vladimir N.; Grachev, Alexi M.; Ginot, Patrick; Lavrentiev, Ivan I.; Kozachek, Anna V.; Krupskaya, Victoria V.; Ekaykin, Alexey A.; Tielidze, Levan G.; Toropov, Pavel A.</t>
  </si>
  <si>
    <t>First geophysical and shallow ice core investigation of the Kazbek plateau glacier, Caucasus Mountains</t>
  </si>
  <si>
    <t>ENVIRONMENTAL EARTH SCIENCES</t>
  </si>
  <si>
    <t>Mountain glaciers; Ice cores; The Caucasus; Mt. Kazbek; GPR; Oxygen isotopes; Dust content</t>
  </si>
  <si>
    <t>ASIAN MONSOON; MT. ELBRUS; RECORD; TEMPERATURE; CLIMATE; COLD; SNOW; EMISSIONS; CHEMISTRY; HISTORY</t>
  </si>
  <si>
    <t>First-ever ice core drilling at Mt. Kazbek (Caucasus Mountains) took place in the summer of 2014. A shallow ice core (18 m) was extracted from a plateau at similar to 4500 m a.s.l. in the vicinity of the Mt. Kazbek summit (5033 m a.s.l.). A detailed radar survey showed that the maximum ice thickness at this location is similar to 250 m. Borehole temperature of -7 degrees C was measured at 10 m depth. The ice core was analyzed for oxygen and deuterium isotopes and dust concentration. From the observed seasonal cycle, it was determined that the ice core covers the time interval of 2009-2014, with a mean annual snow accumulation rate of 1800 mm w.eq. Multiple melt layers have been detected. delta O-18 values vary from -25 to -5%. The dust content was determined using a particle sizing and counting analyzer. The dust layers were investigated using scanning electron microscopy and X-ray diffraction analysis. Dust can be separated into two categories by its origin: local and distant. Samples reflecting predominantly local origin consisted mainly of magmatic rocks, while clay minerals were a characteristic of dust carried over large distances, from the deserts of the Middle East and Sahara. The calculated average dust flux over three years at Kazbek was of 1.3 mg/cm(2) a(-1). Neither delta O-18 nor dust records appear to have been affected by summer melting. Overall, the conditions on Kazbek plateau and the available data suggest that the area offers good prospects of future deep drilling in order to obtain a unique environmental record.</t>
  </si>
  <si>
    <t>[Kutuzov, Stanislav S.; Mikhalenko, Vladimir N.; Grachev, Alexi M.; Lavrentiev, Ivan I.] Russian Acad Sci, Inst Geog, Dept Glaciol, 29 Staromonetniy Pereulok, Moscow 119017, Russia; [Ginot, Patrick] OSUG, IRD UGA CNRS, Grenoble, France; [Ginot, Patrick] UGA CNRS, LGGE, Grenoble, France; [Kozachek, Anna V.; Ekaykin, Alexey A.] Arctic &amp; Antarctic Res Inst, 38 Beringa St, St Petersburg 199397, Russia; [Krupskaya, Victoria V.] Russian Acad Sci, Inst Geol Ore Deposits Petrol Mineral &amp; Geochem, 35 Staromonetniy Pereulok, Moscow 119017, Russia; [Krupskaya, Victoria V.] Moscow MV Lomonosov State Univ, Fac Geol, Dept Engn &amp; Ecol Geol, GSP-1, Moscow 119992, Russia; [Ekaykin, Alexey A.] St Petersburg State Univ, Inst Earth Sci, St Petersburg 199178, Russia; [Tielidze, Levan G.] Javakhishvili Tbilisi State Univ, Vakhushti Bagrationi Inst Geog, Dept Geomorphol, 6 Tamarashvili St, GE-0177 Tbilisi, Georgia; [Toropov, Pavel A.] Moscow MV Lomonosov State Univ, Fac Geog, Dept Meteorol &amp; Climatol, GSP-1, Moscow 119992, Russia</t>
  </si>
  <si>
    <t>Institute of Geography, Russian Academy of Sciences; Russian Academy of Sciences; Universite Gustave-Eiffel; Laboratoire Central des Ponts et Chaussees (LCPC); Communaute Universite Grenoble Alpes; Institut National Polytechnique de Grenoble; Universite Grenoble Alpes (UGA); Centre National de la Recherche Scientifique (CNRS); Institut de Recherche pour le Developpement (IRD); Universite Savoie Mont Blanc; Communaute Universite Grenoble Alpes; Universite Grenoble Alpes (UGA); Arctic &amp; Antarctic Research Institute; Russian Academy of Sciences; Institute of Geology of Ore Deposits, Petrography, Mineralogy &amp; Geochemistry; Lomonosov Moscow State University; Saint Petersburg State University; Ivane Javakhishvili Tbilisi State University; Lomonosov Moscow State University</t>
  </si>
  <si>
    <t>Kutuzov, SS (corresponding author), Russian Acad Sci, Inst Geog, Dept Glaciol, 29 Staromonetniy Pereulok, Moscow 119017, Russia.</t>
  </si>
  <si>
    <t>s.kutuzov@gmail.com</t>
  </si>
  <si>
    <t>Lavrentiev, Ivan/AAG-8519-2021; Tielidze, Levan G/E-2690-2018; Kozachek, Anna V./Q-4543-2016; Lavrentiev, Ivan/E-2224-2017; Toropov, Pavel A./O-1903-2013; Kutuzov, Stanislav/A-2775-2013; Kozachek, Anna V./JCE-4791-2023; Grachev, Alexei/AAG-2843-2021; Krupskaya, Victoria V/J-7784-2012; Mikhalenko, Vladimir N/A-4253-2014; Ekaykin, Alexey A./K-9894-2015</t>
  </si>
  <si>
    <t>Lavrentiev, Ivan/0000-0002-6902-7186; Tielidze, Levan G/0000-0002-4646-5458; Kozachek, Anna V./0000-0002-9704-8064; Lavrentiev, Ivan/0000-0002-6902-7186; Kutuzov, Stanislav/0000-0003-2007-0922; Mikhalenko, Vladimir/0000-0001-6097-9861; Pavel, Toropov/0000-0003-0922-1486; Krupskaya, Victoria/0000-0002-6127-748X</t>
  </si>
  <si>
    <t>Russian Foundation for Basic Research [14-05-00137]</t>
  </si>
  <si>
    <t>The authors are grateful to Prof. Maria Shahgedanova (University of Reading, UK) for providing critical comments on the early version of the manuscript. Critical suggestions by the two anonymous Reviewers allowed substantially improving the manuscript. We are grateful to Jason Cervenec (Byrd Polar and Climate Research Center) for English improvement when preparing the revised version. This study was supported by the Russian Foundation for Basic Research (Grant No. 14-05-00137). SEM and XRD equipment that was employed this work became available at the Department of Engineering and Ecological Geology of the Moscow State University through the Development Program of the Moscow State University.</t>
  </si>
  <si>
    <t>1866-6280</t>
  </si>
  <si>
    <t>1866-6299</t>
  </si>
  <si>
    <t>ENVIRON EARTH SCI</t>
  </si>
  <si>
    <t>Environ. Earth Sci.</t>
  </si>
  <si>
    <t>10.1007/s12665-016-6295-9</t>
  </si>
  <si>
    <t>Environmental Sciences; Geosciences, Multidisciplinary; Water Resources</t>
  </si>
  <si>
    <t>Environmental Sciences &amp; Ecology; Geology; Water Resources</t>
  </si>
  <si>
    <t>EG9LM</t>
  </si>
  <si>
    <t>WOS:000391380300024</t>
  </si>
  <si>
    <t>Arzel, O; de Verdière, AC</t>
  </si>
  <si>
    <t>Arzel, Olivier; de Verdiere, Alain Colin</t>
  </si>
  <si>
    <t>Can We Infer Diapycnal Mixing Rates from the World Ocean Temperature-Salinity Distribution?</t>
  </si>
  <si>
    <t>MERIDIONAL OVERTURNING CIRCULATION; NORTH-ATLANTIC CIRCULATION; LARGE-SCALE CIRCULATION; ANTARCTIC BOTTOM WATER; SOUTHERN-OCEAN; GENERAL-CIRCULATION; HYDROGRAPHIC DATA; HEAT-TRANSPORT; DEEP-OCEAN; PART I</t>
  </si>
  <si>
    <t>The turbulent diapycnal mixing in the ocean is currently obtained from microstructure and finestructure measurements, dye experiments, and inverse models. This study presents a new method that infers the diapycnal mixing from low-resolution numerical calculations of the World Ocean whose temperatures and salinities are restored to the climatology. At the difference of robust general circulation ocean models, diapycnal diffusion is not prescribed but inferred. At steady state the buoyancy equation shows an equilibrium between the large-scale diapycnal advection and the restoring terms that take the place of the divergence of eddy buoyancy fluxes. The geography of the diapycnal flow reveals a strong regional variability of water mass transformations. Positive values of the diapycnal flow indicate an erosion of a deep-water mass and negative values indicate a creation. When the diapycnal flow is upward, a diffusion law can be fitted in the vertical and the diapycnal eddy diffusivity is obtained throughout the water column. The basin averages of diapycnal diffusivities are small in the first 1500 m [O(10(-5)) m(2) s(-1)] and increase downward with bottom values of about 2.5 x 10(-4) m(2) s(-1) in all ocean basins, with the exception of the Southern Ocean (50 degrees-30 degrees S), where they reach 12 x 10(-4) m(2) s(-1). This study confirms the small diffusivity in the thermocline and the robustness of the higher canonical Munk's value in the abyssal ocean. It indicates that the upward dianeutral transport in the Atlantic mostly takes place in the abyss and the upper ocean, supporting the quasi-adiabatic character of the middepth overturning.</t>
  </si>
  <si>
    <t>[Arzel, Olivier; de Verdiere, Alain Colin] Univ Bretagne Occidentale, Lab Oceanog Phys &amp; Spatiale, Brest, France</t>
  </si>
  <si>
    <t>Ifremer; Universite de Bretagne Occidentale</t>
  </si>
  <si>
    <t>Arzel, O (corresponding author), Univ Bretagne Occidentale, Lab Oceanog Phys &amp; Spatiale, Brest, France.</t>
  </si>
  <si>
    <t>olivier.arzel@univ-brest.fr</t>
  </si>
  <si>
    <t>10.1175/JPO-D-16-0152.1</t>
  </si>
  <si>
    <t>EG9AL</t>
  </si>
  <si>
    <t>WOS:000391349300015</t>
  </si>
  <si>
    <t>Liu, SJ; Lv, Y; Tong, XH; Xie, H; Liu, J; Chen, L</t>
  </si>
  <si>
    <t>Liu, Shijie; Lv, Yi; Tong, Xiaohua; Xie, Huan; Liu, Jun; Chen, Lei</t>
  </si>
  <si>
    <t>An Alternative Approach for Registration of High-Resolution Satellite Optical Imagery and ICESat Laser Altimetry Data</t>
  </si>
  <si>
    <t>SENSORS</t>
  </si>
  <si>
    <t>Antarctica; ASTER; ZY-3; ICESat; feature point; feature line; registration</t>
  </si>
  <si>
    <t>DIGITAL ELEVATION MODEL; AUTOMATIC REGISTRATION; SPATIAL-RESOLUTION; CO-REGISTRATION; AERIAL IMAGES; ASTER DEMS; LIDAR DATA; GLACIER; ADJUSTMENT; ANTARCTICA</t>
  </si>
  <si>
    <t>Satellite optical images and altimetry data are two major data sources used in Antarctic research. The integration use of these two datasets is expected to provide more accurate and higher quality products, during which data registration is the first issue that needs to be solved. This paper presents an alternative approach for the registration of high-resolution satellite optical images and ICESat (Ice, Cloud, and land Elevation Satellite) laser altimetry data. Due to the sparse distribution characteristic of the ICESat laser point data, it is difficult and even impossible to find same-type conjugate features between ICESat data and satellite optical images. The method is implemented in a direct way to correct the point-to-line inconsistency in image space through 2D transformation between the projected terrain feature points and the corresponding 2D image lines, which is simpler than discrepancy correction in object space that requires stereo images for 3D model construction, and easier than the indirect way of image orientation correction via photogrammetric bundle adjustment. The correction parameters are further incorporated into imaging model through RPCs (Rational Polynomial Coefficients) generation/regeneration for the convenience of photogrammetric applications. The experimental results by using the ASTER (Advanced Spaceborne Thermal Emission and Reflection Radiometer) images and ZY-3 (Ziyuan-3 satellite) images for registration with ICESat data showed that sub-pixel level registration accuracies were achieved after registration, which have validated the feasibility and effectiveness of the presented approach.</t>
  </si>
  <si>
    <t>[Liu, Shijie; Lv, Yi; Tong, Xiaohua; Xie, Huan; Liu, Jun; Chen, Lei] Tongji Univ, Coll Surveying &amp; Geoinformat, 1239 Siping Rd, Shanghai 200092, Peoples R China; [Liu, Shijie; Tong, Xiaohua; Xie, Huan; Liu, Jun; Chen, Lei] Tongji Univ, Ctr Spatial Informat Sci &amp; Sustainable Dev Applic, 1239 Siping Rd, Shanghai 200092, Peoples R China</t>
  </si>
  <si>
    <t>Tongji University; Tongji University</t>
  </si>
  <si>
    <t>Liu, SJ; Tong, XH (corresponding author), Tongji Univ, Coll Surveying &amp; Geoinformat, 1239 Siping Rd, Shanghai 200092, Peoples R China.;Liu, SJ; Tong, XH (corresponding author), Tongji Univ, Ctr Spatial Informat Sci &amp; Sustainable Dev Applic, 1239 Siping Rd, Shanghai 200092, Peoples R China.</t>
  </si>
  <si>
    <t>liusjtj@tongji.edu.cn; 2009hello@tongji.edu.cn; xhtong@tongji.edu.cn; huanxie@tongji.edu.cn; 10junliurs@tongji.edu.cn; 103495chen@tongji.edu.cn</t>
  </si>
  <si>
    <t>xie, huan/GQQ-4398-2022</t>
  </si>
  <si>
    <t>Liu, Shijie/0000-0002-5941-0763; Lv, Yi/0000-0003-0973-8207</t>
  </si>
  <si>
    <t>National Natural Science Foundation of China [41401531, 41325005, 41571407, 41631178, 4611130113]; Shanghai Sailing Program [14YF1403300]; National Key Basic Research Program of China (973 Program) [2012CB957701, 2012CB957704]; Fundamental Research Funds for the Central Universities</t>
  </si>
  <si>
    <t>National Natural Science Foundation of China(National Natural Science Foundation of China (NSFC)); Shanghai Sailing Program; National Key Basic Research Program of China (973 Program)(National Basic Research Program of China); Fundamental Research Funds for the Central Universities(Fundamental Research Funds for the Central Universities)</t>
  </si>
  <si>
    <t>This work was supported by the National Natural Science Foundation of China (Project Nos. 41401531, 41325005, 41571407, 41631178, 4611130113), the Shanghai Sailing Program (Project No. 14YF1403300), the National Key Basic Research Program of China (973 Program) (Project Nos. 2012CB957701, 2012CB957704), and the Fundamental Research Funds for the Central Universities.</t>
  </si>
  <si>
    <t>1424-8220</t>
  </si>
  <si>
    <t>SENSORS-BASEL</t>
  </si>
  <si>
    <t>Sensors</t>
  </si>
  <si>
    <t>10.3390/s16122008</t>
  </si>
  <si>
    <t>Chemistry, Analytical; Engineering, Electrical &amp; Electronic; Instruments &amp; Instrumentation</t>
  </si>
  <si>
    <t>Chemistry; Engineering; Instruments &amp; Instrumentation</t>
  </si>
  <si>
    <t>EG8JM</t>
  </si>
  <si>
    <t>WOS:000391303000028</t>
  </si>
  <si>
    <t>Zeng, C; Xu, HP; Fischer, AM</t>
  </si>
  <si>
    <t>Zeng, Chen; Xu, Huiping; Fischer, Andrew M.</t>
  </si>
  <si>
    <t>Chlorophyll-a Estimation Around the Antarctica Peninsula Using Satellite Algorithms: Hints from Field Water Leaving Reflectance</t>
  </si>
  <si>
    <t>water leaving reflectance; skylight downwelling radiance; chlorophyll-a estimation; MODIS; VIIRS</t>
  </si>
  <si>
    <t>INHERENT OPTICAL-PROPERTIES; SOUTHERN-OCEAN; ATMOSPHERIC CORRECTION; BIOOPTICAL PROPERTIES; SEA-ICE; COLOR; PHYTOPLANKTON; ABSORPTION; RETRIEVALS; VALIDATION</t>
  </si>
  <si>
    <t>Ocean color remote sensing significantly contributes to our understanding of phytoplankton distribution and abundance and primary productivity in the Southern Ocean (SO). However, the current SO in situ optical database is still insufficient and unevenly distributed. This limits the ability to produce robust and accurate measurements of satellite-based chlorophyll. Based on data collected on cruises around the Antarctica Peninsula (AP) on January 2014 and 2016, this research intends to enhance our knowledge of SO water and atmospheric optical characteristics and address satellite algorithm deficiency of ocean color products. We collected high resolution in situ water leaving reflectance (+/- 1 nm band resolution), simultaneous in situ chlorophyll-a concentrations and satellite (MODIS and VIIRS) water leaving reflectance. Field samples show that clouds have a great impact on the visible green bands and are difficult to detect because NASA protocols apply the NIR band as a cloud contamination threshold. When compared to global case I water, water around the AP has lower water leaving reflectance and a narrower blue-green band ratio, which explains chlorophyll-a underestimation in high chlorophyll-a regions and overestimation in low chlorophyll-a regions. VIIRS shows higher spatial coverage and detection accuracy than MODIS. After coefficient improvement, VIIRS is able to predict chlorophyll a with 53% accuracy.</t>
  </si>
  <si>
    <t>[Zeng, Chen; Xu, Huiping] Tongji Univ, Sch Ocean &amp; Earth Sci, Shanghai 200092, Peoples R China; [Zeng, Chen] Univ British Columbia, Dept Earth Ocean &amp; Atmospher Sci, Vancouver, BC V6T 1Z4, Canada; [Xu, Huiping] Chinese Acad Sci, Inst Deep Sea Sci &amp; Engn, Sanya 572000, Peoples R China; [Fischer, Andrew M.] Univ Tasmania, Inst Marine &amp; Antarctic Studies, Launceston, Tas 7250, Australia</t>
  </si>
  <si>
    <t>Tongji University; University of British Columbia; Chinese Academy of Sciences; Institute of Deep-Sea Science &amp; Engineering, CAS; University of Tasmania</t>
  </si>
  <si>
    <t>Zeng, C (corresponding author), Tongji Univ, Sch Ocean &amp; Earth Sci, Shanghai 200092, Peoples R China.;Zeng, C (corresponding author), Univ British Columbia, Dept Earth Ocean &amp; Atmospher Sci, Vancouver, BC V6T 1Z4, Canada.</t>
  </si>
  <si>
    <t>07zengchen@tongji.edu.cn; xuhp@sidsse.ac.cn; andy.fischer@utas.edu.au</t>
  </si>
  <si>
    <t>zeng, chen/0000-0001-5049-8001; Fischer, Andrew/0000-0001-5284-6428</t>
  </si>
  <si>
    <t>Chinese Polar Environment Comprehensive Investigation &amp; Assessment Programmes [CHINARE2015-02-04, CHINARE2016-02-04]</t>
  </si>
  <si>
    <t>Chinese Polar Environment Comprehensive Investigation &amp; Assessment Programmes</t>
  </si>
  <si>
    <t>This work was supported by the Chinese Polar Environment Comprehensive Investigation &amp; Assessment Programmes (CHINARE2015-02-04 &amp; CHINARE2016-02-04). SO in situ data is issued by Data-sharing Platform of Polar Science Data (http://www.chinare.org.cn), which established by National Science &amp; Technology Infrastructures Polar Research Institute of China (PRIC) and Chinese National Arctic &amp; Antarctic Data Center (CN-NADC). Satellite Ocean Color data is provide by NASA Goddard Space Flight Center, Ocean Ecology Laboratory, Ocean Biology Processing Group. We would also like to appreciate the hard work and time of the anonymous reviewers.</t>
  </si>
  <si>
    <t>10.3390/s16122075</t>
  </si>
  <si>
    <t>WOS:000391303000095</t>
  </si>
  <si>
    <t>Shin, J; Kim, KH; Jin, H; Kim, H; Kwon, JW; Lee, S; Lee, JK; Lee, S; Jee, G; Lessard, MR</t>
  </si>
  <si>
    <t>Shin, Jehyuck; Kim, Khan-Hyuk; Jin, Ho; Kim, Hyomin; Kwon, Jong-Woo; Lee, Seungah; Lee, Jung-Kyu; Lee, Seongwhan; Jee, Geonhwa; Lessard, Marc R.</t>
  </si>
  <si>
    <t>Development of Ground-Based Search-Coil Magnetometer for Near-Earth Space Research</t>
  </si>
  <si>
    <t>JOURNAL OF MAGNETICS</t>
  </si>
  <si>
    <t>magnetometer; search-coil magnetometer; magnetosphere; ionosphere; ULF waves</t>
  </si>
  <si>
    <t>MAGNETIC SENSORS; MICROPULSATIONS; PULSATIONS</t>
  </si>
  <si>
    <t>We report on development of a ground-based bi-axial Search-Coil Magnetometer (SCM) designed to measure time-varying magnetic fields associated with magnetosphere-ionosphere coupling processes. The instrument provides two-axis magnetic field wave vector data in the Ultra Low Frequency or ULF (1 mHz to 5 Hz) range. ULF waves are well known to play an important role in energy transport and loss in geospace. The SCM will primarily be used to observe generation and propagation of the subclass of ULF waves. The analog signals produced by the search-coil magnetic sensors are amplified and filtered over a specified frequency range via electronics. Data acquisition system digitizes data at 10 samples/s rate with 16-bit resolution. Test results show that the resolution of the magnetometer reaches 0.1 pT/root Hz at 1 Hz, and demonstrate its satisfactory performance, detecting geomagnetic pulsations. This instrument is scheduled to be installed at the Korean Antarctic station, Jang Bogo, in the austral summer 2016-2017.</t>
  </si>
  <si>
    <t>[Shin, Jehyuck; Kim, Khan-Hyuk; Jin, Ho; Kwon, Jong-Woo; Lee, Jung-Kyu; Lee, Seongwhan] Kyung Hee Univ, Sch Space Res, Yongin 17104, South Korea; [Kim, Khan-Hyuk; Jin, Ho; Lee, Seungah] Kyung Hee Univ, Dept Astron &amp; Space Sci, Yongin 17104, South Korea; [Kim, Hyomin] New Jersey Inst Technol, Ctr Solar Terrestrial Res, Newark, NJ 07102 USA; [Jee, Geonhwa] Korea Polar Res Inst, Inchon 21990, South Korea; [Lessard, Marc R.] Univ New Hampshire, Ctr Space Sci, Durham, NH 03824 USA</t>
  </si>
  <si>
    <t>Kyung Hee University; Kyung Hee University; New Jersey Institute of Technology; Korea Polar Research Institute (KOPRI); University System Of New Hampshire; University of New Hampshire</t>
  </si>
  <si>
    <t>Jin, H (corresponding author), Kyung Hee Univ, Sch Space Res, Yongin 17104, South Korea.;Jin, H (corresponding author), Kyung Hee Univ, Dept Astron &amp; Space Sci, Yongin 17104, South Korea.</t>
  </si>
  <si>
    <t>benho@khu.ac.kr</t>
  </si>
  <si>
    <t>Jin, Ho/J-5303-2012; Lee, Seungah/AAK-7184-2020; Kim, Khan-Hyuk/E-2361-2013</t>
  </si>
  <si>
    <t>Jin, Ho/0000-0002-1773-8234; Lee, Seungah/0000-0002-4254-7018; Lee, Seongwhan/0000-0001-9805-918X; Kim, Khan-Hyuk/0000-0001-8872-6065</t>
  </si>
  <si>
    <t>Development of the SCM was supported by the Korea Polar Research Institute (KOPRI) as the research project named Study of magnetosphere-polar ionospherenpper atmosphere coupling. We thank search-coil magnetometer project teams at New Jersey Institute of Technology and University of New Hampshire. We also acknowledge support from Bohyunsan Astronomical Observatory for the field test. Fluxgate magnetometer data from Mineyama are obtained from World Data Center for Geomagnetism, Kyoto.</t>
  </si>
  <si>
    <t>KOREAN MAGNETICS SOC</t>
  </si>
  <si>
    <t>SEOUL</t>
  </si>
  <si>
    <t>KOREA SCIENCES &amp; TECHNOL CTR, RM 905, YEOKSAM-DONG 635-4, KANGNAM-KU, SEOUL, 135-703, SOUTH KOREA</t>
  </si>
  <si>
    <t>1226-1750</t>
  </si>
  <si>
    <t>2233-6656</t>
  </si>
  <si>
    <t>J MAGN</t>
  </si>
  <si>
    <t>J. Magn.</t>
  </si>
  <si>
    <t>10.4283/JMAG.2016.21.4.509</t>
  </si>
  <si>
    <t>Materials Science, Multidisciplinary; Physics, Applied; Physics, Condensed Matter</t>
  </si>
  <si>
    <t>Materials Science; Physics</t>
  </si>
  <si>
    <t>EG5KU</t>
  </si>
  <si>
    <t>WOS:000391083500004</t>
  </si>
  <si>
    <t>Fatima, S; Adams, M; Wilkinson, R</t>
  </si>
  <si>
    <t>Fatima, Shafaq; Adams, Mark; Wilkinson, Ryan</t>
  </si>
  <si>
    <t>Sex reversal of brook trout (Salvelinus fontinalis) by 17α-methyltestosterone exposure: A serial experimental approach to determine optimal timing and delivery regimes</t>
  </si>
  <si>
    <t>ANIMAL REPRODUCTION SCIENCE</t>
  </si>
  <si>
    <t>Brook trout; Sex reversal; 17 alpha-Methyltestosterone; Neomales</t>
  </si>
  <si>
    <t>SALMON ONCORHYNCHUS-TSHAWYTSCHA; RAINBOW-TROUT; COHO SALMON; NONAROMATIZABLE ANDROGENS; GONADAL DIFFERENTIATION; IMMERSION TREATMENTS; FEMALE; GENES; METHYLTESTOSTERONE; INDUCTION</t>
  </si>
  <si>
    <t>Commercial culture of Brook trout (Salvelinus fontinalis) in Tasmania was partly abandoned due to sexual maturation of male fish early on during the estuarine rearing phase. Maturation adversely affects body mass, flesh quality and immunocompetency effectively. Sex reversal techniques such as the in-feed addition of a synthetic androgen have proven difficult to adapt in brook trout. An appropriate timing, duration and delivery vehicle for administration of 17 alpha-methyltestosterone (MT) to produce phenotypic males (neomales) from genotypically female brook trout required further investigation. In this study, groups of brook trout eggs (n =1000) maintained at 9.5 +/- 0.15-10 +/- 0.14 degrees C, were immersed in MT (400 mu g L-1) for four hours on two alternate days (two immersions/group) staggered over a two week period surrounding the hatch of embryos (control groups excluded). The groups were then split and half received MT-supplemented feed for 60 days and the other a standard diet. Following an 11 month on-growing period sex phenotypes were determined by gross &amp; histological gonad morphology. The highest proportion of male phenotypes (75%) was found in fish immersed six and four days pre-hatch and subsequently fed a normal diet. Fish fed a MT supplemented diet and immersed in MT showed significantly higher proportions of sterile fish. These data indicate that a pre-hatch immersion-only regime (4-6 days pre-hatch at 9.5 degrees C) should be pursued as a target for optimization studies to further refine the effective concentration and duration of exposure to MT for the successful production of neo-male brook trout. (C) 2016 Elsevier B.V. All rights reserved.</t>
  </si>
  <si>
    <t>[Fatima, Shafaq; Adams, Mark; Wilkinson, Ryan] Univ Tasmania, Inst Marine &amp; Antarctic Studies, Locked Bag 1370, Launceston, Tas, Australia</t>
  </si>
  <si>
    <t>Fatima, S (corresponding author), Univ Tasmania, Inst Marine &amp; Antarctic Studies, Locked Bag 1370, Launceston, Tas, Australia.</t>
  </si>
  <si>
    <t>shafaq.fatima2013@gmail.com; Mark.Adams@utas.edu.au; Ryan.Wilkinson@utas.edu.au</t>
  </si>
  <si>
    <t>Adams, Mark/P-7598-2019; Fatima, Shafaq/AAW-7096-2020</t>
  </si>
  <si>
    <t>Adams, Mark/0000-0002-5737-5474;</t>
  </si>
  <si>
    <t>0378-4320</t>
  </si>
  <si>
    <t>1873-2232</t>
  </si>
  <si>
    <t>ANIM REPROD SCI</t>
  </si>
  <si>
    <t>Anim. Reprod. Sci.</t>
  </si>
  <si>
    <t>10.1016/j.anireprosci.2016.10.008</t>
  </si>
  <si>
    <t>Agriculture, Dairy &amp; Animal Science; Reproductive Biology; Veterinary Sciences</t>
  </si>
  <si>
    <t>Agriculture; Reproductive Biology; Veterinary Sciences</t>
  </si>
  <si>
    <t>EG1XF</t>
  </si>
  <si>
    <t>WOS:000390827000006</t>
  </si>
  <si>
    <t>Ortiz, M; Berrios, F; González, J; Rodríguez-Zaragoza, F; Gómez, I</t>
  </si>
  <si>
    <t>Ortiz, Marco; Berrios, Fernando; Gonzalez, Jorge; Rodriguez-Zaragoza, Fabian; Gomez, Ivan</t>
  </si>
  <si>
    <t>Macroscopic network properties and short-term dynamic simulations in coastal ecological systems at Fildes Bay (King George Island, Antarctica)</t>
  </si>
  <si>
    <t>ECOLOGICAL COMPLEXITY</t>
  </si>
  <si>
    <t>Ascendency; Direct and indirect effects; South Shetland Islands; Subtidal benthic habitats</t>
  </si>
  <si>
    <t>BALANCED TROPHIC MODELS; CHILE SE PACIFIC; FOOD WEBS; TONGOY BAY; ROSS SEA; BENTHIC COMMUNITIES; ECOSYSTEM STRUCTURE; ARENICOLA-MARINA; FLOW MODEL; TOP-DOWN</t>
  </si>
  <si>
    <t>A trophic mass-balanced of the benthic/pelagic system dominated by large brown macroalgae in Fildes Bay (Antarctica) was constructed by integrating biomass, production, food spectrum, and consumption related information. The resulting trophic model was used to determine the macroscopic (emergent) properties, overall health and propagation of dynamical higher order effects within this complex Antarctic ecological system in response to simulated impacts. The magnitude of the Relative Ascendency, Relative Overhead, and Redundancy values indicates that the coastal benthic/pelagic Fildes Bay system is likely to remain less developed and therefore more resistant to perturbations than other ecological systems dominated by brown macroalgae. In terms of model component contributions to the Ascendency, detritus accounted for similar to 33% of the value, followed by the phyto-zooplankton complex (similar to 26%), macroalgae (similar to 19%), filter-feeders (similar to 7%), small epifauna (5%), and top predators (2%). Short-term or transient Ecosim dynamical responses to increase the total mortality of each model component-given mixed and top-down vulnerabilities-revealed that changes in macroalgae levels had a limited impact on the other components of the system. The filter feeder, small epifauna and benthic fishe's functional groups had the greatest effects on the remaining Fildes Bay system components. The magnitude of the System Recovery Time indicated that the Nacella concinna and small epifauna components would take the longest time to return to their initial state. Based on the outcomes obtained from the model, we suggest that this preliminary trophic model, including simulated impacts, provides promising possibilities for the determination of macroscopic baseline conditions and the most sensitive components of the Fildes Bay ecological system. (C) 2016 Elsevier B.V. All rights reserved.</t>
  </si>
  <si>
    <t>[Ortiz, Marco; Berrios, Fernando; Gonzalez, Jorge] Univ Antofagasta, Fac Ciencias Mar &amp; Recursos Biol, Inst Ciencias Nat AvH, IA, POB 170, Antofagasta, Chile; [Berrios, Fernando; Gonzalez, Jorge] Univ Antofagasta, Programa Doctorado Ciencias Aplicadas, Menc Sistemas Marinos Costeros, Antofagasta, Chile; [Rodriguez-Zaragoza, Fabian] Univ Guadalajara, Dept Ecol, LEMA, CUCBA, Carretera Guadalajara Nogales Km 75-5, Zapopan 45170, Jalisco, Mexico; [Gomez, Ivan] Univ Austral Chile, Inst Ciencias Marinas &amp; Limnol, Casilla 567, Valdivia, Chile</t>
  </si>
  <si>
    <t>Universidad de Antofagasta; Universidad de Antofagasta; Universidad de Guadalajara; Universidad Austral de Chile</t>
  </si>
  <si>
    <t>Ortiz, M (corresponding author), Univ Antofagasta, Fac Ciencias Mar &amp; Recursos Biol, Inst Ciencias Nat AvH, IA, POB 170, Antofagasta, Chile.</t>
  </si>
  <si>
    <t>marco.ortiz@uantof.cl</t>
  </si>
  <si>
    <t>Berrios, Fernando/IWU-6588-2023; Zaragoza, Fabian Alejandro Rodriguez/B-3477-2015</t>
  </si>
  <si>
    <t>Berrios, Fernando/0000-0003-2222-442X; Zaragoza, Fabian Alejandro Rodriguez/0000-0002-0066-4275; Gomez, Ivan/0000-0001-8381-3792; Ortiz, Marco/0000-0002-1126-7216</t>
  </si>
  <si>
    <t>Proyecto Anillo ART1101 (Comision Nacional de Investigacion Cientifica y Tecnologica, Chile, CONICYT-PIA); [RT-2214]</t>
  </si>
  <si>
    <t>Proyecto Anillo ART1101 (Comision Nacional de Investigacion Cientifica y Tecnologica, Chile, CONICYT-PIA);</t>
  </si>
  <si>
    <t>This research was financed by the grant Proyecto Anillo ART1101 (Comision Nacional de Investigacion Cientifica y Tecnologica, Chile, CONICYT-PIA) (Dir. Dr. Ivan Gomez). We thank the Institute Antartico Chileno (INACH) for logistic support during sampling period. We also thank the scientific diving team of Ignacio Garrido, Maria Jose Diaz, Jorge Holtheuer and Juan Bravo for collecting the biological samples. Marco Ortiz thanks Dra. Isabel Valdivia (Grant: RT-2214, INACH) for share the samples of benthic fishes.</t>
  </si>
  <si>
    <t>1476-945X</t>
  </si>
  <si>
    <t>1476-9840</t>
  </si>
  <si>
    <t>ECOL COMPLEX</t>
  </si>
  <si>
    <t>Ecol. Complex.</t>
  </si>
  <si>
    <t>10.1016/j.ecocom.2016.06.003</t>
  </si>
  <si>
    <t>EG0LM</t>
  </si>
  <si>
    <t>WOS:000390724300014</t>
  </si>
  <si>
    <t>Xue, R; Chen, L; Lu, ZB; Wang, J; Yang, HZ; Zhang, J; Cai, MH</t>
  </si>
  <si>
    <t>Xue, Rui; Chen, Ling; Lu, Zhibo; Wang, Juan; Yang, Haizhen; Zhang, Jie; Cai, Minghong</t>
  </si>
  <si>
    <t>Spatial distribution and source apportionment of PAHs in marine surface sediments of Prydz Bay, East Antarctica</t>
  </si>
  <si>
    <t>Polycyclic aromatic hydrocarbons; Surface sediments; Source apportionment; Antarctica</t>
  </si>
  <si>
    <t>POLYCYCLIC AROMATIC-HYDROCARBONS; PERSISTENT ORGANIC POLLUTANTS; KING GEORGE ISLAND; PARTICULATE MATTER; SOUTH CHINA; POTTER COVE; SOILS; CONTAMINATION; REGION; OCEAN</t>
  </si>
  <si>
    <t>This paper reports the concentrations of polycyclic aromatic hydrocarbons (PAHs) in marine sediments sampled from Prydz Bay, East Antarctica. Total PAH concentrations ranged from 12.95 to 30.93 ng/g, with a mean of 17.99 +/- 5.57 ng/g. Two- and three-ring PAHs were the most abundant compounds found at the majority of the sampling stations of Prydz Bay. Long-range atmospheric transportation was found to play an important role in determining the spatial distribution of PAHs in the sediments sampled here. However, transport by ocean currents and release from melting glaciers were also found to influence PAH distributions in the sediments of East Antarctica. The vertical migration of PAHs in sediments showed a decreasing trend with depth, with higher concentrations in the relatively shallow-water regions (&lt;500 m) found on the Fram and Four Ladies banks compared with those of the intermediate-depth (500-1000 m) and deep-water regions (&gt;1000 m) of the Amery Basin and associated Canyons, respectively. A Pearson correlation analysis between PAH concentrations and sediment parameters demonstrated that PAHs has poor correlations with grain size, but has positive correlation with total organic carbon, indicated complex processing during transfer to remote environments. The results of qualitative and quantitative analyses indicate that the PAHs sampled here were derived mainly from a mixture of biomass combustion, traffic emissions, and petrogenic sources. (C) 2016 Elsevier Ltd. All rights reserved.</t>
  </si>
  <si>
    <t>[Xue, Rui; Chen, Ling; Lu, Zhibo; Wang, Juan; Yang, Haizhen] Tongji Univ, Coll Environm Sci &amp; Engn, Shanghai 200092, Peoples R China; [Xue, Rui; Chen, Ling; Lu, Zhibo; Wang, Juan; Yang, Haizhen] Tongji Univ, State Key Lab Pollut Control &amp; Resource Reuse, Shanghai 200092, Peoples R China; [Zhang, Jie; Cai, Minghong] Polar Res Inst China, SOA Key Lab Polar Sci, Shanghai 200136, Peoples R China</t>
  </si>
  <si>
    <t>Tongji University; Tongji University; Polar Research Institute of China</t>
  </si>
  <si>
    <t>Lu, ZB (corresponding author), Tongji Univ, Coll Environm Sci &amp; Engn, Shanghai 200092, Peoples R China.;Cai, MH (corresponding author), Polar Res Inst China, SOA Key Lab Polar Sci, Shanghai 200136, Peoples R China.</t>
  </si>
  <si>
    <t>luzhibo@tongji.edu.cn; caiminghong@pric.org.cn</t>
  </si>
  <si>
    <t>ZHIBO, LU/HHS-4083-2022</t>
  </si>
  <si>
    <t>National Natural Science Foundation of China [41406213, 41376189]</t>
  </si>
  <si>
    <t>This research was supported by the National Natural Science Foundation of China (Nos. 41406213 and 41376189). The samples were provided by the Polar Sediment Sample Chamber of China. Samples Information and Data issued by the Resource-sharing Platform of Polar Samples (http://birds.chinare.org.cn) maintained by Polar Research Institute of China (PRIC) and Chinese National Arctic &amp; Antarctic Data Center (CN-NADC). We thank Zhihua Chen for the assistance with acquiring the granulometric composition information.</t>
  </si>
  <si>
    <t>10.1016/j.envpol.2016.05.084</t>
  </si>
  <si>
    <t>EG0PG</t>
  </si>
  <si>
    <t>WOS:000390734100060</t>
  </si>
  <si>
    <t>Verma, A; Hoppenrath, M; Dorantes-Aranda, JJ; Harwood, DT; Murray, SA</t>
  </si>
  <si>
    <t>Verma, Arjun; Hoppenrath, Mona; Jose Dorantes-Aranda, Juan; Harwood, D. Tim; Murray, Shauna A.</t>
  </si>
  <si>
    <t>Molecular and phylogenetic characterization of Ostreopsis (Dinophyceae) and the description of a new species, Ostreopsis rhodesae sp nov., from a subtropical Australian lagoon</t>
  </si>
  <si>
    <t>Cryptic species; Benthic dinoflagellates; Ostreopsis rhodesae; Great barrier reef; Palytoxin</t>
  </si>
  <si>
    <t>DINOFLAGELLATE GENUS OSTREOPSIS; GREAT-BARRIER-REEF; LC-MS/MS ANALYSIS; CF. OVATA; BENTHIC DINOFLAGELLATE; SECONDARY STRUCTURE; PSEUDO-NITZSCHIA; COASTAL WATERS; HERON ISLAND; ITS2</t>
  </si>
  <si>
    <t>Cryptic and pseudo-cryptic species are common amongst marine phytoplankton, and may cause misleading inferences of ecological and physiological data of plankton community studies. Deciphering the diversity and distribution of species of the benthic dinoflagellate Ostreopsis is one example, as there are many morphologically indistinct clades that differ greatly genetically and toxicologically from one another. In this study, a new species, Ostreopsis rhodesae from the southern Great Barrier Reef was described. While it initially appeared to be highly similar to several other Ostreopsis species, we found O. rhodesae can be distinguished based on the relative size of the second apical plate (2'), which is twice as long as the APC plate, and separates the third apical (3') from the third precingular (3 '') plate. Phylogenetic trees based on the SSU, ITS/5.8S and Dl-D2 and D8-D10 regions of the LSU rRNA were well supported, and showed a clear difference to other Ostreopsis clades. Compensatory base changes (CBCs) were identified in helices of the ITS2 between O. rhodesae and O. cf. ovata and O. cf. siamensis, which were also present in the same habitat. Fish gill cell lines were toxic to O. rhodesae, cell extracts but no palytoxinlike analogues were found in them. The findings highlight a case of pseudo-cryptic speciation, found in sympatry with closely related and morphologically similar species, but biologically and functionally distinct. (C) 2016 Elsevier B.V. All rights reserved.</t>
  </si>
  <si>
    <t>[Verma, Arjun; Murray, Shauna A.] Univ Technol Sydney, Plant Funct Biol &amp; Climate Change Cluster, POB 123, Sydney, NSW 2007, Australia; [Hoppenrath, Mona] German Ctr Marine Biodivers Res DZMB, Senckenberg Res Inst, Sudstrand 44, D-26382 Wilhelmshaven, Germany; [Jose Dorantes-Aranda, Juan] Univ Tasmania, Inst Marine &amp; Antarctic Studies, Private Bag 129, Hobart, Tas 7001, Australia; [Harwood, D. Tim] Cawthron Inst, 98 Halifax St East,Private Bag 2, Nelson 7010, New Zealand</t>
  </si>
  <si>
    <t>University of Technology Sydney; Senckenberg Gesellschaft fur Naturforschung (SGN); University of Tasmania; Cawthron Institute</t>
  </si>
  <si>
    <t>Verma, A (corresponding author), Univ Technol Sydney, Plant Funct Biol &amp; Climate Change Cluster, POB 123, Sydney, NSW 2007, Australia.</t>
  </si>
  <si>
    <t>arjun.verma-1@student.uts.edu.au</t>
  </si>
  <si>
    <t>Dorantes-Aranda, Juan Jose/J-7737-2014; Verma, Arjun/J-7055-2019; Murray, Shauna A/K-5781-2015</t>
  </si>
  <si>
    <t>Verma, Arjun/0000-0003-0119-9915; Murray, Shauna A/0000-0001-7096-1307; Dorantes-Aranda, Juan J./0000-0003-1513-6501</t>
  </si>
  <si>
    <t>Safe New Zealand Seafood programme [CAWX1317]; Australian Research Council</t>
  </si>
  <si>
    <t>Safe New Zealand Seafood programme; Australian Research Council(Australian Research Council)</t>
  </si>
  <si>
    <t>The authors would like to thank Prof. Peter Ralph and Risa Fujise for collecting the macroalgal samples and the Australian Research Council for Funding. Analyses performed at the Cawthron Institute were supported through the Safe New Zealand Seafood programme (CAWX1317) [SS].</t>
  </si>
  <si>
    <t>10.1016/j.hal.2016.11.004</t>
  </si>
  <si>
    <t>EF7NL</t>
  </si>
  <si>
    <t>WOS:000390516200011</t>
  </si>
  <si>
    <t>Ito, T; Gong, CJ; Kawamoto, J; Kurihara, T</t>
  </si>
  <si>
    <t>Ito, Tomokazu; Gong, Chunjie; Kawamoto, Jun; Kurihara, Tatsuo</t>
  </si>
  <si>
    <t>Development of a versatile method for targeted gene deletion and insertion by using the pyrF gene in the psychrotrophic bacterium, Shewanella livingstonensis Ac10</t>
  </si>
  <si>
    <t>JOURNAL OF BIOSCIENCE AND BIOENGINEERING</t>
  </si>
  <si>
    <t>Gene deletion; Gene insertion; Homologous recombination; pyrF; Shewanella</t>
  </si>
  <si>
    <t>COLD-ADAPTED BACTERIUM; SIMPLE BIOCATALYST; STRAIN AC10; ACID; PHOSPHOLIPIDS; CONSTRUCTION; PURIFICATION; MUTANT; YEAST; HOST</t>
  </si>
  <si>
    <t>Shewanella livingstonensis Ac10, a psychrotrophic bacterium isolated from Antarctic seawater, grows well at low temperatures close to 0 degrees C. The bacterium is useful as a host in a low-temperature protein expression system. It is also useful as a model microorganism to investigate the mechanisms of microbial cold-adaptation. Versatile genetic manipulation techniques would be useful to investigate the biology of this bacterium and to develop its applications. In this study, we developed a method for targeted gene deletion and insertion by using the gene coding for orotidine-5'-phosphate decarboxylase (pyrF), which is involved in pyrimidine synthesis. We found that S. livingstonensis Ac10 is sensitive to 5-fluoroorotic acid (5-FOA), which is converted to a highly toxic compound by the product of pyrF. A uracil-auxotrophic strain resistant to 5-FOA was constructed by deleting pyrF, thus allowing the use of a plasmid-borne copy of pyrF for selection of recombinants. We constructed the pyrF complementation suicide plasmid pKKP, which contains pyrF, the R6K replication origin, the mob site of RP4, an antibiotic marker gene, and a multiple cloning site. To demonstrate pyrF-based gene replacement, we deleted the internal region of orf5, the gene coding for an eicosapentaenoic acid (EPA) synthesis enzyme. We also successfully inserted a Hiss-tag-coding sequence into orf8, the gene coding for another EPA synthesis enzyme. This system allows the markerless deletion and insertion of desired sequences at specific sites in the genome, which remarkably facilitates genetic manipulation of this bacterium. (C) 2016, The Society for Biotechnology, Japan. All rights reserved.</t>
  </si>
  <si>
    <t>[Ito, Tomokazu; Gong, Chunjie; Kawamoto, Jun; Kurihara, Tatsuo] Kyoto Univ, Inst Chem Res, Uji, Kyoto 6110011, Japan; [Ito, Tomokazu] Nagoya Univ, Dept Appl Mol Biosci, Grad Sch Bioagr Sci, Chikusa Ku, Nagoya, Aichi 4648601, Japan; [Gong, Chunjie] Hubei Univ Technol, Key Lab Fermentat Engn, Hubei Prov Cooperat Innovat Ctr Ind Fermentat, Coll Bioengn,Minist Educ, Wuhan 430068, Peoples R China</t>
  </si>
  <si>
    <t>Kyoto University; Nagoya University; Hubei University of Technology</t>
  </si>
  <si>
    <t>Kurihara, T (corresponding author), Kyoto Univ, Inst Chem Res, Uji, Kyoto 6110011, Japan.</t>
  </si>
  <si>
    <t>kurihara@scl.kyoto-u.ac.jp</t>
  </si>
  <si>
    <t>Kurihara, Tatsuo/ACX-5827-2022</t>
  </si>
  <si>
    <t>Kawamoto, Jun/0000-0002-5025-5613; Ito, Tomokazu/0000-0002-3131-6724</t>
  </si>
  <si>
    <t>JSPS [20360372, 24380047, 15H04474]; Japan Foundation for Applied Enzymology; NAGASE Science Technology Foundation; Grants-in-Aid for Scientific Research [15H04474, 20360372, 25303028, 15K14732] Funding Source: KAKEN</t>
  </si>
  <si>
    <t>JSPS(Ministry of Education, Culture, Sports, Science and Technology, Japan (MEXT)Japan Society for the Promotion of Science); Japan Foundation for Applied Enzymology; NAGASE Science Technology Foundation; Grants-in-Aid for Scientific Research(Ministry of Education, Culture, Sports, Science and Technology, Japan (MEXT)Japan Society for the Promotion of ScienceGrants-in-Aid for Scientific Research (KAKENHI))</t>
  </si>
  <si>
    <t>This work was supported in part by Grants-in-Aid for Scientific Research (B) from JSPS (20360372, 24380047, and 15H04474 to T.K.) and Grants from the Japan Foundation for Applied Enzymology and NAGASE Science Technology Foundation (to T.K.).</t>
  </si>
  <si>
    <t>SOC BIOSCIENCE BIOENGINEERING JAPAN</t>
  </si>
  <si>
    <t>OSAKA</t>
  </si>
  <si>
    <t>OSAKA UNIV, FACULTY ENGINEERING, 2-1 YAMADAOKA, SUITA, OSAKA, 565-0871, JAPAN</t>
  </si>
  <si>
    <t>1389-1723</t>
  </si>
  <si>
    <t>1347-4421</t>
  </si>
  <si>
    <t>J BIOSCI BIOENG</t>
  </si>
  <si>
    <t>J. Biosci. Bioeng.</t>
  </si>
  <si>
    <t>10.1016/j.jbiosc.2016.06.004</t>
  </si>
  <si>
    <t>Biotechnology &amp; Applied Microbiology; Food Science &amp; Technology</t>
  </si>
  <si>
    <t>EG0SF</t>
  </si>
  <si>
    <t>WOS:000390741800001</t>
  </si>
  <si>
    <t>Zecchin, M; Rebesco, M; Lucchi, RG; Caffau, M; Lantzsch, H; Hanebuth, TJJ</t>
  </si>
  <si>
    <t>Zecchin, Massimo; Rebesco, Michele; Lucchi, Renata G.; Caffau, Mauro; Lantzsch, Hendrik; Hanebuth, Till J. J.</t>
  </si>
  <si>
    <t>Buried iceberg-keel scouring on the southern Spitsbergenbanken, NW Barents Sea</t>
  </si>
  <si>
    <t>MARINE GEOLOGY</t>
  </si>
  <si>
    <t>Iceberg-keel scouring; Ploughmarks; Barents Sea; Meltwater pulses; Spitsbergenbanken</t>
  </si>
  <si>
    <t>TROUGH-MOUTH FANS; QUATERNARY ICE FLOW; SUBMARINE LANDFORMS; ANTARCTIC ICEBERGS; STORFJORDEN; KVEITHOLA; SVALBARD; MARGIN; SHEET; DEGLACIATION</t>
  </si>
  <si>
    <t>PARASOUND (3.5 kHz) subbottom echosounder profiles acquired on the southern Spitsbergenbanken, NW Barents Sea, show iceberg-keel scouring features which are buried by sediment that accumulated during the post Last Glacial Maximum (LGM) sea-level rise. Four acoustic units (Units 1 to 4 in stratigraphic order) were differentiated, based on the characterization of their acoustic facies and reflection surfaces. Unit 1 shows a chaotic internal structure and is interpreted as a glacial till, whereas the laminated Units 2 to 4 accumulated by sediment settling from suspension clouds and bottom currents during the last deglaciation phase. The top of Unit 2 was frequently incised by iceberg keels, resulting in up to 12 m deep ploughmarks which were later filled and buried by Unit 3 and 4 sediments. Three main paleo-evironmental changes controlled the evolution of the facies succession: (1) The major shift from till formation (Unit 1) below grounded ice to the accumulation of laminated sediments (Unit 2) which are inferred to reflect ice lifting and meltwater release; (2) Iceberg-keel scouring after sedimentation of Unit 2; (3) the probable abrupt termination of iceberg-keel scouring related to the glacio-eustatic sea-level rise. A linkage between these episodes of changes and short-lasting phases of rapid post LGM sea-level rise, such as meltwater pulses, is inferred, although further studies are needed to better understand the temporal and genetic relationships between the sedimentary events recognized in the Barents Sea and climate changes. (C) 2016 Elsevier B.V. All rights reserved.</t>
  </si>
  <si>
    <t>[Zecchin, Massimo; Rebesco, Michele; Lucchi, Renata G.; Caffau, Mauro] OGS Ist Nazl Oceanog &amp; Geofis Sperimentale, I-34010 Sgonico, TS, Italy; [Lantzsch, Hendrik; Hanebuth, Till J. J.] Univ Bremen, MARUM Ctr Marine Environm Sci, D-28334 Bremen, Germany; [Hanebuth, Till J. J.] Coastal Carolina Univ, Sch Coastal &amp; Marine Syst Sci, Conway, SC 29526 USA</t>
  </si>
  <si>
    <t>Istituto Nazionale di Oceanografia e di Geofisica Sperimentale; University of Bremen; Coastal Carolina University</t>
  </si>
  <si>
    <t>Zecchin, M (corresponding author), OGS Ist Nazl Oceanog &amp; Geofis Sperimentale, I-34010 Sgonico, TS, Italy.</t>
  </si>
  <si>
    <t>mzecchin@ogs.trieste.it</t>
  </si>
  <si>
    <t>Rebesco, Michele/B-7462-2014; Zecchin, Massimo/J-3155-2015</t>
  </si>
  <si>
    <t>Rebesco, Michele/0000-0002-9492-4081; Hanebuth, Till/0000-0002-2833-3320; Zecchin, Massimo/0000-0003-2912-8457; Caffau, Mauro/0000-0002-7735-4523; Lucchi, Renata Giulia/0000-0001-5111-6968</t>
  </si>
  <si>
    <t>MARUM DFG-Research Center/Cluster of Excellence The Ocean in the Earth System as part of MARUM project [SD-2]; Italian PNRA-CORIBAR-IT project [PdR 2013/C2.01]; Research Council of Norway through its Centres of Excellence [223259]; Spanish MEC project CORIBAR-ES [CTM2011-14807-E]; Dansk Center for Havforskning [2014_04]; PNRA project CORIBAR-IT; PNRA project VALFLU; Spanish MEC project DEGLABAR [CTM2010-17386]; ARCA project [25_11_2013_973]</t>
  </si>
  <si>
    <t>MARUM DFG-Research Center/Cluster of Excellence The Ocean in the Earth System as part of MARUM project; Italian PNRA-CORIBAR-IT project; Research Council of Norway through its Centres of Excellence(Research Council of Norway); Spanish MEC project CORIBAR-ES; Dansk Center for Havforskning; PNRA project CORIBAR-IT; PNRA project VALFLU; Spanish MEC project DEGLABAR; ARCA project</t>
  </si>
  <si>
    <t>CORIBAR research cruise MSM110 was partially funded by the MARUM DFG-Research Center/Cluster of Excellence The Ocean in the Earth System as part of MARUM project SD-2, and co-funded by the Italian PNRA-CORIBAR-IT project (PdR 2013/C2.01), the Research Council of Norway through its Centres of Excellence funding scheme (project number 223259), the Spanish MEC project CORIBAR-ES (CTM2011-14807-E), and the Dansk Center for Havforskning, project number 2014_04. Core analyses were supported by the PNRA projects CORIBAR-IT and VALFLU, the Spanish MEC project DEGLABAR (CTM2010-17386), and the ARCA project (grant n. 25_11_2013_973). We acknowledge the scientific party of CORIBAR cruise and project, and R. Romeo for core logging. This study contributes to the IPY initiative 367 NICESTREAM (Neogene Ice Streams and Sedimentary Processes on High- Latitude Continental Margins). We thank Grigorii G. Akhmanov, the Editor Edward Anthony and an anonymous reviewer for helpful and constructive comments during the review process.</t>
  </si>
  <si>
    <t>0025-3227</t>
  </si>
  <si>
    <t>1872-6151</t>
  </si>
  <si>
    <t>MAR GEOL</t>
  </si>
  <si>
    <t>Mar. Geol.</t>
  </si>
  <si>
    <t>10.1016/j.margeo.2016.10.005</t>
  </si>
  <si>
    <t>EF9BQ</t>
  </si>
  <si>
    <t>WOS:000390626100005</t>
  </si>
  <si>
    <t>Coufalík, P; Prochazková, P; Zverina, O; Trnková, K; Skácelová, K; Nyvlt, D; Komárek, J</t>
  </si>
  <si>
    <t>Coufalik, Pavel; Prochazkova, Petra; Zverina, Ondrej; Trnkova, Katerina; Skacelova, Katerina; Nyvlt, Daniel; Komarek, Josef</t>
  </si>
  <si>
    <t>Freshwater mineral nitrogen and essential elements in autotrophs in James Ross Island, West Antarctica</t>
  </si>
  <si>
    <t>POLISH POLAR RESEARCH</t>
  </si>
  <si>
    <t>Antarctica; cyanobacteria; algae; nutrients</t>
  </si>
  <si>
    <t>LIVINGSTON ISLAND; BYERS PENINSULA; STOICHIOMETRY; STREAM; ECOSYSTEMS; COMMUNITY; SYSTEMS; MERCURY; REGION; LAKES</t>
  </si>
  <si>
    <t>The lakes and watercourses are habitats for various communities of cyanobacteria and algae, which are among the few primary producers in Antarctica. The amount of nutrients in the mineral-poor Antarctic environment is a limiting factor for the growth of freshwater autotrophs in most cases. In this study, the main aim was to assess the availability of mineral nitrogen for microorganisms in cyanobacterial mats in James Ross Island. The nitrate and ammonium ions in water environment were determined as well as the contents of major elements (C, N, P, S, Na, K, Ca, Mg, Al, Fe, Mn) in cyanobacterial mats. The molar ratios of C:N, C:P and N:P in mats were in focus. The growth of freshwater autotrophs seems not to be limited by the level of nitrogen, according to the content of available mineral nitrogen in water and the biogeochemical stoichiometry of C:N:P. The source of nutrients in the Ulu Peninsula is not obvious. The nitrogen fixation could enhance the nitrogen content in mats, which was observed in some samples containing the Nostoc sp.</t>
  </si>
  <si>
    <t>[Coufalik, Pavel; Prochazkova, Petra; Zverina, Ondrej; Komarek, Josef] Masaryk Univ, Fac Sci, Dept Chem, Kotlarska 2, CS-61137 Brno, Czech Republic; [Coufalik, Pavel] Czech Acad Sci, Vvi, Inst Analyt Chem, Veveri 97, Brno 60200, Czech Republic; [Zverina, Ondrej] Masaryk Univ, Fac Med, Dept Publ Hlth, Kamenice 5, Brno 62500, Czech Republic; [Trnkova, Katerina; Skacelova, Katerina; Nyvlt, Daniel] Masaryk Univ, Fac Sci, Dept Expt Biol, Kamenice 5, Brno 62500, Czech Republic</t>
  </si>
  <si>
    <t>Masaryk University Brno; Czech Academy of Sciences; Institute of Analytical Chemistry of the Czech Academy of Sciences; Masaryk University Brno; Masaryk University Brno</t>
  </si>
  <si>
    <t>Coufalík, P (corresponding author), Masaryk Univ, Fac Sci, Dept Chem, Kotlarska 2, CS-61137 Brno, Czech Republic.;Coufalík, P (corresponding author), Czech Acad Sci, Vvi, Inst Analyt Chem, Veveri 97, Brno 60200, Czech Republic.</t>
  </si>
  <si>
    <t>coufalik@iach.cz</t>
  </si>
  <si>
    <t>Zvěřina, Ondřej/AAE-5507-2019; Zvěřina, Ondřej/AAA-2400-2022; Nyvlt, Daniel/J-6504-2019; Coufalik, Pavel/G-9819-2014</t>
  </si>
  <si>
    <t>Zvěřina, Ondřej/0000-0003-0035-6851; Zvěřina, Ondřej/0000-0003-0035-6851; Nyvlt, Daniel/0000-0002-6876-490X; Coufalik, Pavel/0000-0001-6332-9020</t>
  </si>
  <si>
    <t>Masaryk University [MUNI/A/1008/2013]; Institute of Analytical Chemistry of the CAS under the Institutional Research Plan [RVO: 68081715]; project Employment of Best Young Scientists for International Cooperation Empowerment [CZ.1.07/2.3.00/30.0037]; European Social Fund; state budget of the Czech Republic</t>
  </si>
  <si>
    <t>Masaryk University; Institute of Analytical Chemistry of the CAS under the Institutional Research Plan; project Employment of Best Young Scientists for International Cooperation Empowerment; European Social Fund(European Social Fund (ESF)); state budget of the Czech Republic</t>
  </si>
  <si>
    <t>The authors are grateful to the J.G. Mendel Antarctic Station staff for allowing to use their facilities. The research was supported by Masaryk University under the project MUNI/A/1008/2013 and also by the Institute of Analytical Chemistry of the CAS under the Institutional Research Plan RVO: 68081715. Daniel Nyvlt's work on this paper was supported by the project Employment of Best Young Scientists for International Cooperation Empowerment (CZ.1.07/2.3.00/30.0037), co-financed by the European Social Fund and the state budget of the Czech Republic. Special thanks go to Marta Preissova for technical assistance as well as to Michael Danger and one anonymous reviewer for their helpful comments.</t>
  </si>
  <si>
    <t>POLSKA AKAD NAUK, POLISH ACAD SCIENCES</t>
  </si>
  <si>
    <t>WARSZAWA</t>
  </si>
  <si>
    <t>PL DEFILAD 1, WARSZAWA, 00-901, POLAND</t>
  </si>
  <si>
    <t>0138-0338</t>
  </si>
  <si>
    <t>2081-8262</t>
  </si>
  <si>
    <t>POL POLAR RES</t>
  </si>
  <si>
    <t>Pol. Polar. Res.</t>
  </si>
  <si>
    <t>10.1515/popore-2016-0025</t>
  </si>
  <si>
    <t>EF6AS</t>
  </si>
  <si>
    <t>WOS:000390412400003</t>
  </si>
  <si>
    <t>Effects of Freeze-Thaw Phenomena on Controlled Nutrient Release: Application to Bioremediation</t>
  </si>
  <si>
    <t>CLEAN-SOIL AIR WATER</t>
  </si>
  <si>
    <t>Cold regions; Fertilisers; Granular activated carbon; Petroleum hydrocarbon contaminants</t>
  </si>
  <si>
    <t>PERMEABLE REACTIVE BARRIER; POLYMER-COATED FERTILIZERS; OIL BIOREMEDIATION; CASEY STATION; ANTARCTICA; WATER; REMEDIATION; PETROLEUM; SOILS; MINERALIZATION</t>
  </si>
  <si>
    <t>Cold region soils are often devoid of sufficient nutrients essential for timely bioremediation of petroleum hydrocarbon contaminants. While materials that release nutrients in a controlled manner have been shown to stimulate biodegradation over extendedtime periods, thephysicalandchemical responseof thesematerials to repetitive freeze-thawstresses typical of cold regions remains poorly understood. This study reports the performance of four controlled release materials in water (Osmocote (TM), Nutricote (TM), Polyon (TM), Zeopro (TM)) exposed to freeze-thaw cycling or control temperature of 4 degrees C. Additionally Zeopro (TM)-activated carbon mixtures are investigated for application to permeable reactive barriers. Osmocote (TM) experienced higher nutrient release under control conditions compared with samples exposed to freeze-thaw after 20 days. Nutrient release from Nutricote (TM) and Polyon (TM) was similar under freeze-thaw and control conditions. Zeopro (TM) delivered low nutrient concentrations into solution in both freeze-thaw and control samples with calcium phosphate dissolution accelerated in the presence of activated carbon. Osmocote (TM), Nutricote (TM) and Polyon (TM) revealed strong resistance to breakdown under freeze-thaw. Zeopro (TM) experienced only partial disintegration, while significant break-up of activated carbon occurred under freeze-thaw. A physical and chemical understanding of the response of multiple fertilisers can guide the selection of materials for biostimulation and biodegradation of petroleum hydrocarbons in environments exposed to freeze-thaw cycling.</t>
  </si>
  <si>
    <t>[Freidman, Benjamin L.; Gras, Sally L.; Stevens, Geoff W.; Mumford, Kathryn A.] Univ Melbourne, Particulate Fluids Proc Ctr, Dept Chem &amp; Biomol Engn, Melbourne, Vic 3010, Australia; [Freidman, Benjamin L.; Gras, Sally L.] Univ Melbourne, Particulate Fluids Proc Ctr, Mol Sci &amp; Biotechnol Inst Bio21, Melbourne, Vic 3010, Australia; [Gras, Sally L.] Univ Melbourne, ARC Dairy Innovat Hub, Melbourne, Vic 3010, Australia; [Snape, Ian] Australian Antarctic Div, Kingston, Tas, Australia</t>
  </si>
  <si>
    <t>University of Melbourne; Melbourne Bioinformatics; Melbourne Genomics Health Alliance; University of Melbourne; University of Melbourne; Melbourne Genomics Health Alliance; Australian Antarctic Division</t>
  </si>
  <si>
    <t>Mumford, Kathryn A/M-6566-2015; Gras, Sally L/G-2025-2014</t>
  </si>
  <si>
    <t>Gras, Sally L/0000-0002-4660-1245; Stevens, Geoffrey/0000-0002-5788-4682</t>
  </si>
  <si>
    <t>Australian Antarctic Science Project [4029]; Particulate Fluids Processing Centre (PFPC) at The University of Melbourne; ARC Dairy Innovation Hub [IH120100005]; Australian Research Council [IH120100005] Funding Source: Australian Research Council</t>
  </si>
  <si>
    <t>Australian Antarctic Science Project; Particulate Fluids Processing Centre (PFPC) at The University of Melbourne; ARC Dairy Innovation Hub(Australian Research Council); Australian Research Council(Australian Research Council)</t>
  </si>
  <si>
    <t>The authors gratefully acknowledge the financial support of Australian Antarctic Science Project 4029 and the Particulate Fluids Processing Centre (PFPC) at The University of Melbourne. Sally Gras is supported by The ARC Dairy Innovation Hub (IH120100005).</t>
  </si>
  <si>
    <t>1863-0650</t>
  </si>
  <si>
    <t>1863-0669</t>
  </si>
  <si>
    <t>Clean-Soil Air Water</t>
  </si>
  <si>
    <t>10.1002/clen.201600162</t>
  </si>
  <si>
    <t>Green &amp; Sustainable Science &amp; Technology; Environmental Sciences; Marine &amp; Freshwater Biology; Water Resources</t>
  </si>
  <si>
    <t>Science &amp; Technology - Other Topics; Environmental Sciences &amp; Ecology; Marine &amp; Freshwater Biology; Water Resources</t>
  </si>
  <si>
    <t>EF0GP</t>
  </si>
  <si>
    <t>WOS:000390004200017</t>
  </si>
  <si>
    <t>Lee, LC; Watson, JC; Trebilco, R; Salomon, AK</t>
  </si>
  <si>
    <t>Lee, L. C.; Watson, J. C.; Trebilco, R.; Salomon, A. K.</t>
  </si>
  <si>
    <t>Indirect effects and prey behavior mediate interactions between an endangered prey and recovering predator</t>
  </si>
  <si>
    <t>biotic and abiotic factors; British Columbia; conservation trade-offs; ecosystem-based management; Enhydra lutris kenyoni; Haliotis kamtschatkana; kelp forests; northern abalone; Pycnopodia helianthoides; risk-averse behavior; sea otter; species interactions</t>
  </si>
  <si>
    <t>MARINE PROTECTED AREAS; SEA OTTERS; NORTHERN ABALONE; HALIOTIS-KAMTSCHATKANA; BRITISH-COLUMBIA; HABITAT ASSOCIATIONS; BASE-LINES; KELP; COMPLEXITY; MANAGEMENT</t>
  </si>
  <si>
    <t>Managing for simultaneous recovery of interacting species, particularly top predators and their prey, is a longstanding challenge in applied ecology and conservation. The effects of sea otters (Enhydra lutris kenyoni) on abalone (Haliotis spp.) is a salient example along North America's west coast where sea otters are recovering from 18th- and 19th-century fur trade while efforts are being made to recover abalone from more recent overfishing. To understand the direct and indirect effects of sea otters on northern abalone (H. kamtschatkana) and the relative influence of biotic and abiotic conditions, we surveyed subtidal rocky reef sites varying in otter occupation time in three regions of British Columbia, Canada. Sites occupied by sea otters for over 30 years had 16 times lower densities of exposed abalone than sites where otters have yet to recover (0.46 +/- 0.08/20 m(2) vs. 7.56 +/- 0.98/20 m(2)), but they also had higher densities of cryptic abalone (2.17 +/- 1.31/20 m(2) vs. 1.31 +/- 0.20/20 m(2)). Abalone densities were greater in deeper vs. shallower habitats at sites with sea otters compared to sites without otters. Sea otter effects on exposed abalone density were three times greater in magnitude than those of any other factor, whereas substrate and wave exposure effects on cryptic abalone were six times greater than those of sea otters. While higher substrate complexity may benefit abalone by providing refugia from sea otter predation, laboratory experiments revealed that it may also lead to higher capture efficiency by sunflower stars (Pycnopodia helianthoides), a ubiquitous mesopredator, compared to habitat with lower complexity. Sea otter recovery indirectly benefitted abalone by decreasing biomass of predatory sunflower stars and competitive grazing sea urchins, while increasing stipe density and depth of kelp that provides food and protective habitat. Importantly, abalone persisted in the face of sea otter recovery, albeit at lower densities of smaller and more cryptic individuals. We provide empirical evidence of how complex ecological interactions influence the effects of recovering predators on their recovering prey. This ecosystem-based understanding can inform conservation trade-offs when balancing multifaceted ecological, cultural, and socio-economic objectives for species at risk.</t>
  </si>
  <si>
    <t>[Lee, L. C.; Salomon, A. K.] Simon Fraser Univ, Sch Resource &amp; Environm Management, Burnaby, BC V5A 1S6, Canada; [Lee, L. C.; Salomon, A. K.] Hakai Inst, Heriot Bay, BC V0P 1H0, Canada; [Watson, J. C.] Vancouver Isl Univ, Dept Biol, Nanaimo, BC V9R 5S5, Canada; [Trebilco, R.] Simon Fraser Univ, Dept Biol, Burnaby, BC V5A 1S6, Canada; [Trebilco, R.] Univ Tasmania, Antarctic Climate &amp; Ecosyst Cooperat Res Ctr, Hobart, Tas 7001, Australia</t>
  </si>
  <si>
    <t>Simon Fraser University; Hakai Institute; Vancouver Island University; Simon Fraser University; Antarctic Climate &amp; Ecosystems Cooperative Research Centre (ACE CRC); University of Tasmania</t>
  </si>
  <si>
    <t>Lee, LC (corresponding author), Simon Fraser Univ, Sch Resource &amp; Environm Management, Burnaby, BC V5A 1S6, Canada.;Lee, LC (corresponding author), Hakai Inst, Heriot Bay, BC V0P 1H0, Canada.</t>
  </si>
  <si>
    <t>lynn_chi_lee@sfu.ca</t>
  </si>
  <si>
    <t>Trebilco, Rowan/I-5311-2012</t>
  </si>
  <si>
    <t>Trebilco, Rowan/0000-0001-9712-8016</t>
  </si>
  <si>
    <t>NSERC Discovery Grant; Parks Canada Contribution Agreement; Tula Foundation; NSERC Vanier Graduate Scholarship; J. Abbott/M. Fretwell Graduate Fellowship in Fisheries Biology; SFU Graduate Fellowship; Gwaii Haanas Archipelago Management Board; Council of the Haida Nation Fisheries Committee; Heiltsuk Integrated Resource Management Department; Pacific Rim National Park Reserve; NSERC; Hakai Institute; Simon Fraser University</t>
  </si>
  <si>
    <t>NSERC Discovery Grant(Natural Sciences and Engineering Research Council of Canada (NSERC)); Parks Canada Contribution Agreement; Tula Foundation; NSERC Vanier Graduate Scholarship(Natural Sciences and Engineering Research Council of Canada (NSERC)); J. Abbott/M. Fretwell Graduate Fellowship in Fisheries Biology; SFU Graduate Fellowship; Gwaii Haanas Archipelago Management Board; Council of the Haida Nation Fisheries Committee; Heiltsuk Integrated Resource Management Department; Pacific Rim National Park Reserve; NSERC(Natural Sciences and Engineering Research Council of Canada (NSERC)); Hakai Institute; Simon Fraser University</t>
  </si>
  <si>
    <t>This research was supported by an NSERC Discovery Grant, Parks Canada Contribution Agreement, and Tula Foundation grant to Anne Salomon and by graduate scholarships from NSERC, Hakai Institute, and Simon Fraser University to Lynn Lee. Rowan Trebilco was supported by an NSERC Vanier Graduate Scholarship, the J. Abbott/M. Fretwell Graduate Fellowship in Fisheries Biology, and a SFU Graduate Fellowship. Fieldwork was facilitated by in-kind contributions from DFO's Pacific Biological Station (PBS), Jane Watson, Hakai Institute, Marine Toad Enterprises Inc., and Stan Hutchings and Karen Hansen. For field assistance, we thank Leandre Vigneault, Taimen Lee Vigneault, Alejandro Frid, Eric White, Joel White, Hannah Stewart, Matt Drake, Stu Humchitt, Leah Saville, Erin Rechsteiner, Joanne Lessard, Seaton Taylor, Mike Atkins, Twylabella Frid, Gail Lotenberg, Rebecca Martone, Tammy Norgard, Mike Reid, Julie Carpenter, Harvey Humchitt, and Mark Wunsch. Laboratory experiments at PBS were facilitated by Joanne Lessard, Seaton Taylor, Dominque Bureau, Juanita Rogers, Claudia Hand, and Holly Hicklin and conducted under DFO Species at Risk Act Permit Number SARA 233. Linda Nichol established sea otter occupation times for each site. Members of the CMEC Lab and Stats Beerz, particularly Sean Anderson, provided valuable feedback on data analyses. We are grateful to Alejandro Frid, Paul Dayton, Norman Sloan, Rebecca Martone, Kyle Demes, and two anonymous reviewers who provided comments that improved previous versions of this manuscript. We also thank the Gwaii Haanas Archipelago Management Board, Council of the Haida Nation Fisheries Committee, Heiltsuk Integrated Resource Management Department, and Pacific Rim National Park Reserve for supporting this research.</t>
  </si>
  <si>
    <t>e01604</t>
  </si>
  <si>
    <t>10.1002/ecs2.1604</t>
  </si>
  <si>
    <t>EF2EE</t>
  </si>
  <si>
    <t>WOS:000390136700008</t>
  </si>
  <si>
    <t>Deininger, M; Koellner, T; Brey, T; Teschke, K</t>
  </si>
  <si>
    <t>Deininger, Michaela; Koellner, Thomas; Brey, Thomas; Teschke, Katharina</t>
  </si>
  <si>
    <t>Towards mapping and assessing antarctic marine ecosystem services - The weddell sea case study</t>
  </si>
  <si>
    <t>ECOSYSTEM SERVICES</t>
  </si>
  <si>
    <t>Southern Ocean; Ecosystem services; Beneficiaries; Tourism; Genetic diversity; Carbon sequestration</t>
  </si>
  <si>
    <t>SOUTHERN-OCEAN; TRADE-OFFS; DECISION-MAKING; CO2; BIODIVERSITY; COASTAL; WHALES; SINK; SEQUESTRATION; CONSERVATION</t>
  </si>
  <si>
    <t>This study is the first to quantify and to map the provision of ecosystem core services (ES)-tourism, genetic diversity and carbon sequestration-for a large Antarctic marine area, the Weddell Sea. Additionally, synergies and trade-offs between the ES were explored. The analyses conducted during this study covered both spatial and temporal correlations between pairs of ES, and between individual ES and sea ice coverage. Overall, service delivery in the studied seascape is distinctly heterogeneous, albeit there are areas where multiple benefits are provided simultaneously (super hotspots). Our findings indicate that in wide parts of the Weddell Sea, small-scale conservation efforts may not achieve their intended goals. They also show that particularly sea ice cover restrains tourism, i.e. this sector may expect strong growth in a future of global warming driven sea ice retreat.</t>
  </si>
  <si>
    <t>[Deininger, Michaela; Koellner, Thomas] Univ Bayreuth, BayCEER, Fac Biol Chem &amp; Earth Sci, Professorship Ecol Serv, Univ Str 30, D-95440 Bayreuth, Germany; [Brey, Thomas; Teschke, Katharina] Alfred Wegener Inst, Helmholtz Ctr Polar &amp; Marine Res AWI, Div Biosci Funct Ecol, Bremerhaven, Germany</t>
  </si>
  <si>
    <t>University of Bayreuth; Helmholtz Association; Alfred Wegener Institute, Helmholtz Centre for Polar &amp; Marine Research</t>
  </si>
  <si>
    <t>Deininger, M (corresponding author), Univ Bayreuth, BayCEER, Fac Biol Chem &amp; Earth Sci, Professorship Ecol Serv, Univ Str 30, D-95440 Bayreuth, Germany.</t>
  </si>
  <si>
    <t>Michaela.Deininger@gmx.de</t>
  </si>
  <si>
    <t>BITOUN, RACHEL Elisabeth/AAC-9538-2021; Koellner, Thomas/B-8286-2008</t>
  </si>
  <si>
    <t>BITOUN, RACHEL Elisabeth/0000-0002-3614-9910; Koellner, Thomas/0000-0001-5022-027X; Brey, Thomas/0000-0002-6345-2851; Teschke, Katharina/0000-0001-9595-7443</t>
  </si>
  <si>
    <t>2212-0416</t>
  </si>
  <si>
    <t>ECOSYST SERV</t>
  </si>
  <si>
    <t>Ecosyst. Serv.</t>
  </si>
  <si>
    <t>10.1016/j.ecoser.2016.11.001</t>
  </si>
  <si>
    <t>Ecology; Environmental Sciences; Environmental Studies</t>
  </si>
  <si>
    <t>EF9ZW</t>
  </si>
  <si>
    <t>WOS:000390691200018</t>
  </si>
  <si>
    <t>Zhang, YL; Kang, SC; Chen, PF; Li, XF; Liu, YJ; Gao, TG; Guo, JM; Sillanpää, M</t>
  </si>
  <si>
    <t>Zhang, Yulan; Kang, Shichang; Chen, Pengfei; Li, Xiaofei; Liu, Yajun; Gao, Tanguang; Guo, Junming; Sillanpaa, Mika</t>
  </si>
  <si>
    <t>Records of anthropogenic antimony in the glacial snow from the southeastern Tibetan Plateau</t>
  </si>
  <si>
    <t>JOURNAL OF ASIAN EARTH SCIENCES</t>
  </si>
  <si>
    <t>Antimony; Glacier; Elemental records; Anthropogenic impact; Tibetan Plateau</t>
  </si>
  <si>
    <t>SEASONAL-VARIATIONS; TRACE-ELEMENTS; HEAVY-METALS; ENVIRONMENT; SB; DEPOSITION; EMISSIONS; EVEREST; CORES; MO</t>
  </si>
  <si>
    <t>Antimony (Sb) is a ubiquitous element in the environment that is potentially toxic at very low concentrations. In this study, surface snow/ice and snowpit samples were collected from four glaciers in the southeastern Tibetan Plateau in June 2015. The concentrations of Sb and other elements were measured in these samples. The results showed that the average concentration of Sb was approximately 2.58 pg g(-1) with a range of 1.64-9.20 pg g(-1). The average Sb concentration in the study area was comparable to that recorded in a Mt. Everest ice core and higher than that in Arctic and Antarctic snow/ice but much lower than that in Tien Shan and Alps ice cores. Sb presented different variations with other toxic elements (Pb and Cr) and a crustal element (Al) in the three snowpits, which indicated the impact of a different source or post-deposition processes. The enrichment factor of Sb was larger than 10, suggesting that anthropogenic sources provided important contributions to Sb deposition in the glaciers. The Sb in the glacial snow was mainly loaded in the fourth component in principal component analysis, exhibiting discrepancies with crustal elements (Fe and Ca) and other toxic metals (Pb). Backward trajectories revealed that the air mass arriving at the southeastern Tibetan Plateau mostly originated from the Bay of Bengal and the South Asia in June. Thus, pollutants from the South Asia could play an important role in Sb deposition in the studied region. The released Sb from glacier meltwater in the Tibetan Plateau and surrounding areas might pose a risk to the livelihoods and well-being of those in downstream regions. (C) 2016 Elsevier Ltd. All rights reserved.</t>
  </si>
  <si>
    <t>[Zhang, Yulan; Kang, Shichang; Li, Xiaofei; Liu, Yajun] Chinese Acad Sci, State Key Lab Cryospher Sci, Northwest Inst Ecoenvironm &amp; Resources, 320 Donggang West Rd, Lanzhou 730000, Peoples R China; [Kang, Shichang] Chinese Acad Sci, CAS Ctr Excellence Tibetan Plateau Earth Sci, Beijing 100101, Peoples R China; [Chen, Pengfei; Guo, Junming] Chinese Acad Sci, Key Lab Tibetan Environm Changes &amp; Land Surface P, Inst Tibetan Plateau Res, Beijing 100101, Peoples R China; [Gao, Tanguang] Lanzhou Univ, Key Lab Western Chinas Environm Syst, Minist Educ, Coll Earth &amp; Environm Sci, Lanzhou 730000, Peoples R China; [Sillanpaa, Mika] Lappeenranta Univ Technol, Lab Green Chem, Sammonkatu 12, Fi Mikkeli 50130, Finland; [Zhang, Yulan] Nanjing Univ Informat Sci &amp; Technol, Jiangsu Key Lab Atmospher Environm Monitoring &amp; P, Sch Environm Sci &amp; Engn, AEMPC, Nanjing, Peoples R China</t>
  </si>
  <si>
    <t>Chinese Academy of Sciences; Chinese Academy of Sciences; Chinese Academy of Sciences; Institute of Tibetan Plateau Research, CAS; Lanzhou University; Lappeenranta-Lahti University of Technology LUT; Nanjing University of Information Science &amp; Technology</t>
  </si>
  <si>
    <t>Kang, SC (corresponding author), Chinese Acad Sci, State Key Lab Cryospher Sci, Northwest Inst Ecoenvironm &amp; Resources, 320 Donggang West Rd, Lanzhou 730000, Peoples R China.</t>
  </si>
  <si>
    <t>shichang.kang@lzb.ac.cn</t>
  </si>
  <si>
    <t>CHEN, pengfei/M-3073-2018; Sillanpää, Mika E T/G-1366-2011; Li, xiaofei/GXF-7187-2022; Gao, Tanguang/ABG-7175-2021; junming, guo/JZC-7672-2024; Kang, Shichang/I-6830-2018</t>
  </si>
  <si>
    <t>CHEN, pengfei/0000-0002-0856-7234; Sillanpää, Mika E T/0000-0003-3247-5337; junming, guo/0000-0002-3133-5597; Kang, Shichang/0000-0003-2115-9005</t>
  </si>
  <si>
    <t>National Natural Science Foundation of China [41671067, 41630754, 41501063]; Foundation for Excellent Youth Scholars of CAREERI (CAS)</t>
  </si>
  <si>
    <t>National Natural Science Foundation of China(National Natural Science Foundation of China (NSFC)); Foundation for Excellent Youth Scholars of CAREERI (CAS)(Chinese Academy of Sciences)</t>
  </si>
  <si>
    <t>This study is supported by the National Natural Science Foundation of China (41671067, 41630754, and 41501063), the Foundation for Excellent Youth Scholars of CAREERI (CAS). We would like to thank Gao Shaopeng for the chemical analysis. The authors also gratefully acknowledge the NOAA Air Resources Laboratory (ARL) for the provision of the HYSPLIT transport and dispersion model used in this publication.</t>
  </si>
  <si>
    <t>1367-9120</t>
  </si>
  <si>
    <t>1878-5786</t>
  </si>
  <si>
    <t>J ASIAN EARTH SCI</t>
  </si>
  <si>
    <t>J. Asian Earth Sci.</t>
  </si>
  <si>
    <t>10.1016/j.jseaes.2016.09.007</t>
  </si>
  <si>
    <t>EF1JG</t>
  </si>
  <si>
    <t>WOS:000390080500004</t>
  </si>
  <si>
    <t>Navarrete, C; Gianni, G; Echaurren, A; Kingler, FL; Folguera, A</t>
  </si>
  <si>
    <t>Navarrete, Cesar; Gianni, Guido; Echaurren, Andres; Kingler, Federico Lince; Folguer, Andres</t>
  </si>
  <si>
    <t>Episodic Jurassic to Lower Cretaceous intraplate compression in Central Patagonia during Gondwana breakup</t>
  </si>
  <si>
    <t>JOURNAL OF GEODYNAMICS</t>
  </si>
  <si>
    <t>Intraplate compression; Karoo large igneous province; Jurassic to Lower Cretaceous inversion; Supercontinent break-up</t>
  </si>
  <si>
    <t>SAN-JORGE-BASIN; LARGE IGNEOUS PROVINCE; MANTLE PLUMES; ANTARCTIC PENINSULA; CHUBUT GROUP; ARGENTINA; DEFORMATION; AGE; EVOLUTION; PANGEA</t>
  </si>
  <si>
    <t>From Lower Jurassic to Lower Cretaceous, several intraplate compression events affected discrete sectors of Central Patagonia, under a general context of crustal extension associated with Gondwana breakup. This was demonstrated by means of 2D and 3D seismic and borehole data, which show partial inversion of Lower and Middle Jurassic extensional structures of the Chubut and Canadon Asfalto basins, during the earliest stages of breakup. A comparison with surrounding areas in Patagonia, where similar Jurassic intraplate compression was described, allowed the discrimination of three discrete pulses of subtle compression (C1: similar to 188-185 Ma; C2: similar to 170-163; C3: similar to 157-136? Ma). Interestingly, episodic intraplate compressional events are closely followed by high flux magmatic events linked to the westward expansion of the Karoo-Ferrar thermal anomaly, which impacted on the lithosphere of southwest Gondwana in Lower Jurassic. In addition, we determined the approximate direction of the main compressive strain (sigma 1) compatible with other Jurassic intraplate belts of South America. These observations led us to propose a linkage between a thermo mechanically weakened continental crust due to LIPs activity, changes in plate motions and ridge-push forces generated by the opening of the Weddell Sea, in order to explain intraplate shortening, interrupted while Karoo LIPs magmatic invigoration took place. (C) 2016 Elsevier Ltd. All rights reserved.</t>
  </si>
  <si>
    <t>[Navarrete, Cesar] Univ Nacl Patagonia San Juan Bosco, FCN, Dpto Geol, Comodoro Rivadavia, Argentina; [Navarrete, Cesar] Petroquim Comodoro Rivadavia, Buenos Aires, DF, Argentina; [Gianni, Guido; Echaurren, Andres; Folguer, Andres] Univ Buenos Aires, FCEN, UBA CONICET, Inst Estudios Andinos Don Pablo Groeber,Dept Cien, Buenos Aires, DF, Argentina; [Kingler, Federico Lince] Inst Geofis Sismol Ingn FS Volponi, San Juan, PR USA</t>
  </si>
  <si>
    <t>Universidad Nacional de la Patagonia San Juan Bosco; Consejo Nacional de Investigaciones Cientificas y Tecnicas (CONICET); University of Buenos Aires</t>
  </si>
  <si>
    <t>Navarrete, C (corresponding author), Univ Nacl Patagonia San Juan Bosco, FCN, Dpto Geol, Comodoro Rivadavia, Argentina.</t>
  </si>
  <si>
    <t>cesarnavarrete@live.com.ar; guidogianni22@gmail.com; andresechaurren@gmail.com; flinceklinger@gmail.com; andresfolguera2@yahoo.com.ar</t>
  </si>
  <si>
    <t>Gianni, Guido Martin/0000-0001-9036-0621; Navarrete, Cesar/0000-0001-7106-3672; folguera, andres/0000-0001-8965-8543</t>
  </si>
  <si>
    <t>0264-3707</t>
  </si>
  <si>
    <t>J GEODYN</t>
  </si>
  <si>
    <t>J. Geodyn.</t>
  </si>
  <si>
    <t>10.1016/j.jog.2016.10.001</t>
  </si>
  <si>
    <t>EE6NL</t>
  </si>
  <si>
    <t>WOS:000389729400013</t>
  </si>
  <si>
    <t>Heidbrink, I</t>
  </si>
  <si>
    <t>Heidbrink, Ingo</t>
  </si>
  <si>
    <t>The informal open-air museum of Antarctic transportation at Base Esperanza</t>
  </si>
  <si>
    <t>JOURNAL OF TRANSPORT HISTORY</t>
  </si>
  <si>
    <t>Antarctica; transportation museum; open-air museum; exhibition; Antarctic research station</t>
  </si>
  <si>
    <t>Surface transportation was a crucial element of all human activities ever since the beginning of the exploration of the seventh continent. At the Argentine Antarctic research base 'Base Esperanza' there is a small informal collection/museum on Antarctic transportation that constitutes the only transportation museum in Antarctica.</t>
  </si>
  <si>
    <t>[Heidbrink, Ingo] Old Dominion Univ, 8047 Batten Arts &amp; Letters Bldg, Norfolk, VA 23529 USA</t>
  </si>
  <si>
    <t>Old Dominion University</t>
  </si>
  <si>
    <t>Heidbrink, I (corresponding author), Old Dominion Univ, 8047 Batten Arts &amp; Letters Bldg, Norfolk, VA 23529 USA.</t>
  </si>
  <si>
    <t>iheidbri@odu.edu</t>
  </si>
  <si>
    <t>Heidbrink, Ingo/GYD-5097-2022</t>
  </si>
  <si>
    <t>Heidbrink, Ingo/0000-0001-5403-3893</t>
  </si>
  <si>
    <t>SAGE PUBLICATIONS INC</t>
  </si>
  <si>
    <t>THOUSAND OAKS</t>
  </si>
  <si>
    <t>2455 TELLER RD, THOUSAND OAKS, CA 91320 USA</t>
  </si>
  <si>
    <t>0022-5266</t>
  </si>
  <si>
    <t>1759-3999</t>
  </si>
  <si>
    <t>J TRANSP HIST</t>
  </si>
  <si>
    <t>J. Transp. Hist.</t>
  </si>
  <si>
    <t>10.1177/0022526616654703</t>
  </si>
  <si>
    <t>EF2PB</t>
  </si>
  <si>
    <t>WOS:000390165700008</t>
  </si>
  <si>
    <t>Dambach, J; Raupach, MJ; Leese, F; Schwarzer, J; Engler, JO</t>
  </si>
  <si>
    <t>Dambach, Johannes; Raupach, Michael J.; Leese, Florian; Schwarzer, Julia; Engler, Jan O.</t>
  </si>
  <si>
    <t>Ocean currents determine functional connectivity in an Antarctic deep-sea shrimp</t>
  </si>
  <si>
    <t>MARINE ECOLOGY-AN EVOLUTIONARY PERSPECTIVE</t>
  </si>
  <si>
    <t>current flow modeling; marine connectivity; microsatellites; Nematocarcinus lanceopes; seascape genetics</t>
  </si>
  <si>
    <t>EASTERN WEDDELL SEA; GENE FLOW; POPULATION-STRUCTURE; SOUTHERN-OCEAN; LARVAL DISPERSAL; CIRCUIT-THEORY; DECAPODA; ECOLOGY; DIFFERENTIATION; BIOGEOGRAPHY</t>
  </si>
  <si>
    <t>The coherency among larval stages of marine taxa, ocean currents and population connectivity is still subject to discussion. A common view is that organisms with pelagic larval stages have higher dispersal abilities and therefore show a relatively homogeneous population genetic structure. Contrary to this, local genetic differentiation is assumed for many benthic direct developers. Specific larval or adult migratory behavior and hydrographic effects may significantly influence distribution patterns, rather than passive drifting abilities alone. The Southern Ocean is an ideal environment to test for the effects of ocean currents on population connectivity as it is characterized by several well-defined and strong isolating current systems. In this study we studied the genetic structure of the decapod deep-sea shrimp Nematocarcinus lanceopes, which has planktotrophic larval stages. We analysed 194 individuals from different sample localities around the Antarctic continent using nine microsatellite markers. Consistent with a previous study based on mitochondrial DNA markers, primarily weak genetic patterns among N. lanceopes populations around the continent were found. Using ocean resistance modeling approaches we were able to show that subtle genetic differences among populations are more likely explained by ocean currents rather than by geographic distance for the Atlantic Sector of the Southern Ocean.</t>
  </si>
  <si>
    <t>[Dambach, Johannes; Schwarzer, Julia; Engler, Jan O.] Zool Res Museum Alexander Koenig, Adenauerallee 160, D-53113 Bonn, Germany; [Raupach, Michael J.] Senckenherg Meer, Deutsch Zentrum Marine Biodiversitatsforsch, Wilhelmshaven, Germany; [Leese, Florian] Ruhr Univ Bochum, Dept Anim Ecol Evolut &amp; Biodivers, Bochum, Germany; [Schwarzer, Julia] EAWAG Swiss Fed Inst Aquat Sci &amp; Technol, Ctr Ecol Evolut &amp; Biogeochem, Dept Fish Ecol &amp; Evolut, Kastanienbaum, Switzerland; [Schwarzer, Julia] Univ Bern, Inst Ecol &amp; Evolut, Aquat Ecol &amp; Evolut, Bern, Switzerland; [Engler, Jan O.] Univ Gottingen, Dept Wildlife Sci, Gottingen, Germany</t>
  </si>
  <si>
    <t>Zoologisches Forschungsmuseum Alexander Koenig (ZFMK); Ruhr University Bochum; Swiss Federal Institutes of Technology Domain; Swiss Federal Institute of Aquatic Science &amp; Technology (EAWAG); University of Bern</t>
  </si>
  <si>
    <t>Dambach, J (corresponding author), Zool Res Museum Alexander Koenig, Adenauerallee 160, D-53113 Bonn, Germany.</t>
  </si>
  <si>
    <t>j.dambach@zfmk.de</t>
  </si>
  <si>
    <t>Leese, Florian/D-4277-2012; Raupach, Michael J./AAF-7566-2020; Engler, Jan/HJH-5102-2023</t>
  </si>
  <si>
    <t>Leese, Florian/0000-0002-5465-913X; Raupach, Michael J./0000-0001-8299-6697;</t>
  </si>
  <si>
    <t>German Research Foundation (DFG) [RA-1688-2, 1158]</t>
  </si>
  <si>
    <t>German Research Foundation (DFG)(German Research Foundation (DFG))</t>
  </si>
  <si>
    <t>We thank the German Research Foundation (DFG RA-1688-2 within the priority program 1158) for funding this study. We also want to thank our anonymous reviewers and our editors for critical comments and further annotations on the manuscript.</t>
  </si>
  <si>
    <t>0173-9565</t>
  </si>
  <si>
    <t>1439-0485</t>
  </si>
  <si>
    <t>MAR ECOL-EVOL PERSP</t>
  </si>
  <si>
    <t>Mar. Ecol.-Evol. Persp.</t>
  </si>
  <si>
    <t>10.1111/maec.12343</t>
  </si>
  <si>
    <t>EF5WW</t>
  </si>
  <si>
    <t>WOS:000390401400013</t>
  </si>
  <si>
    <t>Johnson, JE; Welch, DJ; Maynard, JA; Bell, JD; Pecl, G; Robins, J; Saunders, T</t>
  </si>
  <si>
    <t>Johnson, Johanna E.; Welch, David J.; Maynard, Jeffrey A.; Bell, Johann D.; Pecl, Gretta; Robins, Julie; Saunders, Thor</t>
  </si>
  <si>
    <t>Assessing and reducing vulnerability to climate change: Moving from theory to practical decision-support</t>
  </si>
  <si>
    <t>Climate vulnerability; Assessment framework; Climate adaptation; Socio-ecological systems; Decision support</t>
  </si>
  <si>
    <t>OPERATIONALIZING RESILIENCE; FISHERIES; CONSERVATION; ASSESSMENTS; MANAGEMENT; FRAMEWORK</t>
  </si>
  <si>
    <t>As climate change continues to impact socio-ecological systems, tools that assist conservation managers to understand vulnerability and target adaptations are essential. Quantitative assessments of vulnerability are rare because available frameworks are complex and lack guidance for dealing with data limitations and integrating across scales and disciplines. This paper describes a semi-quantitative method for assessing vulnerability to climate change that integrates socio-ecological factors to address management objectives and support decision making. The method applies a framework first adopted by the Intergovernmental Panel on Climate Change and uses a structured 10-step process. The scores for each framework element are normalized and multiplied to produce a vulnerability score and then the assessed components are ranked from high to low vulnerability. Sensitivity analyses determine which indicators most influence the analysis and the resultant decision-making process so data quality for these indicators can be reviewed to increase robustness. Prioritisation of components for conservation considers other economic, social and cultural values with vulnerability rankings to target actions that reduce vulnerability to climate change by decreasing exposure or sensitivity and/or increasing adaptive capacity. This framework provides practical decision-support and has been applied to marine ecosystems and fisheries, with two case applications provided as examples: (1) food security in Pacific Island nations under climate-driven fish declines, and (2) fisheries in the Gulf of Carpentaria, northern Australia. The step-wise process outlined here is broadly applicable and can be undertaken with minimal resources using existing data, thereby having great potential to inform adaptive natural resource management in diverse locations.</t>
  </si>
  <si>
    <t>[Johnson, Johanna E.] C2O Coasts Climate Oceans, Cairns 4870, Australia; [Johnson, Johanna E.] James Cook Univ, Coll Marine &amp; Environm Sci, Cairns 4870, Australia; [Welch, David J.] C2O Fisheries, Cairns 4870, Australia; [Welch, David J.] James Cook Univ, Coll Marine &amp; Environm Sci, Ctr Sustainable Trop Fisheries &amp; Aquaculture, Townsville, Qld 4811, Australia; [Maynard, Jeffrey A.] SymbioSeas &amp; Marine Appl Res Ctr, Wilmington, NC 28411 USA; [Maynard, Jeffrey A.] CRIOBE, CNRS,EPHE, USR 3278, Lab dExcellence,CORAIL, Papetoai, Moorea, France; [Bell, Johann D.] Secretariat Pacific Community, Noumea, New Caledonia; [Pecl, Gretta] Univ Tasmania, Fisheries &amp; Aquaculture Ctr, Inst Marine &amp; Antarctic Studies, Hobart, Tas 7001, Australia; [Pecl, Gretta] Univ Tasmania, Ctr Marine Socioecol, Hobart, Tas 7001, Australia; [Robins, Julie] Agri Sci Queensland, Dept Agr &amp; Fisheries, Brisbane, Qld, Australia; [Saunders, Thor] Northern Terr Dept Primary Ind &amp; Fisheries, Darwin, NT 0800, Australia; [Bell, Johann D.] Univ Wollongong, Australian Natl Ctr Ocean Resources &amp; Secur, Wollongong, NSW 2522, Australia</t>
  </si>
  <si>
    <t>James Cook University; James Cook University; Universite PSL; Ecole Pratique des Hautes Etudes (EPHE); Centre National de la Recherche Scientifique (CNRS); CNRS - Institute of Ecology &amp; Environment (INEE); University of Tasmania; University of Tasmania; Queensland Department of Agriculture &amp; Fisheries; University of Wollongong</t>
  </si>
  <si>
    <t>Johnson, JE (corresponding author), C2O Coasts Climate Oceans, Cairns 4870, Australia.;Johnson, JE (corresponding author), James Cook Univ, Coll Marine &amp; Environm Sci, Cairns 4870, Australia.</t>
  </si>
  <si>
    <t>johanna.johnson@jcu.edu.au; d.welch@c2o.net.au; maynardmarine@gmail.com; b.johann9@gmail.com; Gretta.Pecl@utas.edu.au; Julie.Robins@daf.qld.gov.au; thor.saunders@nt.gov.au</t>
  </si>
  <si>
    <t>Johnson, Johanna/Y-6099-2019; Pecl, Gretta/D-7267-2011</t>
  </si>
  <si>
    <t>Johnson, Johanna/0000-0003-0539-5542; Pecl, Gretta/0000-0003-0192-4339; Bell, Johann/0000-0003-2152-536X; Maynard, Dr Jeffrey/0000-0002-6444-6373</t>
  </si>
  <si>
    <t>Great Barrier Reef Marine Park Authority; Secretariat of the Pacific Community; Australian AID; Australian Fisheries Management Authority; Protected Zone Joint Authority; Australian Government's Fisheries Research and Development Corporation [2013/0014]; Department of Climate Change and Energy Efficiency; European Research Commission Marie Curie Actions Fellowship; ARC Future Fellowship</t>
  </si>
  <si>
    <t>Great Barrier Reef Marine Park Authority; Secretariat of the Pacific Community; Australian AID(CGIAR); Australian Fisheries Management Authority; Protected Zone Joint Authority; Australian Government's Fisheries Research and Development Corporation(Fisheries R&amp;D Corp); Department of Climate Change and Energy Efficiency; European Research Commission Marie Curie Actions Fellowship(Marie Curie Actions); ARC Future Fellowship(Australian Research Council)</t>
  </si>
  <si>
    <t>Funding for this study and the case applications was provided by these institutions and programs: Great Barrier Reef Marine Park Authority, Secretariat of the Pacific Community, Australian AID, Australian Fisheries Management Authority and Protected Zone Joint Authority, Australian Government's Fisheries Research and Development Corporation (grant 2013/0014) and Department of Climate Change and Energy Efficiency. Funding was also provided by a European Research Commission Marie Curie Actions Fellowship and an ARC Future Fellowship. We are grateful to the many specialist scientists and local stakeholders that participated in the case examples. Figures were developed in collaboration with D. Tracey.</t>
  </si>
  <si>
    <t>10.1016/j.marpol.2016.09.024</t>
  </si>
  <si>
    <t>EF7EY</t>
  </si>
  <si>
    <t>WOS:000390494100027</t>
  </si>
  <si>
    <t>von Storch, JS; Haak, H; Hertwig, E; Fast, I</t>
  </si>
  <si>
    <t>von Storch, Jin-Song; Haak, Helmuth; Hertwig, Eileen; Fast, Irina</t>
  </si>
  <si>
    <t>Vertical heat and salt fluxes due to resolved and parameterized meso-scale Eddies</t>
  </si>
  <si>
    <t>OCEAN MODELLING</t>
  </si>
  <si>
    <t>Vertical eddy heat and salinity fluxes in a 0.1 degree OGCM-simulation; Tendency forcing due to resolved and parameterized eddies; Biases in non-eddy-resolving OGCMs; The GM parameterization</t>
  </si>
  <si>
    <t>OCEAN CIRCULATION MODELS; ANTARCTIC CIRCUMPOLAR CURRENT; SOUTHERN-OCEAN; VOLUME TRANSPORT; CLIMATE MODELS; VARIABILITY; SALINITY; PROJECT</t>
  </si>
  <si>
    <t>Using a suite of simulations with the Max Planck Institute Ocean Model (MPIOM) at resolutions of about 0.1 degrees, 0.4 degrees and 1.5 degrees, we study the impact of resolved and parameterized vertical eddy fluxes on the long-standing biases obtained when running MPIOM at low resolutions. In the 0.1 degrees simulation, the eddy heat and salt fluxes have three features in common. First, their horizontal area averages are both upward, counteracting the downward fluxes due to time-mean circulations. Second, their divergences at intermediate depths are both negative, acting to cool and to freshen water masses, thereby reducing the major long-standing warm and saline biases of the low-resolution MPIOM at these depths. Third, both the heat and salt budgets are dominated by a balance between the divergence of eddy flux and that of mean flux. The vertical profiles of the tendency forcing due to parameterized eddies resemble those due to resolved eddies. This resemblance does not guarantee a bias reduction, as the tendency forcing terms are much less well compensated in the 0.4 degrees- and 1.5 degrees-simulation than in the 0.1 degrees-simulation. When concentrating on the eddy-induced transports, we identify two situations in which the eddy effect is not appropriately represented by the GM-parameterization. One emphasizes the importance of the mean tracer distribution and the other the importance of the simulated isoneutral slope in determining the eddy-induced transports. Given the mean salinity distribution in the Southern ocean, characterized by a tongue of fresh Antarctic Intermediate Water, the salinity advection via eddy-induced transport tends to strengthen, rather than to weaken, the saline biases. Due to the density biases in a widened region of the Agulhas current in the low-resolution runs, the isoneutral slope vectors are erroneous and the large parameterized eddy-induced transports do not occur where they should. (C) 2016 Elsevier Ltd. All rights reserved.</t>
  </si>
  <si>
    <t>[von Storch, Jin-Song; Haak, Helmuth; Hertwig, Eileen] Max Planck Inst Meteorol, Bundesstr 53, D-20146 Hamburg, Germany; [Fast, Irina] Deutsched Klimarechenzentrum GmbH, Bundestr 45a, D-20146 Hamburg, Germany</t>
  </si>
  <si>
    <t>Max Planck Society</t>
  </si>
  <si>
    <t>von Storch, JS (corresponding author), Max Planck Inst Meteorol, Bundesstr 53, D-20146 Hamburg, Germany.</t>
  </si>
  <si>
    <t>jin-song.von.storch@mpimet.mpg.de</t>
  </si>
  <si>
    <t>Hertwig, Eileen/0000-0002-7853-7022</t>
  </si>
  <si>
    <t>Cluster of Excellence 'CliSAP', University of Hamburg through the German Science Foundation (DFG) [EXC177]</t>
  </si>
  <si>
    <t>Cluster of Excellence 'CliSAP', University of Hamburg through the German Science Foundation (DFG)</t>
  </si>
  <si>
    <t>We knowledge the STORM Consortium for ensuring the computer resource, and DKRZ for their technical support, which make the 0.1 degrees-simulation possible. This work was supported through the Cluster of Excellence 'CliSAP' (EXC177), University of Hamburg, funded through the German Science Foundation (DFG). We thank the editor and the anonymous reviewers for their constructive comments, which helped us to improve the manuscript.</t>
  </si>
  <si>
    <t>1463-5003</t>
  </si>
  <si>
    <t>1463-5011</t>
  </si>
  <si>
    <t>OCEAN MODEL</t>
  </si>
  <si>
    <t>Ocean Model.</t>
  </si>
  <si>
    <t>10.1016/j.ocemod.2016.10.001</t>
  </si>
  <si>
    <t>EF6IN</t>
  </si>
  <si>
    <t>WOS:000390434600001</t>
  </si>
  <si>
    <t>Laybourn-Parry, J; Pearce, D</t>
  </si>
  <si>
    <t>Laybourn-Parry, Johanna; Pearce, David</t>
  </si>
  <si>
    <t>Heterotrophic bacteria in Antarctic lacustrine and glacial environments</t>
  </si>
  <si>
    <t>Antarctica; Heterotrophic bacteria; Lakes Glaciers; Extremophiles</t>
  </si>
  <si>
    <t>MCMURDO DRY VALLEYS; FRESH-WATER LAKES; BACTERIOPLANKTON COMMUNITY STRUCTURE; PLANKTONIC MICROBIAL COMMUNITY; LARGE OLIGOTROPHIC LAKE; ACE LAKE; SP-NOV; VESTFOLD HILLS; SEASONAL DYNAMICS; ORGANIC-CARBON</t>
  </si>
  <si>
    <t>Antarctica has the greatest diversity of lakes types on the planet including freshwater, brackish, saline and hypersaline systems, epishelf lakes, ice shelf lakes and lakes and cryoconite holes on glacier surfaces. Beneath the continental ice sheet, there are hundreds of subglacial lakes. These systems are dominated by microbial food webs, with few or no metazoans. They are subject to continuous cold, low annual levels of photosynthetically active radiation and little or no allochthonous nutrient inputs from their catchments. Subglacial lakes function in darkness. Heterotrophic bacteria are a conspicuous and important component of the simple truncated food webs present. Bacterial abundance and production vary between freshwater and saline lakes, the latter being more productive. The bacterioplankton functions throughout the year, even in the darkness of winter when primary production is curtailed. In more extreme glacial habitats, biomass is even lower with low rates of production during the annual melt season. Inter-annual variation appears to be a characteristic of bacterial production in lakes. The factors that control production appear to be phosphorus limitation and grazing by heterotrophic and mixotrophic flagellate protozoa. The evidence suggests high rates of viral infection in bacteria and consequent viral lysis, resulting in significant carbon recycling, which undoubtedly supports bacterial growth in winter. The biodiversity of lacustrine Antarctic heterotrophic bacteria is still relatively poorly researched. However, most of the main phyla are represented and some patterns are beginning to emerge. One of the major problems is that data for heterotrophic bacteria are confined to a few regions served by well-resourced research stations, such as the McMurdo Dry Valleys, the Vestfold Hills and Signy Island. A more holistic multidisciplinary approach is needed to provide a detailed understanding of the functioning, biodiversity and evolution of these communities. This is particularly important as Antarctic lakes are regarded as sentinels of climate change.</t>
  </si>
  <si>
    <t>[Laybourn-Parry, Johanna] Univ Bristol, Sch Geog Sci, Bristol Glaciol Ctr, Bristol BS8 1SS, Avon, England; [Pearce, David] Northumbria Univ, Sch Appl Sci, Newcastle Upon Tyne NE1 8ST, Tyne &amp; Wear, England</t>
  </si>
  <si>
    <t>University of Bristol; Northumbria University</t>
  </si>
  <si>
    <t>Laybourn-Parry, J (corresponding author), Univ Bristol, Sch Geog Sci, Bristol Glaciol Ctr, Bristol BS8 1SS, Avon, England.</t>
  </si>
  <si>
    <t>Jo.Laybourn-Parry@bristol.ac.uk</t>
  </si>
  <si>
    <t>Pearce, David/0000-0001-5292-4596</t>
  </si>
  <si>
    <t>Natural Environment Research Council (UK); Levehulme Trust (UK); National Science Foundation (USA); Australian Antarctic Program</t>
  </si>
  <si>
    <t>Natural Environment Research Council (UK)(UK Research &amp; Innovation (UKRI)Natural Environment Research Council (NERC)); Levehulme Trust (UK); National Science Foundation (USA)(National Science Foundation (NSF)); Australian Antarctic Program</t>
  </si>
  <si>
    <t>The work of the authors quoted here was funded by the Natural Environment Research Council (UK) the Levehulme Trust (UK), the National Science Foundation (USA) and the Australian Antarctic Program.</t>
  </si>
  <si>
    <t>10.1007/s00300-016-2011-1</t>
  </si>
  <si>
    <t>EF1ET</t>
  </si>
  <si>
    <t>WOS:000390068600001</t>
  </si>
  <si>
    <t>Andrade, C; Ríos, C; Gerdes, D; Brey, T</t>
  </si>
  <si>
    <t>Andrade, Claudia; Rios, Carlos; Gerdes, Dieter; Brey, Thomas</t>
  </si>
  <si>
    <t>Trophic structure of shallow-water benthic communities in the sub-Antarctic Strait of Magellan</t>
  </si>
  <si>
    <t>Benthic communities; Functional guilds; Isotopic niche; Magellan Strait; Stable isotope; Subpolar; Trophic ecology</t>
  </si>
  <si>
    <t>KELP MACROCYSTIS-PYRIFERA; STABLE-ISOTOPE RATIOS; FOOD-WEB; DELTA-C-13 MEASUREMENTS; ZOSTERA-MARINA; BEAGLE CHANNEL; CARBON; DELTA-N-15; NICHE; MACROALGAE</t>
  </si>
  <si>
    <t>Trophic structure is among the most fundamental characteristics of an ecosystem since it is a useful way to determine the main energy flow at the ecosystem level. In the Magellan Strait, the local spatial heterogeneity at the shallow-waters ecosystems may have a great variety of potential food sources; however, knowledge about their biological communities and their structure is still unclear. We examined the trophic structure of shallow-water-mixed bottom communities at two sites in the sub-Antarctic Magellan Strait based on carbon (delta C-13) and nitrogen (delta N-15) stable isotope ratios. The benthic communities were composed of 46 species from 20 major taxa at Bahia Laredo (BL) and 55 species from 18 major taxa at Punta Santa Ana (PSA). Benthic macroalgae and organic matter associated with sediment are the major primary food sources at both sites. Although both sites are quite similar in their food sources and in their vertical trophic structure (&gt;= three trophic levels), the food web structure varied distinctly. Functionally, predators and grazers dominated both communities, but top predators were shorebirds, carnivore anemones and predatory nemerteans at BL, and sea stars, shorebirds, crabs and fishes at PSA. The distinct differences in the trophic structure at BL and PSA highlight the important variability of delta N-15 at the base of the benthic food web, the role of local environmental conditions and community dynamics in structuring shallow-water communities.</t>
  </si>
  <si>
    <t>[Andrade, Claudia; Gerdes, Dieter; Brey, Thomas] Helmholtz Ctr Polar &amp; Marine Res, Alfred Wegener Inst, Alten Hafen 26, D-27568 Bremerhaven, Germany; [Andrade, Claudia; Rios, Carlos] Univ Magallanes, Inst Patagonia, Casilla 113-D, Punta Arenas, Chile</t>
  </si>
  <si>
    <t>Helmholtz Association; Alfred Wegener Institute, Helmholtz Centre for Polar &amp; Marine Research; Universidad de Magallanes</t>
  </si>
  <si>
    <t>Andrade, C (corresponding author), Helmholtz Ctr Polar &amp; Marine Res, Alfred Wegener Inst, Alten Hafen 26, D-27568 Bremerhaven, Germany.;Andrade, C (corresponding author), Univ Magallanes, Inst Patagonia, Casilla 113-D, Punta Arenas, Chile.</t>
  </si>
  <si>
    <t>claudia.andrade@umag.cl</t>
  </si>
  <si>
    <t>rios, carlos/AHD-6173-2022; Andrade, Claudia/AAN-4228-2020</t>
  </si>
  <si>
    <t>Andrade, Claudia/0000-0003-0804-6348; Brey, Thomas/0000-0002-6345-2851</t>
  </si>
  <si>
    <t>Deutscher Akademischer Austauschdienst (DAAD, Bonn, Germany) [A0882368]; Comision Nacional de Ciencia y Tecnologia (CONICYT, Santiago, Chile)</t>
  </si>
  <si>
    <t>Deutscher Akademischer Austauschdienst (DAAD, Bonn, Germany)(Deutscher Akademischer Austausch Dienst (DAAD)); Comision Nacional de Ciencia y Tecnologia (CONICYT, Santiago, Chile)</t>
  </si>
  <si>
    <t>We thank the Laboratorio de Hidrobiologia, Instituto de la Patagonia, Universidad de Magallanes for providing partly of the resources for this research. Special thanks go to Lic. Erika Mutschke who made the holdfast samples available for this study and to Dr. Americo Montiel who very kindly identified polychaetes samples. We thank Kerstin Beyer at AWI for her help during the sample preparation of the material for the Stable Isotopes Analyses. We also thank the editor and two anonymous reviewers for their comments, which helped improve this manuscript. This research was supported by a PhD fellowship (A0882368) to CA from the Deutscher Akademischer Austauschdienst (DAAD, Bonn, Germany) and the Comision Nacional de Ciencia y Tecnologia (CONICYT, Santiago, Chile).</t>
  </si>
  <si>
    <t>10.1007/s00300-016-1895-0</t>
  </si>
  <si>
    <t>WOS:000390068600007</t>
  </si>
  <si>
    <t>Pertierra, LR; Baker, M; Howard, C; Vega, GC; Olalla-Tarraga, MA; Scott, J</t>
  </si>
  <si>
    <t>Pertierra, Luis R.; Baker, Matthew; Howard, Chris; Vega, Greta C.; Olalla-Tarraga, Miguel A.; Scott, Jenny</t>
  </si>
  <si>
    <t>Assessing the invasive risk of two non-native Agrostis species on sub-Antarctic Macquarie Island</t>
  </si>
  <si>
    <t>Agrostis stolonifera; Agrostis capillaris; Biological invasions; Ecological modeling; Biogeographic distributions; Phenological constraints</t>
  </si>
  <si>
    <t>POA-ANNUA; BIOLOGICAL INVASIONS; INTRODUCED GRASS; CLIMATE-CHANGE; HEARD ISLAND; VEGETATION; TERRESTRIAL; POPULATION; DISPERSAL; KERGUELEN</t>
  </si>
  <si>
    <t>Two small swards of two grass species (Agrostis stolonifera and Agrostis capillaris) previously unrecorded on Macquarie Island (54A degrees 30'S, 158A degrees 56'E) were found during the 2013-2014 austral summer. Their discovery leads to an assessment of their introduction status and invasive risk. Several evaluations were conducted on the plants regarding their extent, taxonomy, reproductive status and invasive potential. It is possible that the two species were accidentally introduced by human activities due to their proximity to human-frequented sites. No further occurrences were found, indicating that although the species were established, they were, respectively, restricted to two small swards of less than 1 m(2) each. Observations of floral development in the field at the end of summer suggested that no sexually reproductive material was produced. Indoor cultivation of sampled specimens at the island station showed a faster development with mature flowers at the end of the summer but still no seeds. The bioclimatic niches of the two species were modeled with MaxEnt software. Biomodeling results indicate that reasonably favorable habitat is available on Macquarie Island for the successful colonization of both species. Agrostis stolonifera showed a higher invasion risk than A. capillaris. Our observations indicate that the two species are strong candidates for invading the island despite having phenological constraints. As a result, the two swards were removed by the island's management authority. Further introductions and establishment of non-native plant species are expected to occur on sub-Antarctic islands under current global change scenarios.</t>
  </si>
  <si>
    <t>[Pertierra, Luis R.; Vega, Greta C.; Olalla-Tarraga, Miguel A.] Univ Rey Juan Carlos, Dept Biol Geol Fis &amp; Quim Inorgan, C Tulipan S-N, Madrid 28933, Spain; [Baker, Matthew] Tasmanian Museum &amp; Art Gallery, Tasmanian Herbarium, Hobart, Tas, Australia; [Howard, Chris] Tasmanian Pk &amp; Wildlife Serv, Hobart, Tas, Australia; [Scott, Jenny] Univ Tasmania, Sch Land &amp; Food, Geog &amp; Environm Studies, Hobart, Tas, Australia</t>
  </si>
  <si>
    <t>Universidad Rey Juan Carlos; University of Tasmania</t>
  </si>
  <si>
    <t>Pertierra, LR (corresponding author), Univ Rey Juan Carlos, Dept Biol Geol Fis &amp; Quim Inorgan, C Tulipan S-N, Madrid 28933, Spain.</t>
  </si>
  <si>
    <t>luis.pertierra@gmail.com; matthew.baker@tmag.tas.gov.au; chris.howard@parks.tas.gov.au; greta.vega@urjc.es; miguel.olalla@urjc.es; jenny.scott@utas.edu.au</t>
  </si>
  <si>
    <t>Carrete Vega, Greta/E-8666-2016; Olalla-Tárraga, Miguel Ángel/ABE-7880-2020; Pertierra, Luis R./K-3727-2017</t>
  </si>
  <si>
    <t>Olalla-Tárraga, Miguel Ángel/0000-0001-5346-4528; Pertierra, Luis R./0000-0002-2232-428X; , Greta/0000-0001-5115-0146</t>
  </si>
  <si>
    <t>SCAR-COMNAP Fellowship (Scientific Committee of Antarctic Research Council of Managers of National Antarctic Programs) by University of New England (UNE) project [AAC 4158]; ALIENANT project granted by the Spanish MINECO (Ministry of Economy and Competitiveness) I+D Programme [CTM2013-47381]</t>
  </si>
  <si>
    <t>SCAR-COMNAP Fellowship (Scientific Committee of Antarctic Research Council of Managers of National Antarctic Programs) by University of New England (UNE) project; ALIENANT project granted by the Spanish MINECO (Ministry of Economy and Competitiveness) I+D Programme</t>
  </si>
  <si>
    <t>The authors thank the Australian Antarctic Division, especially the staff involved in the logistics of the 2013-14 summer field season on Macquarie Island. Thanks go to the Tasmanian Parks and Wildlife Services for authorizations and support. Thanks to the Australian Antarctic Data Centre for supplying spatial information for this study. Special thanks must go to the 2013-14 summer crew on the Macquarie Island AAD station. Thanks to the directors of Museum of New Zealand Te Papa Tongarewa Herbarium (WELT) and Allan Herbarium (CHR) for access to specimens of A. capillaris and A. stolonifera from sub-Antarctic islands. Finally, thanks also to three anonymous reviewers that improved the manuscript with their comments. LRP was in receipt of a SCAR-COMNAP Fellowship (Scientific Committee of Antarctic Research Council of Managers of National Antarctic Programs) with field research supported by University of New England (UNE) project AAC 4158. This research was also supported by ALIENANT project granted by the Spanish MINECO (Ministry of Economy and Competitiveness) I+D Programme (Ref. CTM2013-47381).</t>
  </si>
  <si>
    <t>10.1007/s00300-016-1912-3</t>
  </si>
  <si>
    <t>WOS:000390068600013</t>
  </si>
  <si>
    <t>Xu, JH; Gong, XF; Gu, BZ</t>
  </si>
  <si>
    <t>Xu, Jianghai; Gong, Xuefei; Gu, Bozhong</t>
  </si>
  <si>
    <t>The Effects of the Foldable Dome of KDUST on the Observation Based on CFD Method at Dome A</t>
  </si>
  <si>
    <t>convection; methods: data analysis; telescopes; turbulence</t>
  </si>
  <si>
    <t>For modern telescopes with the strict requirement of high-resolution image quality, the influence of wind load cannot be ignored. KDUST is a 2.5 m optical telescope and will be installed at Dome A. To study the effects of wind load on KDUST, the low-frequency wind speed data observed by KL-AWS-2G weather station at Dome A are transformed into high frequency based on the theory of wind speed fluctuation spectrum; then, the numerical wind tunnel simulation is conducted under the conditions of different dominant wind directions, different dome opening angles, and the elevation angles of KDUST. The results show that different wind directions mainly affect the wind velocity and turbulence kinetic energy around the telescope; the optical path difference increases along with the increase of the dome opening angle, but decreases with the increase of the elevation angle of KDUST; the dome seeing decreases with the increase of both the dome opening angle and elevation angle. This simulation will provide a useful reference for the future design and construction of KDUST and its foldable dome.</t>
  </si>
  <si>
    <t>[Xu, Jianghai; Gong, Xuefei; Gu, Bozhong] Chinese Acad Sci, Nanjing Inst Astron Opt &amp; Technol, Natl Astron Observ, Nanjing 210042, Jiangsu, Peoples R China; [Xu, Jianghai; Gong, Xuefei; Gu, Bozhong] Chinese Acad Sci, Key Lab Astron Opt &amp; Technol, Nanjing 210042, Jiangsu, Peoples R China; [Xu, Jianghai] Univ Chinese Acad Sci, Beijing 10049, Peoples R China; [Gong, Xuefei; Gu, Bozhong] Chinese Ctr Antarctic Astron, Nanjing 210042, Jiangsu, Peoples R China</t>
  </si>
  <si>
    <t>Chinese Academy of Sciences; National Astronomical Observatory, CAS; Nanjing Institute of Astronomical Optics &amp; Technology, NAOC, CAS; Chinese Academy of Sciences; Nanjing Institute of Astronomical Optics &amp; Technology, NAOC, CAS; Chinese Academy of Sciences; University of Chinese Academy of Sciences, CAS</t>
  </si>
  <si>
    <t>Xu, JH (corresponding author), Chinese Acad Sci, Nanjing Inst Astron Opt &amp; Technol, Natl Astron Observ, Nanjing 210042, Jiangsu, Peoples R China.;Xu, JH (corresponding author), Chinese Acad Sci, Key Lab Astron Opt &amp; Technol, Nanjing 210042, Jiangsu, Peoples R China.;Xu, JH (corresponding author), Univ Chinese Acad Sci, Beijing 10049, Peoples R China.</t>
  </si>
  <si>
    <t>Xu, Jianghai/0000-0002-4465-1273</t>
  </si>
  <si>
    <t>National Natural Science Foundation of China [U1331119]; Chinese Center for Antarctic Astronomy</t>
  </si>
  <si>
    <t>National Natural Science Foundation of China(National Natural Science Foundation of China (NSFC)); Chinese Center for Antarctic Astronomy</t>
  </si>
  <si>
    <t>The authors thank all of the members of the 31st Chinese Antarctic Research Expedition teams for their effort to set up KL-AWS-2G. We also thank Dr. Fan Feng for the helpful discussion. This research is supported by National Natural Science Foundation of China (grant No.U1331119) and the Chinese Center for Antarctic Astronomy.</t>
  </si>
  <si>
    <t>10.1088/1538-3873/128/970/125004</t>
  </si>
  <si>
    <t>EF4XX</t>
  </si>
  <si>
    <t>WOS:000390336400016</t>
  </si>
  <si>
    <t>Muñoz, AA; González-Reyes, A; Lara, A; Sauchyn, D; Christie, D; Puchi, P; Urrutia-Jalabert, R; Toledo-Guerrero, I; Aguilera-Betti, I; Mundo, I; Sheppard, PR; Stahle, D; Villalba, R; Szejner, P; LeQuesne, C; Vanstone, J</t>
  </si>
  <si>
    <t>Munoz, Ariel A.; Gonzalez-Reyes, Alvaro; Lara, Antonio; Sauchyn, David; Christie, Duncan; Puchi, Paulina; Urrutia-Jalabert, Rocio; Toledo-Guerrero, Isadora; Aguilera-Betti, Isabella; Mundo, Ignacio; Sheppard, Paul R.; Stahle, Daniel; Villalba, Ricardo; Szejner, Paul; LeQuesne, Carlos; Vanstone, Jessica</t>
  </si>
  <si>
    <t>Streamflow variability in the Chilean Temperate-Mediterranean climate transition (35°S-42°S) during the last 400 years inferred from tree-ring records</t>
  </si>
  <si>
    <t>Biobio River; Streamflow reconstructions; Southern Annular Mode; Hydroclimate variability</t>
  </si>
  <si>
    <t>RAINFALL VARIABILITY; RECONSTRUCTION; PRECIPITATION; ENSO; ARGENTINA; DYNAMICS; ANDES</t>
  </si>
  <si>
    <t>As rainfall in South-Central Chile has decreased in recent decades, local communities and industries have developed an understandable concern about their threatened water supply. Reconstructing streamflows from tree-ring data has been recognized as a useful paleoclimatic tool in providing long-term perspectives on the temporal characteristics of hydroclimate systems. Multi-century long streamflow reconstructions can be compared to relatively short instrumental observations in order to analyze the frequency of low and high water availability through time. In this work, we have developed a Biobio River streamflow reconstruction to explore the long-term hydroclimate variability at the confluence of the Mediterranean-subtropical and the Temperate-humid climate zones, two regions represented by previous reconstructions of the Maule and Puelo Rivers, respectively. In a suite of analyses, the Biobio River reconstruction proves to be more similar to the Puelo River than the Maule River, despite its closer geographic proximity to the latter. This finding corroborates other studies with instrumental data that identify 37.5A degrees S as a latitudinal confluence of two climate zones. The analyzed rivers are affected by climate forcings on interannual and interdecadal time-scales, Tropical (El Nio Southern Oscillation) and Antarctic (Southern Annular Mode; SAM). Longer cycles found, around 80-years, are well correlated only with SAM variation, which explains most of the variance in the Biobio and Puelo rivers. This cycle also has been attributed to orbital forcing by other authors. All three rivers showed an increase in the frequency of extreme high and low flow events in the twentieth century. The most extreme dry and wet years in the instrumental record (1943-2000) were not the most extreme of the past 400-years reconstructed for the three rivers (1600-2000), yet both instrumental record years did rank in the five most extreme of the streamflow reconstructions as a whole. These findings suggest a high level of natural variability in the hydro-climatic conditions of the region, where extremes characterized the twentieth century. This information is particularly useful when evaluating and improving a wide variety of water management models that apply to water resources that are sensitive to agricultural and hydropower industries.</t>
  </si>
  <si>
    <t>[Munoz, Ariel A.; Puchi, Paulina; Toledo-Guerrero, Isadora; Aguilera-Betti, Isabella] Pontificia Univ Catolica Valparaiso, Inst Geog, Avda Brasil 2241, Valparaiso, Chile; [Gonzalez-Reyes, Alvaro] Univ Chile, Fac Ciencias Fis &amp; Matemat, Dept Geol, Santiago, Chile; [Gonzalez-Reyes, Alvaro] Univ Chile, Fac Ciencias Fis &amp; Matemat, Adv Min Technol Ctr AMTC, Santiago, Chile; [Lara, Antonio; Christie, Duncan; Urrutia-Jalabert, Rocio; LeQuesne, Carlos] Univ Austral Chile, Inst Conservac Biodiversidad &amp; Terr, Valdivia, Chile; [Lara, Antonio; Christie, Duncan] Ctr Climate &amp; Resilience Res CR2, Santiago, Chile; [Sauchyn, David; Vanstone, Jessica] Univ Regina, Prairie Adaptat Res Collaborat PARC, Regina, SK, Canada; [Villalba, Ricardo] Inst Argentino Nivol Glaciol &amp; Ciencias Ambiental, Mendoza, Argentina; [Mundo, Ignacio] Univ Nacl Cuyo, Fac Ciencias Exactas &amp; Nat FCEN, Mendoza, Argentina; [Sheppard, Paul R.] Univ Arizona, LTRR, Tucson, AZ USA; [Stahle, Daniel] Univ Arkansas, Dept Geosci, Tree Ring Lab, Fayetteville, AR 72701 USA; [Szejner, Paul] Univ Austral Chile, Ctr Estudios Ambient, Valdivia, Chile</t>
  </si>
  <si>
    <t>Pontificia Universidad Catolica de Valparaiso; Universidad de Chile; Universidad de Chile; Universidad Austral de Chile; University of Regina; University Nacional Cuyo Mendoza; University of Arizona; University of Arkansas System; University of Arkansas Fayetteville; Universidad Austral de Chile</t>
  </si>
  <si>
    <t>Muñoz, AA (corresponding author), Pontificia Univ Catolica Valparaiso, Inst Geog, Avda Brasil 2241, Valparaiso, Chile.</t>
  </si>
  <si>
    <t>arimunoz82@gmail.com</t>
  </si>
  <si>
    <t>Christie, Duncan A./Q-7114-2016; Szejner, Paul/AAE-9219-2020; Aguilera-Betti, Isabella/AAF-6446-2019</t>
  </si>
  <si>
    <t>Christie, Duncan A./0000-0003-2540-0986; Szejner, Paul/0000-0002-7780-1215; Aguilera-Betti, Isabella/0000-0001-5052-6033; Munoz Navarro, Ariel/0000-0002-1719-4900; Villalba, Ricardo/0000-0001-8183-0310; Mundo, Ignacio/0000-0002-7189-6073; Puchi, Paulina/0000-0001-5429-8605; Urrutia-Jalabert, Rocio/0000-0002-3548-4813; Lara, Antonio/0000-0003-4998-4584</t>
  </si>
  <si>
    <t>Inter-American Institute for Global Change Research CRN II - US National Science Foundation [2047, GEO-0452325]; Chilean Research Council (CONICYT: Insercion de Capital Humano Avanzado en el Sector Productivo Chileno) [781301007]; FONDECYT [1121106, 1151427, 1130410]; Center for Climate and Resilience Research (CR)2 FONDAP [15110009]; IDRC</t>
  </si>
  <si>
    <t>Inter-American Institute for Global Change Research CRN II - US National Science Foundation; Chilean Research Council (CONICYT: Insercion de Capital Humano Avanzado en el Sector Productivo Chileno); FONDECYT(Comision Nacional de Investigacion Cientifica y Tecnologica (CONICYT)CONICYT FONDECYT); Center for Climate and Resilience Research (CR)2 FONDAP; IDRC(International Development Research Centre - IDRC)</t>
  </si>
  <si>
    <t>Support was provided by Inter-American Institute for Global Change Research CRN II # 2047 supported by the US National Science Foundation (GEO-0452325) and the Chilean Research Council (CONICYT: Insercion de Capital Humano Avanzado en el Sector Productivo Chileno 781301007; FONDECYT 1121106; FONDECYT 1151427; FONDECYT 1130410 and the Center for Climate and Resilience Research (CR)2 FONDAP 15110009). This study was completed using the facilities of the PrairieAdaptation Research Collaborative at the University of Regina, Canada, where support came from the IDRC sponsored VACEA project.</t>
  </si>
  <si>
    <t>10.1007/s00382-016-3068-9</t>
  </si>
  <si>
    <t>EE4WG</t>
  </si>
  <si>
    <t>WOS:000389605700025</t>
  </si>
  <si>
    <t>Zhou, BT</t>
  </si>
  <si>
    <t>Zhou, Botao</t>
  </si>
  <si>
    <t>The Asian-Pacific Oscillation pattern in CMIP5 simulations of historical and future climate</t>
  </si>
  <si>
    <t>model evaluation; CMIP5 projection; Asian-Pacific Oscillation</t>
  </si>
  <si>
    <t>NORTH-ATLANTIC OSCILLATION; SPRING ANTARCTIC OSCILLATION; TROPICAL CYCLONE FREQUENCY; WARMING CONTRAST; TROPOSPHERIC TEMPERATURE; GEOPOTENTIAL HEIGHT; PART I; LAND; PRECIPITATION; ANOMALIES</t>
  </si>
  <si>
    <t>Based on the Coupled Model Intercomparison Project Phase 5 (CMIP5) simulations, this article evaluated the performance of 33 coupled models in simulating the summer Asian-Pacific Oscillation (APO) pattern and projected its change under the RCP4.5 and RCP8.5 scenarios. The results show that most of the individual models have good capacity to simulate the climate mean state of the spatial structure of the summer APO pattern, while some have poor skill in modelling its secular trend and interannual variability. The multimodel ensemble mean (MME) generally outperforms the individual models. It not only well reproduces the spatial distribution of the observed APO pattern, but also reasonably captures the observed negative trend and interannual variability of the APO. The MME projects a decrease in the APO intensity towards the end of 21st century under both the RCP4.5 and the RCP8.5 scenarios. Large differences in projected change under the two forcing scenarios start to emerge about in the 2040s, with larger decreasing under the RCP8.5 than that under the RCP4.5. Over the course of the second half of the 21st century, the APO pattern will shift eastward slightly in addition to the weakening in intensity as compared to the 1950-2005 mean climate. For the individual models, the majority of models agree on the sign of projected decreasing change in the APO intensity and also exhibit a stronger change under the RCP8.5 scenario than under the RCP4.5 scenario.</t>
  </si>
  <si>
    <t>[Zhou, Botao] China Meteorol Adm, Natl Climate Ctr, 46 Zhongguancun Nandajie, Beijing 100081, Peoples R China; [Zhou, Botao] Collaborat Innovat Ctr Forecast &amp; Evaluat Meteoro, Nanjing, Jiangsu, Peoples R China</t>
  </si>
  <si>
    <t>China Meteorological Administration</t>
  </si>
  <si>
    <t>Zhou, BT (corresponding author), China Meteorol Adm, Natl Climate Ctr, 46 Zhongguancun Nandajie, Beijing 100081, Peoples R China.</t>
  </si>
  <si>
    <t>zhoubt@cma.gov.cn</t>
  </si>
  <si>
    <t>National Natural Science Foundation [41275078]; Special Fund for Public Welfare Industry (Meteorology) [GYHY201306026]; National Science &amp; Technology Pillar Program of China [2012BAC20B05]</t>
  </si>
  <si>
    <t>National Natural Science Foundation(National Natural Science Foundation of China (NSFC)); Special Fund for Public Welfare Industry (Meteorology); National Science &amp; Technology Pillar Program of China</t>
  </si>
  <si>
    <t>We acknowledge the World Climate Research Program's Working Group on Coupled Modeling, which is responsible for CMIP, and thank climate modelling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This research was jointly supported by the National Natural Science Foundation (41275078), the Special Fund for Public Welfare Industry (Meteorology) (GYHY201306026) and the National Science &amp; Technology Pillar Program (2012BAC20B05) of China.</t>
  </si>
  <si>
    <t>10.1002/joc.4668</t>
  </si>
  <si>
    <t>EE0ZU</t>
  </si>
  <si>
    <t>WOS:000389310400009</t>
  </si>
  <si>
    <t>Costanza, CA; Lazzara, MA; Keller, LM; Cassano, JJ</t>
  </si>
  <si>
    <t>Costanza, Carol A.; Lazzara, Matthew A.; Keller, Linda M.; Cassano, John J.</t>
  </si>
  <si>
    <t>The surface climatology of the Ross Ice Shelf Antarctica</t>
  </si>
  <si>
    <t>climate; Antarctica; meteorology; Ross Ice Shelf</t>
  </si>
  <si>
    <t>MESOSCALE PREDICTION SYSTEM; SEMIANNUAL OSCILLATION; SOUTHERN-HEMISPHERE; SEA REGION; MCMURDO; STATION; BEHAVIOR; TRENDS</t>
  </si>
  <si>
    <t>The University of Wisconsin-Madison Antarctic Automatic Weather Station (AWS) project has been making meteorological surface observations on the Ross Ice Shelf (RIS) for approximately 30 years. This network offers the most continuous set of routine measurements of surface meteorological variables in this region. The Ross Island area is excluded from this study. The surface climate of the RIS is described using the AWS measurements. Temperature, pressure, and wind data are analysed on daily, monthly, seasonal, and annual time periods for 13 AWS across the RIS. The AWS are separated into three representative regions - central, coastal, and the area along the Transantarctic Mountains - in order to describe specific characteristics of sections of the RIS. The climatology describes general characteristics of the region and significant changes over time. The central AWS experiences the coldest mean temperature, and the lowest resultant wind speed. These AWSs also experience the coldest potential temperatures with a minimum of 209.3K at Gill AWS. The AWS along the Transantarctic Mountains experiences the warmest mean temperature, the highest mean sea-level pressure, and the highest mean resultant wind speed. Finally, the coastal AWS experiences the lowest mean pressure. Climate indices (MEI, SAM, and SAO) are compared to temperature and pressure data of four of the AWS with the longest observation periods, and significant correlation is found for most AWS in sea-level pressure and temperature. This climatology study highlights characteristics that influence the climate of the RIS, and the challenges of maintaining a long-term Antarctic AWS network. Results from this effort are essential for the broader Antarctic meteorology community for future research.</t>
  </si>
  <si>
    <t>[Costanza, Carol A.; Lazzara, Matthew A.; Keller, Linda M.] Univ Wisconsin Madison, Space Sci &amp; Engn Ctr, Antarctic Meteorol Res Ctr, 1225 West Dayton St, Madison, WI 53706 USA; [Lazzara, Matthew A.] Madison Area Tech Coll, Sch Arts &amp; Sci, Dept Phys Sci, Madison, WI USA; [Keller, Linda M.] Univ Wisconsin Madison, Dept Atmospher &amp; Ocean Sci, 1225 West Dayton St, Madison, WI 53706 USA; [Cassano, John J.] Univ Colorado Boulder, Dept Atmospher &amp; Ocean Sci, Cooperat Inst Res Environm Sci, Boulder, CO USA</t>
  </si>
  <si>
    <t>University of Wisconsin System; University of Wisconsin Madison; University of Wisconsin System; University of Wisconsin Madison; University of Colorado System; University of Colorado Boulder</t>
  </si>
  <si>
    <t>Costanza, CA (corresponding author), Univ Wisconsin Madison, Space Sci &amp; Engn Ctr, Antarctic Meteorol Res Ctr, 1225 West Dayton St, Madison, WI 53706 USA.</t>
  </si>
  <si>
    <t>carol.costanza@ssec.wisc.edu</t>
  </si>
  <si>
    <t>Cassano, John/HKW-8817-2023</t>
  </si>
  <si>
    <t>Lazzara, Matthew/0000-0002-4343-498X</t>
  </si>
  <si>
    <t>Division of Polar Programs at the National Science Foundation, NSF of the US Antarctic AWS Program [ANT-0944018, ANT-1141908, ANT-1245663, ANT-1245737]; Antarctic Meteorological Research Center; National Science Foundation (NSF); National Aeronautics and Space Administration (NASA) under NSF [EAR-0735156]; Office of Polar Programs (OPP); Directorate For Geosciences [1245663, 1245737] Funding Source: National Science Foundation</t>
  </si>
  <si>
    <t>Division of Polar Programs at the National Science Foundation, NSF of the US Antarctic AWS Program; Antarctic Meteorological Research Center; National Science Foundation (NSF)(National Science Foundation (NSF)); National Aeronautics and Space Administration (NASA) under NSF(National Aeronautics &amp; Space Administration (NASA)); Office of Polar Programs (OPP); Directorate For Geosciences(National Science Foundation (NSF)NSF - Directorate for Geosciences (GEO))</t>
  </si>
  <si>
    <t>The authors appreciate the support of the Division of Polar Programs at the National Science Foundation, NSF grant numbers ANT-0944018, ANT-1141908, ANT-1245663, and ANT-1245737, for their support of the US Antarctic AWS Program and Antarctic Meteorological Research Center. This material is based on data, equipment, and/or engineering services provided by the UNAVCO Facility with support from the National Science Foundation (NSF) and National Aeronautics and Space Administration (NASA) under NSF Cooperative Agreement No. EAR-0735156. The authors thank the three anonymous reviewers whose comments and suggestion were helpful in the review process.</t>
  </si>
  <si>
    <t>10.1002/joc.4681</t>
  </si>
  <si>
    <t>WOS:000389310400020</t>
  </si>
  <si>
    <t>Viñarta, SC; Angelicola, MV; Barros, JM; Fernáandez, PM; Mac Cormak, W; Aybar, MJ; De Figueroa, LIC</t>
  </si>
  <si>
    <t>Vinarta, Silvana C.; Angelicola, M. Virginia; Barros, J. Maximiliano; Fernandez, Pablo M.; Mac Cormak, Walter; Aybar, Manuel J.; De Figueroa, Lucia I. C.</t>
  </si>
  <si>
    <t>Oleaginous yeasts from Antarctica: Screening and preliminary approach on lipid accumulation</t>
  </si>
  <si>
    <t>JOURNAL OF BASIC MICROBIOLOGY</t>
  </si>
  <si>
    <t>Oleaginous yeasts; Microbial lipids; Biodiesel; Antarctica</t>
  </si>
  <si>
    <t>MICROBIAL OIL PRODUCTION; RHODOSPORIDIUM-TORULOIDES; BIODIESEL PRODUCTION; GLYCEROL; BIOLOGY; STORAGE</t>
  </si>
  <si>
    <t>The capability of 17 Rhodotorula spp. isolated from Antarctica to accumulate intracellular lipids in nitrogen-limited medium was investigated. As results, 10 isolates were selected by Nile red staining, while 12 isolates were selected as oleaginous by analysis of total lipid content (20.4-73%, w/w of dry biomass). The higher lipid production and accumulation was exhibited for six strains belonging to three species of Rhodotorula (Rhodotorula glutinis, Rhodotorula glacialis, and Rhodotorula laryngis). This is the first report where R. laryngis have been identified within oleaginous specie. Lipid accumulation was evaluated comparatively in two nitrogen-limited glucose-based media (MI and MII). MI (low C/N ratio) was more suitable for biomass and lipid production while in MII (high C/N ratio) total lipid content was improved. R. glutinis R4, R. glacialis R15, and R. glutinis R48 showed high lipid concentrations (4.65-6.93 g L-1) and they were able to accumulate large amounts of lipids per gram of biomass (47-77%, w/w). A similar profile in fatty acids composition and content of neutral lipids to vegetable oils was observed, indicating that lipids produced by oleaginous Antarctic yeasts can be considered an alternative feedstock for biodiesel production. Antarctica represents an important source of oleaginous yeasts with adaptive capabilities to accumulate considerable amounts of lipids with biotechnological interest at 15 degrees C and 25 degrees C.</t>
  </si>
  <si>
    <t>[Vinarta, Silvana C.; Angelicola, M. Virginia; Barros, J. Maximiliano; Fernandez, Pablo M.; De Figueroa, Lucia I. C.] PROIMI CONICET, Planta Piloto Proc Ind Microbiol PROIMI, San Miguel De Tucuman, Argentina; [Vinarta, Silvana C.; Aybar, Manuel J.] CONICET UNT, INSIBIO, Inst Super Invest Biol INSIBIO, San Miguel De Tucuman, Argentina; [Mac Cormak, Walter] IAA, Buenos Aires, DF, Argentina</t>
  </si>
  <si>
    <t>Consejo Nacional de Investigaciones Cientificas y Tecnicas (CONICET); Consejo Nacional de Investigaciones Cientificas y Tecnicas (CONICET)</t>
  </si>
  <si>
    <t>Viñarta, SC (corresponding author), PROIMI CONICET, Lab FungalBiotechnol, Ave Belgrano &amp; Caseros,T4001MVB, San Miguel De Tucuman, Argentina.</t>
  </si>
  <si>
    <t>scvinarta@hotmail.com</t>
  </si>
  <si>
    <t>Aybar, Manuel J./Y-5632-2018</t>
  </si>
  <si>
    <t>Aybar, Manuel J./0000-0002-7187-6435; Mac Cormack, Walter/0000-0002-5280-5463; Fernandez, Pablo Marcelo/0000-0003-0094-5058; VINARTA, SILVANA CAROLINA/0000-0002-1582-5932</t>
  </si>
  <si>
    <t>Consejo Nacional de Investigaciones Cientificas y Tecnicas (CONICET); Agencia Nacional de Promocion Cientifica y Tecnologica (FONCYT); Consejo de Investigaciones de la Universidad Nacional de Tucuman (CIUNT)</t>
  </si>
  <si>
    <t>Consejo Nacional de Investigaciones Cientificas y Tecnicas (CONICET)(Consejo Nacional de Investigaciones Cientificas y Tecnicas (CONICET)); Agencia Nacional de Promocion Cientifica y Tecnologica (FONCYT)(ANPCyTFONCyT); Consejo de Investigaciones de la Universidad Nacional de Tucuman (CIUNT)</t>
  </si>
  <si>
    <t>The authors would like to thank specially to Dr. Hipolito F. Pajot (Laboratory of Fungal Biotechnology, PROIMI-CONICET) for generously providing the Antarctic yeasts for this research work. The Financial support from Consejo Nacional de Investigaciones Cientificas y Tecnicas (CONICET), Agencia Nacional de Promocion Cientifica y Tecnologica (FONCYT), and Consejo de Investigaciones de la Universidad Nacional de Tucuman (CIUNT) is gratefully acknowledged. We thank also to the Direccion Nacional del Antartico (DNA) and Instituto Antartico Argentino (IAA) for supporting the Antarctic expeditions where the samples were collected.</t>
  </si>
  <si>
    <t>0233-111X</t>
  </si>
  <si>
    <t>1521-4028</t>
  </si>
  <si>
    <t>J BASIC MICROB</t>
  </si>
  <si>
    <t>J. Basic Microbiol.</t>
  </si>
  <si>
    <t>10.1002/jobm.201600099</t>
  </si>
  <si>
    <t>EE0ZH</t>
  </si>
  <si>
    <t>WOS:000389309000006</t>
  </si>
  <si>
    <t>Park, HJ; Jang, YJ; Yim, JH; Lee, HK; Pyo, S</t>
  </si>
  <si>
    <t>Park, Hye-Jin; Jang, Yeon Jeong; Yim, Joung-Han; Lee, Hong-Kum; Pyo, Suhkneung</t>
  </si>
  <si>
    <t>Ramalin Isolated from Ramalina Terebrata Attenuates Atopic Dermatitis-like Skin Lesions in Balb/c Mice and Cutaneous Immune Responses in Keratinocytes and Mast Cells</t>
  </si>
  <si>
    <t>PHYTOTHERAPY RESEARCH</t>
  </si>
  <si>
    <t>atopic dermatitis; ramalin; Balb/c mice; keratinocyte; mast cell</t>
  </si>
  <si>
    <t>NF-KAPPA-B; SIGNALING PATHWAYS; NC/NGA MICE; ACTIVATION; CYTOKINES; DISEASE; MAPK; CHEMOKINE; IGE; TRANSCRIPTION</t>
  </si>
  <si>
    <t>Atopic dermatitis (AD) is a chronic inflammatory skin disease that involves eczematous skin lesions with pruritic erythematous papules. In this study, we investigated the mitigating effects of ramalin, a component of the Antarctic lichen Ramalina terebrata against AD in vivo and in vitro. Oral administration of ramalin lessened scratching behaviors and significantly reduced both serum immunoglobulin E and IL-4 levels, and mRNA levels of IL-4 and IL-10 in AD-induced Balb/c mice. In vitro, treatment with ramalin produced significantly less inflammatory chemokines and cytokines, including TARC, MCP-1, RANTES, and IL-8 in TNF-alpha-stimulated HaCaT cells. In addition, ramalin inhibited the activation of nuclear factor-kappa B as well as the phosphorylation of mitogen-activated protein kinases (MAPK). Furthermore, ramalin treatment resulted in decreased production of beta-hexosaminidase and proinflammatory cytokines IL-4, IL-6, and TNF-alpha in 2,4 dinitrophenyl-human serum albumin-stimulated RBL-2H3 cells through blocking MAPK signaling pathways. The results suggest that ramalin modulates the production of immune mediators by inhibiting the nuclear factor-kappa B and MAPK signaling pathways. Taken together, ramalin effectively attenuated the development of AD and promoted the mitigating effects on Th2 cell-mediated immune responses and the production of inflammatory mediators in mast cells and keratinocytes. Thus, ramalin may be a potential therapeutic agent for AD. Copyright (C) 2016 John Wiley &amp; Sons, Ltd.</t>
  </si>
  <si>
    <t>[Park, Hye-Jin; Jang, Yeon Jeong; Pyo, Suhkneung] Sungkyunkwan Univ, Sch Pharm, Suwon 16419, South Korea; [Yim, Joung-Han; Lee, Hong-Kum] Korea Polar Res Inst, Polar BioCtr, Inchon 21990, South Korea</t>
  </si>
  <si>
    <t>Pyo, S (corresponding author), Sungkyunkwan Univ, Sch Pharm, Suwon 16419, South Korea.</t>
  </si>
  <si>
    <t>snpyo@skku.edu</t>
  </si>
  <si>
    <t>Ministry of Oceans and Fisheries' RD project [PM16350]; Korea Polar Research Institute (KOPRI) project [PE13040]</t>
  </si>
  <si>
    <t>Ministry of Oceans and Fisheries' RD project; Korea Polar Research Institute (KOPRI) project</t>
  </si>
  <si>
    <t>This research was supported by the grant of the Ministry of Oceans and Fisheries' R&amp;D project (PM16350) and the Korea Polar Research Institute (KOPRI) project (PE13040).</t>
  </si>
  <si>
    <t>0951-418X</t>
  </si>
  <si>
    <t>1099-1573</t>
  </si>
  <si>
    <t>PHYTOTHER RES</t>
  </si>
  <si>
    <t>Phytother. Res.</t>
  </si>
  <si>
    <t>10.1002/ptr.5703</t>
  </si>
  <si>
    <t>ED9PK</t>
  </si>
  <si>
    <t>WOS:000389204700008</t>
  </si>
  <si>
    <t>Hedding, DW</t>
  </si>
  <si>
    <t>Hedding, David W.</t>
  </si>
  <si>
    <t>Pronival ramparts: A review</t>
  </si>
  <si>
    <t>PROGRESS IN PHYSICAL GEOGRAPHY-EARTH AND ENVIRONMENT</t>
  </si>
  <si>
    <t>Pronival rampart; protalus rampart; snowbed; snow; genesis; diagnostic criteria; palaeo-environmental significance</t>
  </si>
  <si>
    <t>PROTALUS RAMPARTS; ROCK GLACIERS; SCHMIDT-HAMMER; PERMAFROST DISTRIBUTION; DIAGNOSTIC-CRITERIA; SOUTHERN NORWAY; NORTH-ISLAND; TALUS SLOPES; MYNYDD-DU; RETREAT</t>
  </si>
  <si>
    <t>Pronival ramparts are debris ridges formed at the downslope margins of perennial or semi-permanent snowbeds beneath bedrock cliffs. These landforms, also previously known as protalus ramparts, are located in periglacial environments, but the apparent simplicity of rampart formation made these landforms far less interesting than other modified forms of talus in cold environments. As a result, limited research, use of supposed relict examples and assumed formative mechanisms led to the misidentification of ramparts, circular arguments regarding genesis and inappropriate palaeo-environmental inferences. Several advances have, however, been made in the past few decades, particularly where actively-forming ramparts have been studied. Thus, this paper provides a review of research on pronival ramparts. In particular, focus is placed on the advances made in our understanding of rampart genesis, identification (diagnostic criteria) and palaeo-environmental significance. Notable advances include the development of a retrogressive model of rampart genesis to supplement the conventional downslope model of development, revised diagnostic criteria for field identification and the use of calibration equations during Schmidt-hammer exposure dating of pronival rampart. The use of pronival ramparts as palaeo-environmental indicators is also examined to determine what relict examples of these landforms may reveal about past climates.</t>
  </si>
  <si>
    <t>[Hedding, David W.] Univ South Africa, Pretoria, South Africa</t>
  </si>
  <si>
    <t>University of South Africa</t>
  </si>
  <si>
    <t>Hedding, DW (corresponding author), Univ South Africa, Dept Geog, Sci Campus, ZA-1710 Johannesburg, Gauteng, South Africa.</t>
  </si>
  <si>
    <t>heddidw@unisa.ac.za</t>
  </si>
  <si>
    <t>Hedding, David William/F-3044-2011</t>
  </si>
  <si>
    <t>Hedding, David William/0000-0002-9748-4499</t>
  </si>
  <si>
    <t>NRF/SANAP project: Landscape and climate interactions in a changing sub-Antarctic environment [93075]</t>
  </si>
  <si>
    <t>NRF/SANAP project: Landscape and climate interactions in a changing sub-Antarctic environment</t>
  </si>
  <si>
    <t>The author(s) disclosed receipt of the following financial support for the research, authorship, and/or publication of this article: This work is published under the NRF/SANAP project: Landscape and climate interactions in a changing sub-Antarctic environment (grant number 93075).</t>
  </si>
  <si>
    <t>0309-1333</t>
  </si>
  <si>
    <t>1477-0296</t>
  </si>
  <si>
    <t>PROG PHYS GEOG</t>
  </si>
  <si>
    <t>Prog. Phys. Geogr.</t>
  </si>
  <si>
    <t>10.1177/0309133316678148</t>
  </si>
  <si>
    <t>EE5EA</t>
  </si>
  <si>
    <t>WOS:000389626900005</t>
  </si>
  <si>
    <t>Chen, N; Wu, Q; Xiong, YL; Chen, G; Song, DD; Xu, CL</t>
  </si>
  <si>
    <t>Chen, Nan; Wu, Quan; Xiong, Yanlei; Chen, Guang; Song, Dandan; Xu, Chengli</t>
  </si>
  <si>
    <t>Circadian Rhythm and Sleep During Prolonged Antarctic Residence at Chinese Zhongshan Station</t>
  </si>
  <si>
    <t>WILDERNESS &amp; ENVIRONMENTAL MEDICINE</t>
  </si>
  <si>
    <t>Antarctica; winter-over; light-dark cycle; circadian rhythm; sleep</t>
  </si>
  <si>
    <t>SEASONAL AFFECTIVE-DISORDER; NIGHT-SHIFT WORK; MELATONIN RHYTHM; LIGHT; PHASE; WINTER; CHRONOTYPE; ADAPTATION; CORTISOL; HUMANS</t>
  </si>
  <si>
    <t>Objective.-Residence at Zhongshan Station (69 degrees 22'24 '' S, 76 degrees 22'40 '' E) for over 1 year exposes winter-over members to marked changes of light dark cycle, ranging from the constant daylight of polar days to the constant darkness of polar nights, in addition to geographic and social isolation. This extreme photoperiodic environment may increase the risk of sleep disturbances and circadian desynchrony. The aim of this study was to investigate the circadian rhythm and sleep phase of Chinese winter-over expeditioners at Zhongshan Station. Methods.-This study was conducted on 17 healthy male participants before departure from Shanghai and during residence at Zhongshan Station for 1 year (before winter, mid-winter, and end of winter). Sequential urine samples over 48 hours were obtained, 6-sulphatoxymelatonin in urine was assessed, and the circadian rhythm was analyzed by a cosine curve-fitting method. Participants' sleep parameters were obtained from wrist actigraphy and sleep logs. Morningness-Eveningness Questionnaire and Seasonal Pattern Assessment Questionnaire were completed. Results.-The acrophase of 6-sulphatoxymelatonin rhythm, sleep onset, sleep offset, and mid-sleep time were delayed significantly (P &lt; .05) in Antarctica relative to departure values. The subjects had greater eveningness preference (P &lt; .05) in mid-winter in Antarctica. The Global Seasonality Score and the prevalence of subsyndromal seasonal affective disorder increased (P &lt; .05) during winter. Conclusions.-Our results indicate that during polar nights Chinese expeditioners experienced the following problems: delayed circadian rhythm and sleep phase, later chronotype, and incidence of subsyndromal seasonal affective disorder. An appropriate combination of artificial bright light during dark winter months and a strict social schedule are recommended in a winter-over station in Antarctica.</t>
  </si>
  <si>
    <t>[Chen, Nan; Xiong, Yanlei; Xu, Chengli] Chinese Acad Med Sci, Inst Basic Med Sci, Beijing, Peoples R China; [Chen, Nan; Xiong, Yanlei; Xu, Chengli] Peking Union Med Coll, Sch Basic Med, Beijing, Peoples R China; [Wu, Quan] Beijing Jishuitan Hosp, Dept Gen Surg, Beijing, Peoples R China; [Chen, Guang; Song, Dandan] Beijing Inst Technol, Beijing, Peoples R China</t>
  </si>
  <si>
    <t>Chinese Academy of Medical Sciences - Peking Union Medical College; Institute of Basic Medical Sciences - CAMS; Chinese Academy of Medical Sciences - Peking Union Medical College; Peking Union Medical College; Beijing Institute of Technology</t>
  </si>
  <si>
    <t>Xu, CL (corresponding author), Chinese Acad Med Sci, Inst Basic Med Sci, Beijing, Peoples R China.;Xu, CL (corresponding author), Peking Union Med Coll, Sch Basic Med, Beijing, Peoples R China.</t>
  </si>
  <si>
    <t>xuchengli@pumc.edu.cn</t>
  </si>
  <si>
    <t>National Natural Science Foundation of China [81071615]; Chinese Polar Environment Comprehensive Investigation &amp; Assessment Programs [CHINARE 02-01]</t>
  </si>
  <si>
    <t>National Natural Science Foundation of China(National Natural Science Foundation of China (NSFC)); Chinese Polar Environment Comprehensive Investigation &amp; Assessment Programs</t>
  </si>
  <si>
    <t>This work was supported by National Natural Science Foundation of China (No. 81071615) and Chinese Polar Environment Comprehensive Investigation &amp; Assessment Programs (CHINARE 02-01).</t>
  </si>
  <si>
    <t>1080-6032</t>
  </si>
  <si>
    <t>1545-1534</t>
  </si>
  <si>
    <t>WILD ENVIRON MED</t>
  </si>
  <si>
    <t>Wildern. Environ. Med.</t>
  </si>
  <si>
    <t>10.1016/j.wem.2016.07.004</t>
  </si>
  <si>
    <t>Public, Environmental &amp; Occupational Health; Sport Sciences</t>
  </si>
  <si>
    <t>EE6QH</t>
  </si>
  <si>
    <t>WOS:000389736800003</t>
  </si>
  <si>
    <t>Liang, ES; Wang, SH; Zhou, JL; Zhou, X; Zhang, H; Xie, JW; Liu, HG; Wang, LF; Ashley, MCB</t>
  </si>
  <si>
    <t>Liang, En-Si; Wang, Songhu; Zhou, Ji-Lin; Zhou, Xu; Zhang, Hui; Xie, Jiwei; Liu, Huigen; Wang, Lifan; Ashley, M. C. B.</t>
  </si>
  <si>
    <t>STELLAR FLARES IN THE CSTAR FIELD: RESULTS FROM THE 2008 DATA SET</t>
  </si>
  <si>
    <t>ASTRONOMICAL JOURNAL</t>
  </si>
  <si>
    <t>methods: data analysis; stars: activity; stars: flare; surveys; techniques: photometric; methods: statistical</t>
  </si>
  <si>
    <t>EXTRASOLAR PLANET CANDIDATES; SKY SURVEY 2MASS; SOLAR-TYPE STARS; PHOTOMETRIC VARIABILITY; BOLOMETRIC CORRECTIONS; SOURCE CATALOG; ANTARCTICA; DOME; SUPERFLARES; PULSATIONS</t>
  </si>
  <si>
    <t>The Chinese Small Telescope ARray (CSTAR) is the first Chinese astronomical instrument placed in Antarctica. It is a group of four identical, fully automatic 14.5 cm telescopes, with a. field of view (FOV) of 20 deg(2) centered on the South Celestial Pole. Placed at Antarctic Dome A, CSTAR is designed to provide high-cadence photometry for site monitoring and variable sources detection. During the 2008 observing season, CSTAR. took. high-precision photometric data of 18,145 stars around the South Celestial Pole. At i = 7.5 and 12, the photometric precision reaches similar to 8 mmag and similar to 30 mmag with a cadence of 20 s or 30 s, respectively. Using a robust detection method, we have found 15 stellar flares on 13 sources, including two classified variables. We have also found a linear relation between the decay times and the total durations of the stellar flares. The details of all the. detected flares along with their stellar properties are presented in this work.</t>
  </si>
  <si>
    <t>[Liang, En-Si; Wang, Songhu; Zhou, Ji-Lin; Zhang, Hui; Xie, Jiwei; Liu, Huigen] Nanjing Univ, Minist Educ, Sch Astron &amp; Space Sci, Nanjing 210093, Jiangsu, Peoples R China; [Liang, En-Si; Wang, Songhu; Zhou, Ji-Lin; Zhang, Hui; Xie, Jiwei; Liu, Huigen] Nanjing Univ, Minist Educ, Key Lab Modern Astron &amp; Astrophys, Nanjing 210093, Jiangsu, Peoples R China; [Wang, Songhu] Yale Univ, Dept Astron, New Haven, CT 06520 USA; [Wang, Songhu] Univ Calif Santa Cruz, Dept Astron &amp; Astrophys, Santa Cruz, CA 95064 USA; [Zhou, Xu] Chinese Acad Sci, Natl Astron Observ, Key Lab Opt Astron, Beijing 100012, Peoples R China; [Wang, Lifan] Chinese Acad Sci, Purple Mt Observ, Nanjing 210008, Peoples R China; [Ashley, M. C. B.] Univ New South Wales, Sch Phys, Sydney, NSW 2052, Australia</t>
  </si>
  <si>
    <t>Nanjing University; Nanjing University; Yale University; University of California System; University of California Santa Cruz; Chinese Academy of Sciences; National Astronomical Observatory, CAS; Chinese Academy of Sciences; Nanjing Institute of Astronomical Optics &amp; Technology, NAOC, CAS; Purple Mountain Observatory, CAS; University of New South Wales Sydney</t>
  </si>
  <si>
    <t>Wang, SH (corresponding author), Nanjing Univ, Minist Educ, Sch Astron &amp; Space Sci, Nanjing 210093, Jiangsu, Peoples R China.;Wang, SH (corresponding author), Nanjing Univ, Minist Educ, Key Lab Modern Astron &amp; Astrophys, Nanjing 210093, Jiangsu, Peoples R China.;Wang, SH (corresponding author), Yale Univ, Dept Astron, New Haven, CT 06520 USA.;Wang, SH (corresponding author), Univ Calif Santa Cruz, Dept Astron &amp; Astrophys, Santa Cruz, CA 95064 USA.</t>
  </si>
  <si>
    <t>songhuwang86@gmail.com; zhoujl@nju.edu.cn</t>
  </si>
  <si>
    <t>Zhang, Hui/HHN-8494-2022; Zhang, Cheng/JAD-2236-2023; Zhang, Huiming/HZH-4348-2023; Liu, Hui-Gen/HLQ-5128-2023</t>
  </si>
  <si>
    <t>Wang, Songhu/0000-0002-7846-6981; Ashley, Michael/0000-0003-1412-2028; zhang, hui/0000-0003-3491-6394</t>
  </si>
  <si>
    <t>National Basic Research Program of China [2013CB834900, 2013CB834902, 2014CB845704]; National Natural Science Foundation of China [10925313, 11333002, 11433005, 11503009]; Strategic Priority Research Program-The Emergence of Cosmological Structures of the Chinese Academy of Sciences [XDB09000000]</t>
  </si>
  <si>
    <t>National Basic Research Program of China(National Basic Research Program of China); National Natural Science Foundation of China(National Natural Science Foundation of China (NSFC)); Strategic Priority Research Program-The Emergence of Cosmological Structures of the Chinese Academy of Sciences</t>
  </si>
  <si>
    <t>We thank the anonymous referee for very constructive and insightful comments on our original paper. We thank Zeyang Meng and Ming Yang for their valuable advice on eliminating the false positives. We also thank Jifeng Liu and Xin Cheng for their insightful opinions on stellar flares. We thank Xiaojia Zhang for her kind help on improving the visual effect of Figure 5. This research is supported by the National Basic Research Program of China (Nos. 2013CB834900, 2013CB834902, 2014CB845704) the National Natural Science Foundation of China under grant Nos. 10925313, 11333002, 11433005, and 11503009; the Strategic Priority Research Program-The Emergence of Cosmological Structures of the Chinese Academy of Sciences (Grant No. XDB09000000).</t>
  </si>
  <si>
    <t>0004-6256</t>
  </si>
  <si>
    <t>1538-3881</t>
  </si>
  <si>
    <t>ASTRON J</t>
  </si>
  <si>
    <t>Astron. J.</t>
  </si>
  <si>
    <t>10.3847/0004-6256/152/6/168</t>
  </si>
  <si>
    <t>ED4LT</t>
  </si>
  <si>
    <t>WOS:000388820700002</t>
  </si>
  <si>
    <t>Hájek, J; Barták, M; Hazdrová, J; Forbelská, M</t>
  </si>
  <si>
    <t>Hajek, Josef; Bartak, Milos; Hazdrova, Jana; Forbelska, Marie</t>
  </si>
  <si>
    <t>Sensitivity of photosynthetic processes to freezing temperature in extremophilic lichens evaluated by linear cooling and chlorophyll fluorescence</t>
  </si>
  <si>
    <t>CRYOBIOLOGY</t>
  </si>
  <si>
    <t>Usnea antarctica; Usnea aurantiaco-atra; Umbilicaria cylindrica; Cryoresistance; Antarctica; James ross island; Temperature stress</t>
  </si>
  <si>
    <t>ANTARCTIC LICHENS; UMBILICARIA-APRINA; ICE NUCLEATION; VIABILITY; STRESS; ALGAL; CRYOPRESERVATION; MICROALGAE; EXCHANGE; THALLUS</t>
  </si>
  <si>
    <t>Extremophilic lichens and their photosynthesizing photobionts from the cold regions of Earth are adapted to perform photosynthesis at subzero temperatures. To evaluate interspecific differences in the critical temperature for primary photochemical processes of photosynthesis, we exposed lichen thalli of Usnea antarctica, Usnea aurantiaco-atra, and Umbilicaria cylindrica to linear cooling from +20 to -50 degrees C at a constant rate of 2 degrees C min(-1). Simultaneously, two chlorophyll fluorescence parameters (F-v/F-m - potential yield of photosynthetic processes in photosystem II, Phi(PSII) - effective quantum yield of PS II) evaluating a gradual subzero temperature-induced decline in photosynthetic processes were measured by a modulated fluorometer. For the studied species, the response of F-v/F-m and Phi(PSII) to declining temperature showed an S-curve shape. The decline in F-v/F-m and Phi(PSII) at low temperatures started at -5 and +5 degrees C, respectively in the majority of cases. The decline was, however, species-specific. U. aurantiaco-atra showed a constant-rate decline of Phi(PSII) from the physiological temperature 20 degrees C. U. antarctica exhibited the first sign of F-v/F-m decline at -12 degrees C. The critical temperature related to full inhibition of the photosynthetic processes in PSII (F-v/F-m), was found at -20 degrees C. However, this occurred at -30 degrees C for U. cylindrica. In an individual sample, the critical temperature for F-v/F-m was typically lower than for Phi(PSII). The method of linear cooling combined with simultaneous measurements of chlorophyll fluorescence parameters proved to be an efficient tool in the estimation of extremophilic species sensitivity/resistance to freezing. (C) 2016 Elsevier Inc. All rights reserved.</t>
  </si>
  <si>
    <t>[Hajek, Josef; Bartak, Milos; Hazdrova, Jana] Masaryk Univ, Inst Expt Biol, Sect Plant Physiol &amp; Anat, Lab Photosynthet Proc, Kamenice 5, Brno 62500, Czech Republic; [Forbelska, Marie] Masaryk Univ, Fac Sci, Dept Math &amp; Stat, Kotlarska 2, CS-61137 Brno, Czech Republic</t>
  </si>
  <si>
    <t>Masaryk University Brno; Masaryk University Brno</t>
  </si>
  <si>
    <t>Hájek, J (corresponding author), Masaryk Univ, Inst Expt Biol, Sect Plant Physiol &amp; Anat, Lab Photosynthet Proc, Kamenice 5, Brno 62500, Czech Republic.</t>
  </si>
  <si>
    <t>jhajek@sci.muni.cz</t>
  </si>
  <si>
    <t>Forbelska, Marie/Q-3915-2016; Hájek, Josef/F-4694-2019; Barták, Miloš/F-4714-2019</t>
  </si>
  <si>
    <t>Hájek, Josef/0000-0002-2679-1707;</t>
  </si>
  <si>
    <t>Czech Ministry of Education, Youth and Sports [LM2010009, LM2015078]</t>
  </si>
  <si>
    <t>Czech Ministry of Education, Youth and Sports(Ministry of Education, Youth &amp; Sports - Czech Republic)</t>
  </si>
  <si>
    <t>The possibility to use the infrastructure of J.G. Mendel station during the expedition to James Ross Island, Antarctica, is acknowledged as well as the laboratory facilities of the CzechPolar infrastructure. Thanks are also addressed to R. Jupa for U. cylindrica collection. The research reported in this study was supported by CzechPolar Projects I (LM2010009) and II (LM2015078) provided by the Czech Ministry of Education, Youth and Sports.</t>
  </si>
  <si>
    <t>0011-2240</t>
  </si>
  <si>
    <t>1090-2392</t>
  </si>
  <si>
    <t>Cryobiology</t>
  </si>
  <si>
    <t>10.1016/j.cryobiol.2016.10.002</t>
  </si>
  <si>
    <t>ED7BL</t>
  </si>
  <si>
    <t>WOS:000389010600005</t>
  </si>
  <si>
    <t>Castelino, JA; Eagles, G; Jokat, W</t>
  </si>
  <si>
    <t>Castelino, Jude A.; Eagles, Graeme; Jokat, Wilfried</t>
  </si>
  <si>
    <t>Anomalous bathymetry and palaeobathymetric models of the Mozambique Basin and Riiser Larsen Sea</t>
  </si>
  <si>
    <t>palaeobathymetry; African uplift; backstripping; Mozambique Channel; Late Cretaceous bottom current; dynamic topography</t>
  </si>
  <si>
    <t>CRUSTAL STRUCTURE; CONTINENTAL-MARGIN; CENOZOIC SEDIMENTATION; INDIAN-OCEAN; GRAVITY; LITHOSPHERE; MADAGASCAR; SUBSIDENCE; MAGMATISM; VOLCANISM</t>
  </si>
  <si>
    <t>In this study we introduce a palaeobathymetric model for the conjugate Mozambique Basin and Riiser-Larsen Sea built by employing backstripping techniques, compensating for dynamic topography and plate motions. The model is presented at 0.2 degrees x 0.2 degrees grid resolution, making it suitable for future oceanographic and climate simulation model experiments aimed at a better understanding of the climatic and oceanographic relevance of oceanic gateways in the southern ocean. At the present day, the seafloor next to the Mozambican continental margin is around 300 m shallower, and that in the central Mozambique Channel is almost 1300 m shallower, than their conjugate areas or the predictions of oceanic thermal subsidence models. The cause of this anomalous depth is difficult to determine confidently because of sparse data, in particular concerning sediment thickness, and because of the wide range of amplitudes in modelled present-day dynamic topography. The distribution of shallow seafloor suggests that it might be attributed to the presence of thicker-than-usual oceanic crust, which in turn can be attributed to the Paleogene passage of the Quathlamba plume beneath the basin. We portray these effects in our palaeobathymetric models. In contrast, the Riiser-Larsen Sea has experienced fairly stable subsidence since its formation in Jurassic times, with only slight observable changes attributable to the onset of Antarctic glaciation and during the middle Miocene climate transition. Both basins display flexure over half-wavelengths of similar to 60-80 km with amplitudes of 1500 m towards their continental margins. This plays an important role in models of palaeobathymetry for times older than. 100 Ma. Near the margins, isolated areas of transitional or debatable crustal composition, including Beira High. and Gunnerus Ridge, are depicted to subside in a similar fashion to oceanic crust. Further into the Indian Ocean, oceanic lithosphere younger than 100 Ma on both plates has subsided to depths that are typical of thermal subsidence models. Finally, the new palaeobathymetry had distinct consequences for the current systems in the young Southern Ocean during the time periods. The onset of coast-parallel bottom currents and associated contourite deposition in the Mozambique Channel at palaeo water depths of 3500-4000 m may be a consequence of either an opening of a deep-water passage into the South Atlantic between Southwest Indian Ridge and Agulhas plateau or into the Tethys Ocean in the Late Cretaceous. (C) 2016 Elsevier B.V. All rights reserved.</t>
  </si>
  <si>
    <t>[Castelino, Jude A.; Eagles, Graeme; Jokat, Wilfried] Alfred Wegener Inst, Hemholtz Ctr Polar &amp; Marine Res AWI, Alten Hafen 26, D-27568 Bremerhaven, Germany</t>
  </si>
  <si>
    <t>Castelino, JA (corresponding author), Alfred Wegener Inst, Hemholtz Ctr Polar &amp; Marine Res AWI, Alten Hafen 26, D-27568 Bremerhaven, Germany.</t>
  </si>
  <si>
    <t>Jude.Castelino@awi.de; Graeme.Eagles@awi.de; Wilfried.Jokat@awi.de</t>
  </si>
  <si>
    <t>Jokat, Wilfried/0000-0002-7793-5854; Eagles, Graeme/0000-0001-5325-0810</t>
  </si>
  <si>
    <t>Deutsche Forschungsgesellschaft (DFG) [JO 191/4-1]</t>
  </si>
  <si>
    <t>Deutsche Forschungsgesellschaft (DFG)(German Research Foundation (DFG))</t>
  </si>
  <si>
    <t>We gratefully acknowledge the contribution of PMGE-VNIIOkeangeologia for the seismic data used in Riiser-Larsen Sea made available through Antarctic Seismic Data Library System (SDLS). We thank Dietmar Muller and an anonymous reviewer for the constructive comments that has improved the quality of this paper. Part of the study has been funded by the Deutsche Forschungsgesellschaft (DFG-Project JO 191/4-1, GEPARD). All maps were created using GMT 5.0 (Wessel et al., 2013).</t>
  </si>
  <si>
    <t>10.1016/j.epsl.2016.09.018</t>
  </si>
  <si>
    <t>EA6KN</t>
  </si>
  <si>
    <t>WOS:000386738200004</t>
  </si>
  <si>
    <t>Purich, A; England, MH; Cai, W; Chikamoto, Y; Timmermann, A; Fyfe, JC; Frankcombe, L; Meehl, GA; Arblaster, JM</t>
  </si>
  <si>
    <t>Purich, Ariaan; England, Matthew H.; Cai, Wenju; Chikamoto, Yoshimitsu; Timmermann, Axel; Fyfe, John C.; Frankcombe, Leela; Meehl, Gerald A.; Arblaster, Julie M.</t>
  </si>
  <si>
    <t>Tropical Pacific SST Drivers of Recent Antarctic Sea Ice Trends</t>
  </si>
  <si>
    <t>NINO-SOUTHERN-OSCILLATION; SURFACE TEMPERATURE; CLIMATE VARIABILITY; CMIP5 MODELS; OCEAN; EXTENT; HEMISPHERE; CIRCULATION; ATMOSPHERE; NORTH</t>
  </si>
  <si>
    <t>A strengthening of the Amundsen Sea low from 1979 to 2013 has been shown to largely explain the observed increase in Antarctic sea ice concentration in the eastern Ross Sea and decrease in the Bellingshausen Sea. Here it is shown that while these changes are not generally seen in freely running coupled climate model simulations, they are reproduced in simulations of two independent coupled climate models: one constrained by observed sea surface temperature anomalies in the tropical Pacific and the other by observed surface wind stress in the tropics. This analysis confirms previous results and strengthens the conclusion that the phase change in the interdecadal Pacific oscillation from positive to negative over 1979-2013 contributed to the observed strengthening of the Amundsen Sea low and the associated pattern of Antarctic sea ice change during this period. New support for this conclusion is provided by simulated trends in spatial patterns of sea ice concentrations that are similar to those observed. These results highlight the importance of accounting for teleconnections from low to high latitudes in both model simulations and observations of Antarctic sea ice variability and change.</t>
  </si>
  <si>
    <t>[Purich, Ariaan; Cai, Wenju] CSIRO Oceans &amp; Atmosphere, PMB 1, Aspendale, Vic 3195, Australia; [Purich, Ariaan; England, Matthew H.; Frankcombe, Leela] Univ New South Wales, Climate Change Res Ctr, Sydney, NSW, Australia; [Purich, Ariaan; England, Matthew H.; Frankcombe, Leela] Univ New South Wales, ARC Ctr Excellence Climate Syst Sci, Sydney, NSW, Australia; [Chikamoto, Yoshimitsu; Timmermann, Axel] Univ Hawaii Manoa, Int Pacific Res Ctr, Honolulu, HI 96822 USA; [Timmermann, Axel] Univ Hawaii Manoa, Dept Oceanog, Honolulu, HI 96822 USA; [Fyfe, John C.] Environm &amp; Climate Change Canada, Canadian Ctr Climate Modelling &amp; Anal, Victoria, BC, Canada; [Meehl, Gerald A.; Arblaster, Julie M.] Natl Ctr Atmospher Res, POB 3000, Boulder, CO 80307 USA; [Arblaster, Julie M.] Monash Univ, Sch Earth Atmosphere &amp; Environm, Clayton, Vic, Australia</t>
  </si>
  <si>
    <t>Commonwealth Scientific &amp; Industrial Research Organisation (CSIRO); University of New South Wales Sydney; ARC Centre of Excellence for Climate System Science; University of New South Wales Sydney; University of Hawaii System; University of Hawaii Manoa; University of Hawaii System; University of Hawaii Manoa; Environment &amp; Climate Change Canada; Canadian Centre for Climate Modelling &amp; Analysis (CCCma); National Center Atmospheric Research (NCAR) - USA; Monash University</t>
  </si>
  <si>
    <t>Purich, A (corresponding author), CSIRO Oceans &amp; Atmosphere, PMB 1, Aspendale, Vic 3195, Australia.</t>
  </si>
  <si>
    <t>ariaan.purich@csiro.au</t>
  </si>
  <si>
    <t>Cai, Wenju/C-2864-2012; Chikamoto, Yoshimitsu/A-5198-2015; Timmermann, Axel/Y-2799-2019; England, Matthew/A-7539-2011; Frankcombe, Leela M/C-7003-2012; Arblaster, Julie/C-1342-2010</t>
  </si>
  <si>
    <t>Cai, Wenju/0000-0001-6520-0829; Timmermann, Axel/0000-0003-0657-2969; England, Matthew/0000-0001-9696-2930; Chikamoto, Yoshimitsu/0000-0003-1001-5188; Frankcombe, Leela/0000-0001-6578-3200; Arblaster, Julie/0000-0002-4287-2363; Purich, Ariaan/0000-0003-2248-5937</t>
  </si>
  <si>
    <t>CSIRO Oceans andAtmosphere; Australian Research Council (ARC); ARC Centre of Excellence for Climate System Science; U.S. National Science Foundation; Australian Postgraduate Award; CSIRO Office of the Chief Executive Science Leader scholarship; ARC Laureate Fellowship; Australian Climate Change Science Programme; CSIRO Office of the Chief Executive Science Leader award; National Science Foundation [1049219]; Regional and Global Climate Modeling Program (RGCM) of the U.S. Department of Energy's Office of Biological and Environmental Research (BER) [DE-FC02-97ER62402]; University of Southern California Center for High-Performance Computing and Communications</t>
  </si>
  <si>
    <t>CSIRO Oceans andAtmosphere; Australian Research Council (ARC)(Australian Research Council); ARC Centre of Excellence for Climate System Science(Australian Research Council); U.S. National Science Foundation(National Science Foundation (NSF)); Australian Postgraduate Award(Australian Government); CSIRO Office of the Chief Executive Science Leader scholarship; ARC Laureate Fellowship(Australian Research Council); Australian Climate Change Science Programme; CSIRO Office of the Chief Executive Science Leader award; National Science Foundation(National Science Foundation (NSF)); Regional and Global Climate Modeling Program (RGCM) of the U.S. Department of Energy's Office of Biological and Environmental Research (BER)(United States Department of Energy (DOE)); University of Southern California Center for High-Performance Computing and Communications</t>
  </si>
  <si>
    <t>This work was supported by CSIRO Oceans andAtmosphere, the Australian Research Council (ARC), including the ARC Centre of Excellence for Climate System Science, and the U.S. National Science Foundation. A. P. was supported by an Australian Postgraduate Award and a CSIRO Office of the Chief Executive Science Leader scholarship. M. H. E. was supported by an ARC Laureate Fellowship. W. C. was supported by the Australian Climate Change Science Programme and a CSIRO Office of the Chief Executive Science Leader award. A. T. and Y. C. were supported through a National Science Foundation Award 1049219. G. A. M. and J. M. A. were partially supported by the Regional and Global Climate Modeling Program (RGCM) of the U.S. Department of Energy's Office of Biological and Environmental Research (BER) Cooperative Agreement DE-FC02-97ER62402 and the National Science Foundation. The CESM1 experiments were supported by the University of Southern California Center for High-Performance Computing and Communications (http://hpcc.usc.edu/) and the high-performance computing from Yellowstone (http://n2t.net/ark:/85065/d7wd3xhc) provided by NCAR's Computational Information Systems Laboratory sponsored by the National Science Foundation. We thank Rob DeConto for useful discussions on the 2015 tropical to high-latitude teleconnections while M. H. E. attended the SCAR Cross-Program Workshop held in Barcelona in 2015. We also thank Will Hobbs and two anonymous reviewers for their helpful comments, which improved this manuscript. We acknowledge the World Climate Research Programme's Working Group on Coupled Modelling, which is responsible for CMIP, and thank the climate modeling groups for producing and making available their model output.</t>
  </si>
  <si>
    <t>10.1175/JCLI-D-16-0440.1</t>
  </si>
  <si>
    <t>ED2LR</t>
  </si>
  <si>
    <t>WOS:000388677100016</t>
  </si>
  <si>
    <t>Radko, T</t>
  </si>
  <si>
    <t>Radko, Timour</t>
  </si>
  <si>
    <t>On the generation of large-scale eddy-driven patterns: the average eddy model</t>
  </si>
  <si>
    <t>JOURNAL OF FLUID MECHANICS</t>
  </si>
  <si>
    <t>geophysical and geological flows; instability</t>
  </si>
  <si>
    <t>ANTARCTIC CIRCUMPOLAR CURRENT; STRATIFIED KOLMOGOROV FLOW; MULTIPLE ZONAL JETS; BETA-PLANE; BAROCLINIC INSTABILITY; 2-DIMENSIONAL TURBULENCE; 3-DIMENSIONAL FLOW; MESOSCALE EDDIES; ENERGY-BALANCE; 2-LAYER OCEAN</t>
  </si>
  <si>
    <t>A theoretical model is developed which illustrates the dynamics of the spontaneous generation of large-scale structures in baroclinically unstable eddying flows. Techniques of asymptotic multiscale analysis are used to identify instabilities resulting from the positive feedback of the background eddies on large-scale perturbations. The novelty of the proposed approach lies in the choice of a dynamically consistent time-dependent background eddy field, which is taken from simulations of baroclinic instability in the Phillips two-layer system. The resulting solutions differ considerably from those of traditional multiscale models, in which the background eddy field is represented by steady analytical patterns. The present formulation makes it possible to (i) test the multiscale theory against the corresponding numerical simulations, (ii) unambiguously interpret the key physical processes at play and (iii) rationalize the emergence of large-scale patterns for certain background parameters. While the proposed approach to multiscale modelling is illustrated on a particular example of the Phillips baroclinic instability model, it is our belief that the presented technique is readily adaptable to a wide range of applications.</t>
  </si>
  <si>
    <t>[Radko, Timour] Naval Postgrad Sch, Dept Oceanog, Monterey, CA 93943 USA</t>
  </si>
  <si>
    <t>United States Department of Defense; United States Navy; Naval Postgraduate School</t>
  </si>
  <si>
    <t>Radko, T (corresponding author), Naval Postgrad Sch, Dept Oceanog, Monterey, CA 93943 USA.</t>
  </si>
  <si>
    <t>tradko@nps.edu</t>
  </si>
  <si>
    <t>National Science Foundation [OCE 1155866]</t>
  </si>
  <si>
    <t>The author thanks P. Berloff, E. Edwards, I. Kamenkovich and the anonymous reviewers for helpful comments. Support of the National Science Foundation (grant OCE 1155866) is gratefully acknowledged.</t>
  </si>
  <si>
    <t>0022-1120</t>
  </si>
  <si>
    <t>1469-7645</t>
  </si>
  <si>
    <t>J FLUID MECH</t>
  </si>
  <si>
    <t>J. Fluid Mech.</t>
  </si>
  <si>
    <t>10.1017/jfm.2016.668</t>
  </si>
  <si>
    <t>Mechanics; Physics, Fluids &amp; Plasmas</t>
  </si>
  <si>
    <t>Mechanics; Physics</t>
  </si>
  <si>
    <t>ED5BZ</t>
  </si>
  <si>
    <t>WOS:000388867800014</t>
  </si>
  <si>
    <t>Choi, SG; Jeon, SH; Lee, JB; Joo, ES; Lim, S; Jung, HY; Kim, MK</t>
  </si>
  <si>
    <t>Choi, Seok-Gwan; Jeon, Seon Hwa; Lee, Jae-Bong; Joo, Eun Sun; Lim, Sangyong; Jung, Hee-Young; Kim, Myung Kyum</t>
  </si>
  <si>
    <t>Deinococcus rubellus sp nov., bacteria isolated from the muscle of antarctic fish</t>
  </si>
  <si>
    <t>JOURNAL OF MICROBIOLOGY</t>
  </si>
  <si>
    <t>Deinococcaceae; Deinococcus; gamma ray; UV</t>
  </si>
  <si>
    <t>COMPLETE GENOME SEQUENCE; RADIATION-RESISTANT; DEOXYRIBONUCLEIC-ACID; RICE FIELD; GAMMA; TIME; UV</t>
  </si>
  <si>
    <t>Two new bacterial strains designated as Ant6(T) and Ant18 were isolated from the muscle of a fish which had been caught in the Antarctic Ocean. Both strains are Gram-stain-positive, catalase positive, oxidase negative, aerobic, and coccoid bacteria. Phylogenetic analysis based on the 16S rRNA gene sequences of strains Ant6(T) and Ant18 revealed that the strains Ant6(T) and Ant18 belong to the genus Deinococcus in the family Deinococcaceae in the class Deinococci. The highest degrees of sequence similarities of strains Ant6(T) and Ant18 were found with Deinococcus alpinitundrae LMG 24283(T) by 96.4% and 96.8%, respectively. Strain Ant6(T) exhibited a high level of DNA- DNA hybridization values with strain Ant18 (82 +/- 0.6%). Chemotaxonomic data revealed that the predominant fatty acids were C-17: 0 cyclo, 16:0, and feature 3 (C-16:1 omega 6c/omega 7c) for both strains. A complex polar lipid profile consisted of major amounts of unknown phosphoglycolipids (PGL) and unknown aminophospholipid (APL). Based on the phylogenetic, phenotypic, and chemotaxonomic data, strains Ant6(T) (=KEMB 9004-169(T) =JCM 31434(T)) and Ant18 (=KEMB 9004-170) should be classified as a new species, for which the name Deinococcus rubellus sp. nov. is proposed.</t>
  </si>
  <si>
    <t>[Choi, Seok-Gwan; Lee, Jae-Bong] Natl Inst Fisheries Sci, Distant Water Fisheries Resources Div, Busan 46083, South Korea; [Jeon, Seon Hwa; Joo, Eun Sun; Kim, Myung Kyum] Seoul Womens Univ, Dept Bio &amp; Environm Technol, Coll Nat Sci, Seoul 01797, South Korea; [Lim, Sangyong] Korea Atom Energy Res Inst, Radiat Res Div Biotechnol, Jeongeup 34057, South Korea; [Jung, Hee-Young] Kyungpook Natl Univ, Coll Agr &amp; Life Sci, Daegu 41566, South Korea; [Jung, Hee-Young] Kyungpook Natl Univ, Inst Plant Med, Daegu 41566, South Korea</t>
  </si>
  <si>
    <t>National Institute of Fisheries Science; Seoul Women's University; Korea Atomic Energy Research Institute (KAERI); Kyungpook National University; Kyungpook National University</t>
  </si>
  <si>
    <t>Kim, MK (corresponding author), Seoul Womens Univ, Dept Bio &amp; Environm Technol, Coll Nat Sci, Seoul 01797, South Korea.</t>
  </si>
  <si>
    <t>biotech@swu.ac.kr</t>
  </si>
  <si>
    <t>Kim, Jihyeon/IQV-8555-2023</t>
  </si>
  <si>
    <t>National Institute of Fisheries Science [R2016028]; Seoul Women's University</t>
  </si>
  <si>
    <t>National Institute of Fisheries Science; Seoul Women's University</t>
  </si>
  <si>
    <t>This work was supported by a grant from the National Institute of Fisheries Science (R2016028), and by a research grant from Seoul Women's University (2016).</t>
  </si>
  <si>
    <t>MICROBIOLOGICAL SOCIETY KOREA</t>
  </si>
  <si>
    <t>KOREA SCIENCE &amp; TECHNOLOGY CENTER 803, 635-4 YEOGSAM-DONG, KANGNAM-KU, SEOUL 135-703, SOUTH KOREA</t>
  </si>
  <si>
    <t>1225-8873</t>
  </si>
  <si>
    <t>1976-3794</t>
  </si>
  <si>
    <t>J MICROBIOL</t>
  </si>
  <si>
    <t>J. Microbiol.</t>
  </si>
  <si>
    <t>10.1007/s12275-016-6390-3</t>
  </si>
  <si>
    <t>ED6UK</t>
  </si>
  <si>
    <t>WOS:000388991900002</t>
  </si>
  <si>
    <t>Lee, JB; Jeon, SH; Choi, SG; Jung, HY; Kim, MK; Srinivasan, S</t>
  </si>
  <si>
    <t>Lee, Jae-Bong; Jeon, Seon Hwa; Choi, Seok-Gwan; Jung, Hee-Young; Kim, Myung Kyum; Srinivasan, Sathiyaraj</t>
  </si>
  <si>
    <t>Bacillus piscis sp nov., a novel bacterium isolated from the muscle of the antarctic fish Dissostichus mawsoni</t>
  </si>
  <si>
    <t>Antarctic Ocean; Bacillus; Dissostichus mawsoni; Antarctic toothfish; taxonomy</t>
  </si>
  <si>
    <t>In this paper, a new bacterial strain designated as 16MFT21(T) is isolated from the muscle of a fish caught in the Antarctic Ocean. Strain 16MFT21(T) is a Gram-staining-positive, catalase-oxidase-positive, rod-shaped facultative-aerobic bacterium. The phylogenetic analysis that is based on the 16S-rRNA gene sequence of strain 16MFT21(T) revealed that it belongs to the genus Bacillus in the family Bacillaceae in the class Bacilli. The highest degrees of the sequence similarity of the strain 16MFT21(T) is with Bacillus licheniformis ATCC 14580(T) (96.6%) and Bacillus sonorensis NBRC 101234(T) (96.6%). The isolate formed a pale-yellow pigment, and it grew in the presence of 0% to 10% (w/v) NaCl (optimum at 2% NaCl), a pH of 6.0 to 10.0 (optimum pH from 7.0 to 8.0), and from 4A degrees C to 30A degrees C (optimum at 30A degrees C). The major polar lipids consist of diphosphatidylglycerol (DPG) and phosphatidylglycerol (PG). The predominant fatty acids are iso-C-15:0, anteiso-C-15:0, iso-C-17:0, and anteiso-C-17:0. The main respiratory quinone is menaquinone-7 (MK-7), and based on the use of the meso-diaminopimelic acid as the diagnostic diamino acid, the peptidoglycan cell-wall type is A1 gamma. Based on the phylogenetic, phenotypic, and chemotaxonomic data, strain 16MFT21(T) (=KCTC 18866(T) =JCM 31664(T)) for which the name Bacillus piscis sp. nov. is proposed should be classified as a new species.</t>
  </si>
  <si>
    <t>[Lee, Jae-Bong; Choi, Seok-Gwan] Natl Inst Fisheries Sci, Distant Water Fisheries Resources Div, Busan 46083, South Korea; [Jeon, Seon Hwa; Kim, Myung Kyum; Srinivasan, Sathiyaraj] Seoul Womens Univ, Dept Bio &amp; Environm Technol, Coll Nat Sci, Seoul 01797, South Korea; [Jung, Hee-Young] Kyungpook Natl Univ, Coll Agr &amp; Life Sci, Daegu 41566, South Korea; [Jung, Hee-Young] Kyungpook Natl Univ, Inst Plant Med, Daegu 41566, South Korea</t>
  </si>
  <si>
    <t>National Institute of Fisheries Science; Seoul Women's University; Kyungpook National University; Kyungpook National University</t>
  </si>
  <si>
    <t>Srinivasan, S (corresponding author), Seoul Womens Univ, Dept Bio &amp; Environm Technol, Coll Nat Sci, Seoul 01797, South Korea.</t>
  </si>
  <si>
    <t>biotech@swu.ac.kr; drsrini@swu.ac.kr</t>
  </si>
  <si>
    <t>Srinivasan, Sathiyaraj/0000-0001-6019-7421</t>
  </si>
  <si>
    <t>10.1007/s12275-016-6473-1</t>
  </si>
  <si>
    <t>WOS:000388991900004</t>
  </si>
  <si>
    <t>Groot, CCM; Meister, K; DeVries, AL; Bakker, HJ</t>
  </si>
  <si>
    <t>Groot, Carien C. M.; Meister, Konrad; DeVries, Arthur L.; Bakker, Huib J.</t>
  </si>
  <si>
    <t>Dynamics of the Hydration Water of Antifreeze Glycoproteins</t>
  </si>
  <si>
    <t>Journal of Physical Chemistry Letters</t>
  </si>
  <si>
    <t>ICE RECRYSTALLIZATION; CLATHRATE WATERS; ANTARCTIC FISHES; PROTEIN; ADSORPTION; MECHANISM; SURFACE; INHIBITION; PEPTIDES; GROWTH</t>
  </si>
  <si>
    <t>Antifreeze glycoproteins (AFGPs) are unique proteins that inhibit the growth of ice by a mechanism that is still unclear. We study the dynamics of water in aqueous solutions of small and large isoforms of AFGPs using polarization-resolved femtosecond infrared spectroscopy. We find that a fraction of the water molecules is strongly slowed down by the interaction with the antifreeze glycoprotein surface. The fraction of slow water molecules scales with the size and concentration of AFGP, and is similar to the fraction of slow water observed for nonantifreeze proteins, both at room temperature and close to biologically relevant working temperatures. We observe that inhibiting AFGP antifreeze activity using borate buffer induces no changes in the dynamics of water hydrating the AFGP. Our findings support a mechanism in which the sugar unit of AFGP forms the active ice-binding site.</t>
  </si>
  <si>
    <t>[Groot, Carien C. M.; Meister, Konrad; Bakker, Huib J.] FOM Inst AMOLF, Sci Pk 104, NL-1098 XG Amsterdam, Netherlands; [DeVries, Arthur L.] Univ Illinois, Dept Anim Biol, Urbana, IL 61801 USA</t>
  </si>
  <si>
    <t>AMOLF; University of Illinois System; University of Illinois Urbana-Champaign</t>
  </si>
  <si>
    <t>Meister, K (corresponding author), FOM Inst AMOLF, Sci Pk 104, NL-1098 XG Amsterdam, Netherlands.</t>
  </si>
  <si>
    <t>meister@amolf.nl</t>
  </si>
  <si>
    <t>Meister, Konrad/0000-0002-6853-6325</t>
  </si>
  <si>
    <t>Nederlandse organisatie voor Wetenschappelijk Onderzoek (NWO); NanoNextNL; micro and nano technology consortium of the Government of The Netherlands; US NSF Division of Polar programs; European Commission</t>
  </si>
  <si>
    <t>Nederlandse organisatie voor Wetenschappelijk Onderzoek (NWO)(Netherlands Organization for Scientific Research (NWO)); NanoNextNL; micro and nano technology consortium of the Government of The Netherlands; US NSF Division of Polar programs(National Science Foundation (NSF)); European Commission(European Union (EU)European Commission Joint Research Centre)</t>
  </si>
  <si>
    <t>This work is part of the research program of the Stichting voor Fundamenteel Onderzoek der Materie (FOM), which is financially supported by the Nederlandse organisatie voor Wetenschappelijk Onderzoek (NWO). This work is financially supported by NanoNextNL as well, a micro and nano technology consortium of the Government of The Netherlands and 130 partners. In addition, it is partially supported by a grant to A.L.D. from the US NSF Division of Polar programs. K.M. acknowledges the European Commission for funding through the award of a Marie Curie fellowship.</t>
  </si>
  <si>
    <t>1948-7185</t>
  </si>
  <si>
    <t>J PHYS CHEM LETT</t>
  </si>
  <si>
    <t>J. Phys. Chem. Lett.</t>
  </si>
  <si>
    <t>10.1021/acs.jpclett.6b02483</t>
  </si>
  <si>
    <t>Chemistry, Physical; Nanoscience &amp; Nanotechnology; Materials Science, Multidisciplinary; Physics, Atomic, Molecular &amp; Chemical</t>
  </si>
  <si>
    <t>Chemistry; Science &amp; Technology - Other Topics; Materials Science; Physics</t>
  </si>
  <si>
    <t>ED9FI</t>
  </si>
  <si>
    <t>WOS:000389175200006</t>
  </si>
  <si>
    <t>Cooke, SJ; Brownscombe, JW; Raby, GD; Broell, F; Hinch, SG; Clark, TD; Semmens, JM</t>
  </si>
  <si>
    <t>Cooke, Steven J.; Brownscombe, Jacob W.; Raby, Graham D.; Broell, Franziska; Hinch, Scott G.; Clark, Timothy D.; Semmens, Jayson M.</t>
  </si>
  <si>
    <t>Remote bioenergetics measurements in wild fish: Opportunities and challenges</t>
  </si>
  <si>
    <t>COMPARATIVE BIOCHEMISTRY AND PHYSIOLOGY A-MOLECULAR &amp; INTEGRATIVE PHYSIOLOGY</t>
  </si>
  <si>
    <t>Biologging; Biotelemetry; Energetics; Energy budget; Metabolism; Remote; Swimming</t>
  </si>
  <si>
    <t>SALMON ONCORHYNCHUS-NERKA; FREE-SWIMMING FISH; ESOX-LUCIUS L; HEART-RATE; METABOLIC-RATE; OXYGEN-CONSUMPTION; RAINBOW-TROUT; CHUM SALMON; BLOOD-FLOW; ULTRASONIC TELEMETRY</t>
  </si>
  <si>
    <t>The generalized energy budget for fish (i.e., Energy Consumed = Metabolism + Waste + Growth) is as relevant today as when it was first proposed decades ago and serves as a foundational concept in fish biology. Yet, generating accurate measurements of components of the bioenergetics equation in wild fish is a major challenge. How often does a fish eat and what does it consume? How much energy is expended on locomotion? How do human induced stressors influence energy acquisition and expenditure? Generating answers to these questions is important to fisheries management and to our understanding of adaptation and evolutionary processes. The advent of electronic tags (transmitters and data loggers) has provided biologists with improved opportunities to understand bioenergetics in wild fish. Here, we review the growing diversity of electronic tags with a focus on sensor equipped devices that are commercially available (e.g., heart rate/electrocardiogram, electromyogram, acceleration, image capture). Next, we discuss each component of the bioenergetics model, recognizing that most research to date has focused on quantifying the activity component of metabolism, and identify ways in which the other, less studied components (e.g., consumption, specific dynamic action component of metabolism, somatic growth, reproductive investment, waste) could be estimated remotely. We conclude with a critical but forward-looking appraisal of the opportunities and challenges in using existing and emerging electronic sensor-tags for the study of fish energetics in the wild. Electronic tagging has become a central and widespread tool in fish ecology and fisheries management; the growing and increasingly affordable toolbox of sensor tags will ensure this trend continues, which will lead to major advances in our understanding of fish biology over the coming decades. (C) 2016 Elsevier Inc. All rights reserved.</t>
  </si>
  <si>
    <t>[Cooke, Steven J.; Brownscombe, Jacob W.] Carleton Univ, Dept Biol, Fish Ecol &amp; Conservat Physiol Lab, 1125 Colonel By Dr, Ottawa, ON K1S 5B6, Canada; [Raby, Graham D.] Univ Windsor, Great Lakes Inst Environm Res, 401 Sunset Ave, Windsor, ON N9B 3P4, Canada; [Broell, Franziska] Dalhousie Univ, Dept Oceanog, 1355 Oxford St, Halifax, NS B3H 4R2, Canada; [Hinch, Scott G.] Univ British Columbia, Dept Forest &amp; Conservat Sci, 2424 Main Mall, Vancouver, BC V6T 1Z4, Canada; [Clark, Timothy D.] Univ Tasmania, 3-4 Castray Esplanade, Hobart, Tas 7000, Australia; [Clark, Timothy D.] CSIRO Agr Flagship, 3-4 Castray Esplanade, Hobart, Tas 7000, Australia; [Semmens, Jayson M.] Univ Tasmania, Inst Marine &amp; Antarctic Studies, Fisheries &amp; Aquaculture Ctr, Hobart, Tas 7001, Australia</t>
  </si>
  <si>
    <t>Carleton University; University of Windsor; Dalhousie University; University of British Columbia; University of Tasmania; Commonwealth Scientific &amp; Industrial Research Organisation (CSIRO); University of Tasmania</t>
  </si>
  <si>
    <t>Cooke, SJ (corresponding author), Carleton Univ, Dept Biol, Fish Ecol &amp; Conservat Physiol Lab, 1125 Colonel By Dr, Ottawa, ON K1S 5B6, Canada.</t>
  </si>
  <si>
    <t>steven.cooke@carleton.ca</t>
  </si>
  <si>
    <t>Cooke, Steven J/F-4193-2010; Clark, Timothy/K-7129-2012</t>
  </si>
  <si>
    <t>Cooke, Steven J/0000-0002-5407-0659; Semmens, Jayson/0000-0003-1742-6692; Clark, Timothy/0000-0001-8738-3347</t>
  </si>
  <si>
    <t>Natural Sciences and Engineering Research Council of Canada (NSERC) via the Discovery Grant program; NSERC Strategic Grant; NSERC OTN Canada; Canada Research Chairs Program; NSERC fellowship; Great Lakes Acoustic Telemetry Observation System; Great Lakes Fishery Commission; University of Windsor; Ontario Ministry of Natural Resources and Forestry; Dalhousie University; University of Tasmania</t>
  </si>
  <si>
    <t>Natural Sciences and Engineering Research Council of Canada (NSERC) via the Discovery Grant program(Natural Sciences and Engineering Research Council of Canada (NSERC)); NSERC Strategic Grant(Natural Sciences and Engineering Research Council of Canada (NSERC)); NSERC OTN Canada(Natural Sciences and Engineering Research Council of Canada (NSERC)); Canada Research Chairs Program(Canada Research Chairs); NSERC fellowship(Natural Sciences and Engineering Research Council of Canada (NSERC)); Great Lakes Acoustic Telemetry Observation System; Great Lakes Fishery Commission; University of Windsor; Ontario Ministry of Natural Resources and Forestry; Dalhousie University; University of Tasmania</t>
  </si>
  <si>
    <t>This is a synthesis activity of IDEAS (Integrate, Describe, Expand And Synthesize) OTN-part of Dalhousie's Ocean Tracking Network (OTN) Canada. Cooke and Hinch are supported by the Natural Sciences and Engineering Research Council of Canada (NSERC) via the Discovery Grant program, an NSERC Strategic Grant and NSERC OTN Canada. Cooke is further supported by the Canada Research Chairs Program. Brownscombe is supported by an NSERC fellowship. Raby is supported by the Great Lakes Acoustic Telemetry Observation System, the Great Lakes Fishery Commission, the University of Windsor, and the Ontario Ministry of Natural Resources and Forestry. Broell is supported by NSERC OTN Canada and Dalhousie University. Clark and Semmens are supported by the University of Tasmania. Kathryn Dufour assisted with preparing the manuscript for submission.</t>
  </si>
  <si>
    <t>1095-6433</t>
  </si>
  <si>
    <t>1531-4332</t>
  </si>
  <si>
    <t>COMP BIOCHEM PHYS A</t>
  </si>
  <si>
    <t>Comp. Biochem. Physiol. A-Mol. Integr. Physiol.</t>
  </si>
  <si>
    <t>10.1016/j.cbpa.2016.03.022</t>
  </si>
  <si>
    <t>Biochemistry &amp; Molecular Biology; Physiology; Zoology</t>
  </si>
  <si>
    <t>ED8GU</t>
  </si>
  <si>
    <t>WOS:000389110800004</t>
  </si>
  <si>
    <t>White, CA; Dworjanyn, SA; Nichols, PD; Mos, B; Dempster, T</t>
  </si>
  <si>
    <t>White, Camille A.; Dworjanyn, Symon A.; Nichols, Peter D.; Mos, Benjamin; Dempster, Tim</t>
  </si>
  <si>
    <t>Future aquafeeds may compromise reproductive fitness in a marine invertebrate</t>
  </si>
  <si>
    <t>MARINE ENVIRONMENTAL RESEARCH</t>
  </si>
  <si>
    <t>Aquaculture; ARA; EPA; Effects - biochemical; Fatty acid; Food quality; Heliocidaris erythrogramma; Larvae; n-6 PUFA; n-3 PUFA</t>
  </si>
  <si>
    <t>FATTY-ACID-COMPOSITION; SEA-URCHIN; EGG SIZE; PSAMMECHINUS-MILIARIS; DIETARY MICROALGAE; DEVELOPMENT TIME; TROPHIC MARKERS; SALMON FARM; WILD FISH; GROWTH</t>
  </si>
  <si>
    <t>Aquaculture of higher trophic level species is increasingly dependent on the use of terrestrial oil products. The input of terrestrially derived n-6 polyunsaturated fatty acids (PUFA) into marine environments has subsequently increased, with unknown consequences for recipient species. We exposed a sea urchin, Heliocidaris erythrogramma to three experimental diets for 78 days: a high n-3 PUFA marine imitation treatment, a high n-6 PUFA future aquafeed treatment and an intermediate current aquafeed treatment. Female urchins fed the high n-6 PUFA diet produced larvae with lower survival rates than all other treatments. Males fed the high n-6 PUFA diet produced no viable sperm. Fatty acid composition in reproductive material revealed comprehensive biosynthetic and dietary sparing capabilities in H. erythrogramma. Despite this, the ratio of n-6 PUFA to n-3 PUFA in reproductive tissue increased significantly with diet. We suggest alterations to this ratio is the likely mechanism of negative impact on larval development. (C) 2016 Elsevier Ltd. All rights reserved.</t>
  </si>
  <si>
    <t>[White, Camille A.; Dempster, Tim] Univ Melbourne, Sch Biosci, Sustainable Aquaculture Lab Temperate &amp; Trop, Melbourne, Vic 3010, Australia; [White, Camille A.; Nichols, Peter D.] CSIRO, Food Nutr &amp; Biobased Prod, Oceans &amp; Atmosphere, Hobart, Tas 7000, Australia; [Dworjanyn, Symon A.; Mos, Benjamin] Southern Cross Univ, Natl Marine Sci Ctr, Coffs Harbour, NSW 2450, Australia; [White, Camille A.] Univ Tasmania, Inst Marine &amp; Antarctic Studies, Taroona, Tas 7053, Australia</t>
  </si>
  <si>
    <t>Melbourne Genomics Health Alliance; University of Melbourne; Commonwealth Scientific &amp; Industrial Research Organisation (CSIRO); Southern Cross University; University of Tasmania</t>
  </si>
  <si>
    <t>White, CA (corresponding author), Univ Melbourne, Sch Biosci, Sustainable Aquaculture Lab Temperate &amp; Trop, Melbourne, Vic 3010, Australia.;White, CA (corresponding author), CSIRO, Food Nutr &amp; Biobased Prod, Oceans &amp; Atmosphere, Hobart, Tas 7000, Australia.;White, CA (corresponding author), Univ Tasmania, Inst Marine &amp; Antarctic Studies, Taroona, Tas 7053, Australia.</t>
  </si>
  <si>
    <t>camille.white@utas.edu.au</t>
  </si>
  <si>
    <t>Nichols, Peter D/C-5128-2011; Mos, Benjamin/P-2538-2017; Dempster, Tim/E-9630-2011; dworjanyn, symon/O-5633-2017</t>
  </si>
  <si>
    <t>Mos, Benjamin/0000-0003-3687-516X; Dempster, Tim/0000-0001-8041-426X; dworjanyn, symon/0000-0002-6690-8033</t>
  </si>
  <si>
    <t>Holsworth Wildlife Research Endowment; CSIRO Wealth from Oceans top up scholarship</t>
  </si>
  <si>
    <t>This work was supported by a Holsworth Wildlife Research Endowment and a CSIRO Wealth from Oceans top up scholarship. We thank G. Turchini (Fish Nutrition Laboratory, Deakin University) for formulating experimental diets, A. Graba-Landry and the technical staff at NMSC for additional laboratory support and P. Mansour at CSIRO for help with instrument upkeep.</t>
  </si>
  <si>
    <t>0141-1136</t>
  </si>
  <si>
    <t>1879-0291</t>
  </si>
  <si>
    <t>MAR ENVIRON RES</t>
  </si>
  <si>
    <t>Mar. Environ. Res.</t>
  </si>
  <si>
    <t>10.1016/j.marenvres.2016.09.008</t>
  </si>
  <si>
    <t>Environmental Sciences; Marine &amp; Freshwater Biology; Toxicology</t>
  </si>
  <si>
    <t>Environmental Sciences &amp; Ecology; Marine &amp; Freshwater Biology; Toxicology</t>
  </si>
  <si>
    <t>ED8CC</t>
  </si>
  <si>
    <t>WOS:000389098500007</t>
  </si>
  <si>
    <t>Berg, S; White, DA; Bennike, O; Fülöp, RH; Fink, D; Wagner, B; Melles, M</t>
  </si>
  <si>
    <t>Berg, Sonja; White, Duanne A.; Bennike, Ole; Fulop, Reka-H.; Fink, David; Wagner, Bernd; Melles, Martin</t>
  </si>
  <si>
    <t>Unglaciated areas in East Antarctica during the Last Glacial (Marine Isotope Stage 3) - New evidence from Rauer Group</t>
  </si>
  <si>
    <t>Lake sediments; Exposure dating; Ice sheet reconstructions; Antarctica</t>
  </si>
  <si>
    <t>SOUTHERN WINDMILL ISLANDS; SEA-LEVEL CHANGE; ICE-SHEET; VESTFOLD-HILLS; EXPOSURE AGES; HOLOCENE; MAXIMUM; CALIBRATION; BE-10; RATES</t>
  </si>
  <si>
    <t>Limited information on the East Antarctic Ice Sheet (EATS) geometry during Marine Isotope Stage 3 (MIS 3; 60-25 ka) restricts our understanding of its behaviour during periods of climate and sea level change. Ice sheet models forced by global parameters suggest an expanded EAIS compared to the Holocene during MIS 3, but field evidence from East Antarctic coastal areas contradicts such modelling, and suggests that the ice sheet margins were no more advanced than at present. Here we present a new lake sediment record, and cosmogenic exposure results from bedrock, which confirm that Rauer Group (eastern Prydz Bay) was ice-free for much of MIS 3. We also refine the likely duration of the Last Glacial Maximum (LGM) glaciation in the region. Lacustrine and marine sediments from Rauer Group indicate the penultimate period of ice retreat predates 50 ka. The Lacustrine record indicates a change from warmer/wetter conditions to cooler/drier conditions after ca. 35 ka. Substantive ice sheet re-advance, however, may not have occurred until much closer to 20 ka. Contemporary coastal areas were still connected to the sea during MIS 3, restricting the possible extent of grounded ice in Prydz Bay on the continental shelf. In contrast, relative sea levels (RSL) deduced from field evidence indicate an extra ice load averaging several hundred metres thicker ice across the Bay between 45 and 32 ka. Thus, ice must either have been thicker immediately inland (with a steeper ice profile), or there were additional ice domes on the shallow banks of the outer continental shelf. Further work is required to reconcile the differences between empirical evidence of past ice sheet histories, and the history predicted by ice sheet models from far-field temperature and sea level records. (C) 2016 Elsevier Ltd. All rights reserved.</t>
  </si>
  <si>
    <t>[Berg, Sonja; Wagner, Bernd; Melles, Martin] Univ Cologne, Inst Geol &amp; Mineral, D-50674 Cologne, Germany; [White, Duanne A.] Australian Natl Univ, Inst Appl Ecol, Canberra, ACT 2601, Australia; [Bennike, Ole] Geol Survey Denmark &amp; Greenland, Copenhagen, Denmark; [Fulop, Reka-H.; Fink, David] Australian Nucl Sci &amp; Technol Org, Lucas Heights, NSW 2234, Australia; [Fulop, Reka-H.] Univ Wollongong, Australia &amp; Sch Earth &amp; Environm Sci, Wollongong, NSW 2522, Australia</t>
  </si>
  <si>
    <t>University of Cologne; Australian National University; Geological Survey Of Denmark &amp; Greenland; Australian Nuclear Science &amp; Technology Organisation; University of Wollongong</t>
  </si>
  <si>
    <t>Berg, S (corresponding author), Univ Cologne, Inst Geol &amp; Mineral, D-50674 Cologne, Germany.</t>
  </si>
  <si>
    <t>sbergO@uni-koeln.de</t>
  </si>
  <si>
    <t>fink, David/A-9518-2012; Melles, Martin/J-4070-2012; Berg, Sonja/AAW-3817-2021; Wagner, Bernd/J-4682-2012; White, Duanne A/E-6919-2012; Bennike, Ole/G-7070-2018</t>
  </si>
  <si>
    <t>fink, David/0000-0001-7156-4602; Melles, Martin/0000-0003-0977-9463; Wagner, Bernd/0000-0002-1369-7893; Berg, Sonja/0000-0002-9629-6007; White, Duanne/0000-0003-0740-2072; Bennike, Ole/0000-0002-5486-9946; Fulop, Reka-Hajnalka/0000-0002-3237-0319</t>
  </si>
  <si>
    <t>German Research Foundation within the Priority Program (SPP) [1158, ME1169/15-1, WA 2109/2-1]; Australian Institute of Nuclear Science and Engineering [AINGRA08069]; Universities Australia-DAAD Joint Research Cooperation Scheme</t>
  </si>
  <si>
    <t>German Research Foundation within the Priority Program (SPP); Australian Institute of Nuclear Science and Engineering; Universities Australia-DAAD Joint Research Cooperation Scheme</t>
  </si>
  <si>
    <t>The project is funded by the German Research Foundation within the Priority Program (SPP) 1158 (DFG Schwerpunktprogramm, grants ME1169/15-1 and WA 2109/2-1). Cosmogenic dating was supported by the Australian Institute of Nuclear Science and Engineering (AINGRA08069). Charles Mifsud, Tim Keighley and Kat Brougham assisted sample processing. DW and SB have been supported by grants from the Universities Australia-DAAD Joint Research Cooperation Scheme.</t>
  </si>
  <si>
    <t>10.1016/j.quascirev.2016.08.021</t>
  </si>
  <si>
    <t>ED8IU</t>
  </si>
  <si>
    <t>WOS:000389116000001</t>
  </si>
  <si>
    <t>Edwards, EWJ; Quinn, LR; Thompson, PM</t>
  </si>
  <si>
    <t>Edwards, Ewan W. J.; Quinn, Lucy R.; Thompson, Paul M.</t>
  </si>
  <si>
    <t>State-space modelling of geolocation data reveals sex differences in the use of management areas by breeding northern fulmars</t>
  </si>
  <si>
    <t>JOURNAL OF APPLIED ECOLOGY</t>
  </si>
  <si>
    <t>double-tagging; fisheries bycatch; geolocator validation; GLS; Marine Strategy Framework Directive; north-east Atlantic; northern fulmar; OSPAR; spatial modelling; tracking</t>
  </si>
  <si>
    <t>WHITE-CHINNED PETRELS; RESEARCH PRIORITIES; INCUBATION RHYTHM; PLASTIC POLLUTION; SOUTH GEORGIA; GPS TRACKING; OFFSHORE OIL; SEABIRDS; GLACIALIS; BYCATCH</t>
  </si>
  <si>
    <t>Effective management and conservation of terrestrially breeding marine predators requires information on connectivity between specific breeding sites and at-sea foraging areas. In the north-east Atlantic, efforts to monitor and manage the impacts of bycatch or pollution events within different Convention for the Protection of the Marine Environment of the North-East Atlantic (OSPAR) management regions are currently constrained by uncertainty over the origins of seabirds occurring in each area. Whilst Global Positioning System (GPS) loggers can now provide high resolution data on seabird foraging characteristics, their use is largely restricted to the chick-rearing period. Smaller light-based Global Location Sensors (geolocators) could provide valuable data during earlier phases of the breeding season, but additional information on their accuracy is required to assess this potential. We used incubation trip tracking data from 11 double-tagged (GPS/geolocator) northern fulmars Fulmarus glacialis L. within a state-space modelling (SSM) framework to estimate errors around geolocator locations. The SSM was then fitted to a larger sample of geolocator data from the pre-laying exodus using the mean of these error estimates. Geolocator data were first used to compare the trip durations of males and females during this critical pre-laying period. Outputs from the SSM were then used to characterize their spatial distribution and assess the extent of within-colony variation in the use of different OSPAR management regions. During the pre-laying exodus, fulmars from a single colony in the north-east of the United Kingdom foraged widely across several biogeographical regions, up to 2900km from the colony. Most (60%) males remained within the North Sea region, whereas most (68%) females flew north, foraging within the Norwegian and Barents Sea. A small subset of birds (15%) travelled to the central North Atlantic. Foraging trips by males appeared to be shorter (x=18days, n=20) than by females (x=25days, n=19).Policy implications. Our results of state-space modelling of geolocation data collected from northern fulmars show that within-colony variation in ranging behaviour during the breeding season results in sex differences in exposure to threats such as fisheries bycatch and marine plastics. Birds from a single colony dispersed over several north-east Atlantic management areas. These patterns have implications for interpreting trends in colony-based monitoring schemes, and European Union Marine Strategy Framework programmes using these seabirds as an indicator species for monitoring trends in marine litter and prioritizing efforts to mitigate its impact. Our results of state-space modelling of geolocation data collected from northern fulmars show that within-colony variation in ranging behaviour during the breeding season results in sex differences in exposure to threats such as fisheries bycatch and marine plastics. Birds from a single colony dispersed over several north-east Atlantic management areas. These patterns have implications for interpreting trends in colony-based monitoring schemes, and European Union Marine Strategy Framework programmes using these seabirds as an indicator species for monitoring trends in marine litter and prioritizing efforts to mitigate its impact.</t>
  </si>
  <si>
    <t>[Edwards, Ewan W. J.; Quinn, Lucy R.; Thompson, Paul M.] Univ Aberdeen, Inst Biol &amp; Environm Sci, Lighthouse Field Stn, George St, Cromarty IV11 8YL, Ross Shire, Scotland; [Edwards, Ewan W. J.] Scottish Govt, Marine Lab, Marine Scotland Sci, 375 Victoria Rd, Aberdeen AB11 9DB, Scotland; [Quinn, Lucy R.] British Antarctic Survey, Madingley Rd, Cambridge CB3 0ET, England</t>
  </si>
  <si>
    <t>University of Aberdeen; Marine Scotland Science (MSS); UK Research &amp; Innovation (UKRI); Natural Environment Research Council (NERC); NERC British Antarctic Survey</t>
  </si>
  <si>
    <t>Edwards, EWJ (corresponding author), Univ Aberdeen, Inst Biol &amp; Environm Sci, Lighthouse Field Stn, George St, Cromarty IV11 8YL, Ross Shire, Scotland.;Edwards, EWJ (corresponding author), Scottish Govt, Marine Lab, Marine Scotland Sci, 375 Victoria Rd, Aberdeen AB11 9DB, Scotland.</t>
  </si>
  <si>
    <t>ewan.edwards@gov.scot</t>
  </si>
  <si>
    <t>Thompson, Paul/B-6742-2009</t>
  </si>
  <si>
    <t>Marine Alliance for Science and Technology for Scotland/University of Aberdeen College of Life Sciences and Medicine Studentship; NERC Studentship</t>
  </si>
  <si>
    <t>Marine Alliance for Science and Technology for Scotland/University of Aberdeen College of Life Sciences and Medicine Studentship; NERC Studentship(UK Research &amp; Innovation (UKRI)Natural Environment Research Council (NERC))</t>
  </si>
  <si>
    <t>We thank Orkney Islands Council for access to Eynhallow and Talisman Energy (UK) Ltd and Marine Scotland for fieldwork and equipment support. Handling and tagging of fulmars was conducted under licences from the British Trust for Ornithology and the UK Home Office. EE was funded by a Marine Alliance for Science and Technology for Scotland/University of Aberdeen College of Life Sciences and Medicine Studentship, and LQ was supported by a NERC Studentship. Thanks also to the many colleagues who assisted with fieldwork during the project, and to Helen Bailey and Arliss Winship for advice on implementing the state-space model.</t>
  </si>
  <si>
    <t>0021-8901</t>
  </si>
  <si>
    <t>1365-2664</t>
  </si>
  <si>
    <t>J APPL ECOL</t>
  </si>
  <si>
    <t>J. Appl. Ecol.</t>
  </si>
  <si>
    <t>10.1111/1365-2664.12751</t>
  </si>
  <si>
    <t>EC0DT</t>
  </si>
  <si>
    <t>WOS:000387768800025</t>
  </si>
  <si>
    <t>Liu, BL; Wang, RS; Talalay, P; Wang, QY; Liu, A</t>
  </si>
  <si>
    <t>Liu, Baolin; Wang, Rusheng; Talalay, Pavel; Wang, Qingyan; Liu, An</t>
  </si>
  <si>
    <t>Circulation system of an Antarctic electromechanical bedrock drill</t>
  </si>
  <si>
    <t>POLAR SCIENCE</t>
  </si>
  <si>
    <t>Bedrock drilling; Rock powder; Flow rate; Circulation system; Pressure losses</t>
  </si>
  <si>
    <t>ICE; BED</t>
  </si>
  <si>
    <t>For bedrock core drilling below 3000 m in the Antarctic ice sheet, Jilin University has designed a set of modular electromechanical drills with a local reverse circulation system, which works at the bottom of the borehole to remove the rock powder. Thorough removal of the rock powder is critically important to prevent it from accumulating in the bottom of the hole and eventually blocking the drill or causing other problems. During drilling, rock powder is carried by the drilling fluid, which flows from a down-hole pump to the chip chamber. If drilling fluid in the bottom of the hole cannot overcome the flow resistance or if its velocity is too low, the rock powder will not be carried to the chip chamber, and will remain in the borehole or gather in the clearance of the circulation system. Therefore, the down-hole pump performance characteristics are of vital importance. The selection of the down-hole pump for bedrock core drilling should consider both flow rate and outlet pressure. This paper reports a specific calculating method for the rEquired flow rate of the drilling fluid and the pressure losses in the circulation system. (C) 2016 Published by Elsevier B. V.</t>
  </si>
  <si>
    <t>[Liu, Baolin; Wang, Qingyan; Liu, An] Jilin Univ, Coll Construct Engn, Changchun 130026, Peoples R China; [Wang, Rusheng; Talalay, Pavel] Jilin Univ, Polar Res Ctr, Changchun 130026, Peoples R China; [Wang, Rusheng] Polar Res Inst China, Shanghai 200136, Peoples R China</t>
  </si>
  <si>
    <t>Jilin University; Jilin University; Polar Research Institute of China</t>
  </si>
  <si>
    <t>Wang, RS (corresponding author), Jilin Univ, Polar Res Ctr, Changchun 130026, Peoples R China.</t>
  </si>
  <si>
    <t>wangrs@jlu.edu.cn</t>
  </si>
  <si>
    <t>Talalay, Pavel/AAH-2908-2020</t>
  </si>
  <si>
    <t>Talalay, Pavel/0000-0002-8230-4600</t>
  </si>
  <si>
    <t>National Natural Science Foundation of China [41327804, 41476160]; National 863 Project of China [2011AA090401]</t>
  </si>
  <si>
    <t>National Natural Science Foundation of China(National Natural Science Foundation of China (NSFC)); National 863 Project of China(National High Technology Research and Development Program of China)</t>
  </si>
  <si>
    <t>This work was supported financially by the National Natural Science Foundation of China (41327804, 41476160) and National 863 Project of China (2011AA090401). The authors would like to acknowledge the contribution of the Polar Research Institute of China for science investigations, and thank the reviewers of this paper for their helpful feedback.</t>
  </si>
  <si>
    <t>1873-9652</t>
  </si>
  <si>
    <t>1876-4428</t>
  </si>
  <si>
    <t>POLAR SCI</t>
  </si>
  <si>
    <t>Polar Sci.</t>
  </si>
  <si>
    <t>10.1016/j.polar.2016.08.001</t>
  </si>
  <si>
    <t>ED0CG</t>
  </si>
  <si>
    <t>WOS:000388510000001</t>
  </si>
  <si>
    <t>Lamsters, K; Karuss, J; Recs, A; Berzins, D</t>
  </si>
  <si>
    <t>Lamsters, Kristaps; Karuss, Janis; Recs, Agnis; Berzins, Davids</t>
  </si>
  <si>
    <t>Detailed subglacial topography and drumlins at the marginal zone of Mulajokull outlet glacier, central Iceland: Evidence from low frequency GPR data</t>
  </si>
  <si>
    <t>Hofsjokull ice cap; Subglacial topography; Ground penetrating radar; Surge-type glacier; Drumlins</t>
  </si>
  <si>
    <t>SURGE-TYPE GLACIER; GROUND-PENETRATING RADAR; ANTARCTIC ICE STREAM; WAVE VELOCITY; WATER-CONTENT; BENEATH; PENINSULA; BEDFORMS; SVALBARD; SURFACE</t>
  </si>
  <si>
    <t>New ground penetrating radar (GPR) observations on the Mulajokull surge-type outlet glacier, central Iceland, are presented. Overall 10.5 km of GPR profile lines were recorded parallel to the glacier margin in August, 2015. Detailed GPR investigations combined with high-accuracy GPS measurements allowed to build a high-resolution model of the subglacial topography. We provide new evidence of streamlined ridges beneath Mu lajokull's marginal zone interpreted as drumlins and show the location of the upper edge of the drumlin field. This discovery improves understanding of the location, morphology and development of drumlins as other geophysical observations of subglacial bedforms beneath modern outlet glaciers are quite rare. The location of drumlins corresponds with the position of the major sets of crevasses in the digital elevation model (2008) suggesting the presence of additional drumlins beneath such crevasses in the ice-marginal zone. We suggest this semi-circular pattern of crevasses to be formed due to the variable glacier strain rates created by the subglacial topography. Numerous hyperbolic diffractions representing reflections of englacial channels are found in radar profiles suggesting a well-developed channelized drainage system of a surge-type glacier in its quiescence phase. The calculated thinning of the ice surface in the investigated area (0.65 km(2)) is on average 17.9 m during 2008-2015. (C) 2016 Elsevier B.V. and NIPR. All rights reserved.</t>
  </si>
  <si>
    <t>[Lamsters, Kristaps; Karuss, Janis; Recs, Agnis; Berzins, Davids] Univ Latvia, Dept Geog &amp; Earth Sci, Rainis Blvd 19, LV-1586 Riga, Latvia</t>
  </si>
  <si>
    <t>University of Latvia</t>
  </si>
  <si>
    <t>Lamsters, K (corresponding author), Univ Latvia, Dept Geog &amp; Earth Sci, Rainis Blvd 19, LV-1586 Riga, Latvia.</t>
  </si>
  <si>
    <t>kristaps.lamsters@gmail.com</t>
  </si>
  <si>
    <t>Lamsters, Kristaps/AAB-3601-2022; Lamsters, Kristaps/AAW-2254-2020; Karušs, Jānis/AHI-7900-2022; Lamsters, Kristaps/CAI-8643-2022; Karušs, Jānis/ITT-0500-2023</t>
  </si>
  <si>
    <t>Lamsters, Kristaps/0000-0002-4523-1537; Karušs, Jānis/0000-0003-0590-4888; Lamsters, Kristaps/0000-0002-4523-1537; Karušs, Jānis/0000-0003-0590-4888</t>
  </si>
  <si>
    <t>We thank the Students' Council and Performance funding of the University of Latvia for financial support. Aleksandrs Vlads is acknowledged for assistance in the field, and Aija Zans for providing language help. We express our gratitude to Prof. Vitalijs Zelcs (University of Latvia) for reviewing an earlier version of this manuscript. We are grateful to reviewers for very constructive and useful comments on the manuscript.</t>
  </si>
  <si>
    <t>10.1016/j.polar.2016.05.003</t>
  </si>
  <si>
    <t>WOS:000388510000002</t>
  </si>
  <si>
    <t>Hiroi, T; Kaiden, H; Yamaguchi, A; Kojima, H; Uemoto, K; Ohtake, M; Arai, T; Sasaki, S</t>
  </si>
  <si>
    <t>Hiroi, T.; Kaiden, H.; Yamaguchi, A.; Kojima, H.; Uemoto, K.; Ohtake, M.; Arai, T.; Sasaki, S.</t>
  </si>
  <si>
    <t>Visible and near-infrared spectral survey of lunar meteorites recovered by the National Institute of Polar Research</t>
  </si>
  <si>
    <t>Meteorite; Lunar; Reflectance; Spectroscopy; Exploration</t>
  </si>
  <si>
    <t>ABSORPTION-BANDS; GEOTHERMOMETRY; SPECTROSCOPY; PYROXENES; SPINELS</t>
  </si>
  <si>
    <t>Lunar meteorite chip samples recovered by the National Institute of Polar Research (NIPR) have been studied by a UVevisibleenear-infrared spectrometer, targeting small areas of about 3 x 2 mm in size. Rock types and approximate mineral compositions of studied meteorites have been identified or obtained through this spectral survey with no sample preparation required. A linear deconvolution method was used to derive end-member mineral spectra from spectra of multiple clasts whenever possible. In addition, the modified Gaussian model was used in an attempt of deriving their major pyroxene compositions. This study demonstrates that a visible-near-infrared spectrometer on a lunar rover would be useful for identifying these kinds of unaltered (non-space-weathered) lunar rocks. In order to prepare for such a future mission, further studies which utilize a smaller spot size are desired for improving the accuracy of identifying the clasts and mineral phases of the rocks. (C) 2016 Elsevier B. V. and NIPR. All rights reserved.</t>
  </si>
  <si>
    <t>[Hiroi, T.; Kaiden, H.; Yamaguchi, A.; Kojima, H.] Natl Inst Polar Res, Antarctic Meteorite Lab, 10-3 Midori Cho, Tachikawa, Tokyo 1908518, Japan; [Hiroi, T.] Brown Univ, Dept Earth Environm &amp; Planetary Sci, Providence, RI 02912 USA; [Kaiden, H.; Yamaguchi, A.; Kojima, H.] SOKENDAI Grad Univ Adv Studies, Dept Polar Sci, 10-3 Midori Cho, Tachikawa, Tokyo 1908518, Japan; [Uemoto, K.] Univ Tokyo, Grad Sch Sci, Dept Earth &amp; Planetary Sci, Bunkyo Ku, 7-3-1 Hongo, Tokyo 1130033, Japan; [Ohtake, M.] JAXA Inst Space &amp; Astronaut Sci, Chuo Ku, 3-1-1 Yoshinodai, Sagamihara, Kanagawa 2525210, Japan; [Arai, T.] Chiba Inst Technol, Planetary Explorat Res Ctr, 2-17-1 Tsudanuma, Narashino, Chiba 2750016, Japan; [Sasaki, S.] Osaka Univ, Grad Sch Sci, Dept Earth &amp; Space Sci, 1-10 Machikaneyama, Toyonaka, Osaka 5600043, Japan</t>
  </si>
  <si>
    <t>Research Organization of Information &amp; Systems (ROIS); National Institute of Polar Research (NIPR) - Japan; Brown University; Graduate University for Advanced Studies - Japan; University of Tokyo; Japan Aerospace Exploration Agency (JAXA); Institute of Space &amp; Astronautical Science (ISAS); Chiba Institute of Technology; Osaka University</t>
  </si>
  <si>
    <t>Hiroi, T (corresponding author), Brown Univ, Dept Earth Environm &amp; Planetary Sci, Providence, RI 02912 USA.</t>
  </si>
  <si>
    <t>takahiro_hiroi@brown.edu</t>
  </si>
  <si>
    <t>Hiroi, Takahiro/AAE-9701-2020</t>
  </si>
  <si>
    <t>Hiroi, Takahiro/0000-0003-2866-9091</t>
  </si>
  <si>
    <t>NASA SSERVI Program; JSPS KAKENHI Grant [24540493]; Grants-in-Aid for Scientific Research [24540493] Funding Source: KAKEN</t>
  </si>
  <si>
    <t>NASA SSERVI Program; JSPS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</si>
  <si>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lunar meteorite samples studied here were kindly loaned from the National Institute of Polar Research (NIPR). Reflectance Experiment Laboratory (RELAB) is a muti-user facility which is supported by NASA SSERVI Program and located at Brown University. This study was started while T.H. was a visiting professor at the NIPR. He was partially supported by JSPS KAKENHI Grant number 24540493 and NASA SSERVI program for analyzing the data and publishing the results of this study.</t>
  </si>
  <si>
    <t>10.1016/j.polar.2016.06.004</t>
  </si>
  <si>
    <t>WOS:000388510000003</t>
  </si>
  <si>
    <t>Takahashi, T; Ogura, T; Tanaka, K; Hattori, S; Kudoh, S; Imura, S</t>
  </si>
  <si>
    <t>Takahashi, Tetsuya; Ogura, Takayuki; Tanaka, Keisuke; Hattori, Shunji; Kudoh, Sakae; Imura, Satoshi</t>
  </si>
  <si>
    <t>Exposure of bovine dermal tissue to ultraviolet light under the Antarctic ozone hole</t>
  </si>
  <si>
    <t>Ozone hole; Antarctica; Ultraviolet light; Collagen; Dermis</t>
  </si>
  <si>
    <t>Bovine dermis was exposed outdoors in the Antarctic in 2013 to study the skin damage caused by short-wavelength ultraviolet light under the ozone hole. Collagen was extracted from the exposed dermis with pepsin. The amount of solubilized collagen in the exposed dermis was only 20%-40% of that in dermis shielded from ultraviolet light. The dermis was most difficult to extract when exposed in summer, and then when exposed in spring. Differential scanning calorimetry was used to determine the melting endothermic behavior of the dermal tissue. The peak temperature was highest for the dermis exposed in summer. The exposed dermis was degraded with cyanogen bromide to determine whether cross-linking had occurred. Cross-linked peptides were detected in the dermis exposed in summer or spring, but the dermis exposed in autumn did not differ markedly from the light-shielded dermis. These data show that cross-linkages were readily formed in the collagen molecule chains in dermis exposed to ultraviolet light in summer, when solar elevation is highest and the period of sunshine is longest. A comparison of the dermis exposed in spring and that exposed in autumn showed that cross-linkages were formed more readily by ultraviolet light in spring, when the ozone hole occurred. (C) 2016 Elsevier B.V. and NIPR. All rights reserved.</t>
  </si>
  <si>
    <t>[Takahashi, Tetsuya] Shimane Univ, Fac Educ, 1060 Nishikawatsu Cho, Matsue, Shimane 6908504, Japan; [Ogura, Takayuki; Tanaka, Keisuke; Hattori, Shunji] Nippi Res Inst Biomatrix, 520-11 Kuwahara, Toride, Ibaraki 3020017, Japan; [Kudoh, Sakae; Imura, Satoshi] Natl Inst Polar Res, 10-3 Midoricho, Tachikawa, Tokyo 1908518, Japan</t>
  </si>
  <si>
    <t>Shimane University; Research Organization of Information &amp; Systems (ROIS); National Institute of Polar Research (NIPR) - Japan</t>
  </si>
  <si>
    <t>Takahashi, T (corresponding author), Shimane Univ, Fac Educ, 1060 Nishikawatsu Cho, Matsue, Shimane 6908504, Japan.</t>
  </si>
  <si>
    <t>ttetsuya@edu.shimane-u.ac.jp; t-ogura@nippi-inc.co.jp; ktanaka@nippi-inc.co.jp; shunhatt@nippi-inc.co.jp; skudoh@nipr.ac.jp; imura@nipr.ac.jp</t>
  </si>
  <si>
    <t>Imura, Satoshi/0000-0002-6803-6996</t>
  </si>
  <si>
    <t>10.1016/j.polar.2016.08.004</t>
  </si>
  <si>
    <t>WOS:000388510000006</t>
  </si>
  <si>
    <t>Lynch, MA; Foley, CM; Thorne, LH; Lynch, HJ</t>
  </si>
  <si>
    <t>Lynch, Maureen A.; Foley, Catherine M.; Thorne, Lesley H.; Lynch, Heather J.</t>
  </si>
  <si>
    <t>Improving the use of biological data in Antarctic management</t>
  </si>
  <si>
    <t>ANTARCTIC SCIENCE</t>
  </si>
  <si>
    <t>Antarctic conservation; Antarctic Specially Protected Areas; Antarctic Treaty System; Best Available Science; Comprehensive Environmental Evaluation; Management Plan</t>
  </si>
  <si>
    <t>SOUTHERN-OCEAN; AVAILABLE SCIENCE; DECISION-MAKING; CONSERVATION; PENGUINS; ECOSYSTEMS; EXPERTISE; FISHERIES; IMPACTS; IMAGERY</t>
  </si>
  <si>
    <t>The Antarctic Treaty System requires that the effects of potential human disturbance be evaluated, such as through the development and evaluation of Initial and Comprehensive Environmental Evaluations (IEEs and CEEs), and through the implementation of Management Plans for Antarctic Specially Protected Areas (ASPAs) and Antarctic Specially Managed Areas (ASMAs). The effectiveness of these management processes hinges on the quality and transparency of the data presented, particularly because independent validation is often difficult or impossible due to the financial and logistical challenges of working in the Antarctic. In a review of these documents and their treatment of wildlife survey data, we find that the basic elements of best data practices are often not followed; biological data are often uncited or out-of-date and rarely include estimates of uncertainty that would allow any subsequent changes in the distribution or abundance of wildlife to be rigorously assessed. We propose a set of data management and use standards for Antarctic biological data to improve the transparency and quality of these evaluations and to facilitate improved assessment of both immediate and long-term impacts of human activities in the Antarctic.</t>
  </si>
  <si>
    <t>[Lynch, Maureen A.; Foley, Catherine M.; Lynch, Heather J.] SUNY Stony Brook, Dept Ecol &amp; Evolut, 106 Life Sci Bldg, Stony Brook, NY 11794 USA; [Thorne, Lesley H.] SUNY Stony Brook, Sch Marine &amp; Atmospher Sci, 159 Challenger Hall, Stony Brook, NY 11794 USA</t>
  </si>
  <si>
    <t>State University of New York (SUNY) System; State University of New York (SUNY) Stony Brook; State University of New York (SUNY) System; State University of New York (SUNY) Stony Brook</t>
  </si>
  <si>
    <t>Lynch, MA (corresponding author), SUNY Stony Brook, Dept Ecol &amp; Evolut, 106 Life Sci Bldg, Stony Brook, NY 11794 USA.</t>
  </si>
  <si>
    <t>maureen.a.lynch@stonybrook.edu</t>
  </si>
  <si>
    <t>Thorne, Lesley/0000-0002-6297-0091; Lynch, Maureen/0000-0003-4494-7012</t>
  </si>
  <si>
    <t>National Science Foundation/Office of Polar Programs [1255058]; National Aeronautics and Space Administration [NNX14AC32G]; Office of Polar Programs (OPP); Directorate For Geosciences [1255058] Funding Source: National Science Foundation</t>
  </si>
  <si>
    <t>National Science Foundation/Office of Polar Programs(National Science Foundation (NSF)); National Aeronautics and Space Administration(National Aeronautics &amp; Space Administration (NASA)); Office of Polar Programs (OPP); Directorate For Geosciences(National Science Foundation (NSF)NSF - Directorate for Geosciences (GEO))</t>
  </si>
  <si>
    <t>We would like to acknowledge financial support from the National Science Foundation/Office of Polar Programs (Award No. 1255058 (HJL)) and the National Aeronautics and Space Administration (Award No. NNX14AC32G (MAL, CMF, HJL)). We would like to thank Ron Naveen and Claire Christian for comments and suggestions on earlier versions of this manuscript, as well as the reviewers who provided insight and comments on a previous version.</t>
  </si>
  <si>
    <t>0954-1020</t>
  </si>
  <si>
    <t>1365-2079</t>
  </si>
  <si>
    <t>ANTARCT SCI</t>
  </si>
  <si>
    <t>Antarct. Sci.</t>
  </si>
  <si>
    <t>10.1017/S0954102016000353</t>
  </si>
  <si>
    <t>EC2US</t>
  </si>
  <si>
    <t>WOS:000387980300003</t>
  </si>
  <si>
    <t>Ceschim, LMM; Dauner, ALL; Montone, RC; Figueira, RCL; Martins, CC</t>
  </si>
  <si>
    <t>Ceschim, Liziane M. M.; Dauner, Ana L. L.; Montone, Rosalinda C.; Figueira, Rubens C. L.; Martins, Cesar C.</t>
  </si>
  <si>
    <t>Depositional history of sedimentary sterols around Penguin Island, Antarctica</t>
  </si>
  <si>
    <t>chlorophyll a; core; lipids; biomarkers; ornithogenic soil; primary productivity</t>
  </si>
  <si>
    <t>KING GEORGE ISLAND; SOUTH SHETLAND ISLANDS; ORGANIC-MATTER; MARINE-SEDIMENTS; ADMIRALTY BAY; LIPIDS; OCEAN; SEA; DEGRADATION; INDICATORS</t>
  </si>
  <si>
    <t>Lipid biomarkers are potential tools for identifying the sources, diagenesis and reactivity of organic matter (OM) in marine systems, including in Antarctica where the particular environmental characteristics have motivated several studies of organic markers. Sedimentary sterol distributions were determined in two sediment cores (PGI-1 and PGI-2) collected from the marine environment around Penguin Island, Antarctica, during the 2007-08 summer. The cores were sectioned at 1 cm intervals and the sterols were analysed using gas chromatography with flame ionization detection. The results indicate that the sterols were subjected to decades of degradation and transformation with depth in both cores. However, an expected progressive conversion of stenols to stanols (evaluated by 5 alpha-stanols/Delta(5)-stenols ratio) within the deepest sediment layers was not clear, suggesting low degradation rates. In PGI-1, the deposition of large quantities of penguin guano affected the distribution of sterols and, consequently, primary production was favoured by the ornithogenic soil input. The results contribute to the understanding of the current processes associated with primary sources and transformation of OM in this important region of the Antarctic environment.</t>
  </si>
  <si>
    <t>[Ceschim, Liziane M. M.; Dauner, Ana L. L.] Univ Fed Parana, Programa Posgrad Sistemas Costeiros &amp; Ocean PGSIS, Caixa Postal 61, BR-83255976 Pontal Do Parana, Brazil; [Ceschim, Liziane M. M.; Dauner, Ana L. L.; Martins, Cesar C.] Univ Fed Parana, Ctr Estudos Mar, Caixa Postal 61, BR-83255976 Pontal Do Parana, Brazil; [Montone, Rosalinda C.; Figueira, Rubens C. L.] Univ Sao Paulo, Inst Oceanog, Praca Oceanog 191, YR-05508120 Sao Paulo, Brazil</t>
  </si>
  <si>
    <t>Universidade Federal do Parana; Universidade Federal do Parana; Universidade de Sao Paulo</t>
  </si>
  <si>
    <t>Martins, CC (corresponding author), Univ Fed Parana, Ctr Estudos Mar, Caixa Postal 61, BR-83255976 Pontal Do Parana, Brazil.</t>
  </si>
  <si>
    <t>ccmart@ufpr.br</t>
  </si>
  <si>
    <t>Figueira, Rubens/AAC-1045-2022; Dauner, Ana Lúcia Lindroth/AAF-1544-2021; Figueira, Rubens RCL/C-5958-2013; de Castro Martins, Cesar C/I-1086-2012; Montone, Rosalinda/J-9110-2012</t>
  </si>
  <si>
    <t>Figueira, Rubens/0000-0001-8945-4540; Dauner, Ana Lúcia Lindroth/0000-0002-9686-6241; de Castro Martins, Cesar/0000-0002-2515-5565; Montone, Rosalinda/0000-0002-9586-1000</t>
  </si>
  <si>
    <t>Antarctic Brazilian Program (PROANTAR); Secretaria da Comisao Interministerial para os Recursos do Mar (SECIRM); Ministerio de Ciencia, Tecnologia e Inovacao (MCTI); National Council for Scientific and Technological Development (CNPq) [550014/2007-1, 307110/2008-7]; DTI-3 scholarship [382434/2009-9]</t>
  </si>
  <si>
    <t>Antarctic Brazilian Program (PROANTAR); Secretaria da Comisao Interministerial para os Recursos do Mar (SECIRM); Ministerio de Ciencia, Tecnologia e Inovacao (MCTI); National Council for Scientific and Technological Development (CNPq)(Conselho Nacional de Desenvolvimento Cientifico e Tecnologico (CNPQ)); DTI-3 scholarship</t>
  </si>
  <si>
    <t>The work was supported by the Antarctic Brazilian Program (PROANTAR), Secretaria da Comisao Interministerial para os Recursos do Mar (SECIRM), Ministerio de Ciencia, Tecnologia e Inovacao (MCTI) and National Council for Scientific and Technological Development (CNPq, Grants: 550014/2007-1 and 307110/2008-7). L.M.M.C. is grateful for a DTI-3 scholarship (382434/2009-9). The work contributes to the Brazilian 'National Science and Technology Institute on Antarctic Environmental Research' (INCT-APA, CNPq 574018/2008-5 and FAPERJ E-16/170023/2008). The authors wish to thank the NApOc, Ary Rongel staff and J.A. Ferreira for support during the sampling activities and preliminary sample treatment, Michel M. Mahiques for the magnetic susceptibility data and the Laboratorio de Biogeoquimica Marinha (CEM/UFPR) for the analysis of total P and pigments. We also thank two anonymous reviewers for their constructive and helpful comments.</t>
  </si>
  <si>
    <t>10.1017/S0954102016000274</t>
  </si>
  <si>
    <t>WOS:000387980300005</t>
  </si>
  <si>
    <t>Tapia-Valdebenito, D; Ramirez, LAB; Arce-Johnson, P; Gutiérrez-Moraga, A</t>
  </si>
  <si>
    <t>Tapia-Valdebenito, Daisy; Bravo Ramirez, Leon A.; Arce-Johnson, Patricio; Gutierrez-Moraga, Ana</t>
  </si>
  <si>
    <t>Salt tolerance traits in Deschampsia antarctica Desv.</t>
  </si>
  <si>
    <t>Antarctic hair grass; leafmorphology; phenotypic plasticity; photosynthetic capacity; salt stress</t>
  </si>
  <si>
    <t>NA+/H+ ANTIPORTER; ARABIDOPSIS-THALIANA; PROTEIN-KINASE; WATER-STRESS; PLANTS; SALINITY; POACEAE; TRANSPORT; LEAVES; OVEREXPRESSION</t>
  </si>
  <si>
    <t>Deschampsia antarctica Desv. (Poaceae) grows in coastal habitats in the Maritime Antarctic where it is often exposed to sea spray. Salt crystals have been observed on the surface of leaves in plants treated with high NaCl. We investigated if D. antarctica is a salt tolerant species that allows sodium ions to diffuse into the root where a salt overly sensitive (SOS) system extrudes Na+ from root cells and facilitates its movement through the xylem up to the leaves. Leaf epidermis, physiological parameters and sodium transporters in D. antarctica plants exposed to NaCl were studied over 21 days. Epidermal scanning electron microscopy showed trichome induction in the leaves of salt treated plants. In addition, salt treated plants showed increased sodium and proline levels with a concomitant increased expression of SOS genes (1 and 3). These results indicate that Na+ is taken up by the roots of D. antarctica and transported to the leaves. The sodium flux may be controlled by SOS1 activity. Up-regulation of the SOS1 gene may be involved in the increased sodium levels observed in the leaves of salt treated plants. Trichomes may also be involved in sodium exudation through the leaves under saline conditions.</t>
  </si>
  <si>
    <t>[Tapia-Valdebenito, Daisy; Bravo Ramirez, Leon A.; Gutierrez-Moraga, Ana] Univ La Frontera, Lab Fisiol &amp; Biol Mol Vegetal, Fac Ciencias Agr &amp; Forestales, Casilla 54-D, Temuco, Chile; [Tapia-Valdebenito, Daisy; Bravo Ramirez, Leon A.; Gutierrez-Moraga, Ana] Univ La Frontera, Ctr Plant Soil Interact &amp; Nat Resources Biotechno, Sci &amp; Technol Bioresource Nucleus BIOREN UFRO, Casilla 54-D, Temuco, Chile; [Gutierrez-Moraga, Ana] Univ Autonoma Chile, Direcc Invest &amp; Postgrad, Pedro de Valdivia 425, Santiago, Chile; [Arce-Johnson, Patricio] Pontificia Univ Catolica Chile, Dept Genet Mol &amp; Microbiol, Fac Ciencias Biol, Casilla 114-D,Alameda 340, Santiago, Chile</t>
  </si>
  <si>
    <t>Universidad de La Frontera; Universidad de La Frontera; Universidad Autonoma de Chile; Pontificia Universidad Catolica de Chile</t>
  </si>
  <si>
    <t>Gutiérrez-Moraga, A (corresponding author), Univ La Frontera, Lab Fisiol &amp; Biol Mol Vegetal, Fac Ciencias Agr &amp; Forestales, Casilla 54-D, Temuco, Chile.;Gutiérrez-Moraga, A (corresponding author), Univ La Frontera, Ctr Plant Soil Interact &amp; Nat Resources Biotechno, Sci &amp; Technol Bioresource Nucleus BIOREN UFRO, Casilla 54-D, Temuco, Chile.;Gutiérrez-Moraga, A (corresponding author), Univ Autonoma Chile, Direcc Invest &amp; Postgrad, Pedro de Valdivia 425, Santiago, Chile.</t>
  </si>
  <si>
    <t>ana.gutierrez@uautonoma.cl</t>
  </si>
  <si>
    <t>Arce-Johnson, Patricio/JUV-7099-2023; Bravo, Leon/H-9251-2018; Bravo, León/AAO-8437-2020</t>
  </si>
  <si>
    <t>Arce-Johnson, Patricio/0000-0003-3854-1286; Bravo, Leon/0000-0003-4705-4842; Bravo, León/0000-0003-4705-4842; Tapia, Daisy/0000-0002-8678-3995</t>
  </si>
  <si>
    <t>Chilean Commission for Scientific and Technological Research [CONICYT-24121490]; Chilean Antarctic Institute [INACH-DG_01-13]; DIUFRO project [DI13-0048]</t>
  </si>
  <si>
    <t>Chilean Commission for Scientific and Technological Research; Chilean Antarctic Institute; DIUFRO project</t>
  </si>
  <si>
    <t>The authors thank Charles Guy and Pablo Dumont for their help in the translation and proofreading of the manuscript. The authors thank the electronic transmission microscopy service from Pontificia Universidad Catolica de Chile. The authors also extend thanks to the reviewers. Financial support for this work was provided by the Chilean Commission for Scientific and Technological Research (CONICYT-24121490 code), and Chilean Antarctic Institute (INACH-DG_01-13 code), doctoral fellowships and DIUFRO DI13-0048 project.</t>
  </si>
  <si>
    <t>10.1017/S0954102016000249</t>
  </si>
  <si>
    <t>WOS:000387980300007</t>
  </si>
  <si>
    <t>Peirano, A; Bordone, A; Marini, S; Piazza, P; Schiaparelli, S</t>
  </si>
  <si>
    <t>Peirano, Andrea; Bordone, Andrea; Marini, Simone; Piazza, Paola; Schiaparelli, Stefano</t>
  </si>
  <si>
    <t>A simple time-lapse apparatus for monitoring macrozoobenthos activity in Antarctica</t>
  </si>
  <si>
    <t>[Peirano, Andrea; Bordone, Andrea] ENEA Marine Environm Res Ctr, CP 224, La Spezia, Italy; [Marini, Simone] UOS, Ist Sci Marine, ISMAR CNR, I-19032 Pozzuolo Di Lerici, La Spezia, Italy; [Piazza, Paola; Schiaparelli, Stefano] Italian Natl Antarctic Museum, Sect Genoa, MNA, Viale Benedetto 15, I-16132 Genoa, Italy; [Schiaparelli, Stefano] Univ Genoa, DISTAV, Cso Europa 26, I-16132 Genoa, Italy</t>
  </si>
  <si>
    <t>Italian National Agency New Technical Energy &amp; Sustainable Economics Development; Consiglio Nazionale delle Ricerche (CNR); Istituto di Scienze Marine (ISMAR-CNR); University of Genoa</t>
  </si>
  <si>
    <t>Peirano, A (corresponding author), ENEA Marine Environm Res Ctr, CP 224, La Spezia, Italy.</t>
  </si>
  <si>
    <t>andrea.peirano@enea.it</t>
  </si>
  <si>
    <t>Marini, Simone/C-3872-2012; Schiaparelli, Stefano/AAI-4024-2020</t>
  </si>
  <si>
    <t>Marini, Simone/0000-0003-0665-7815; Schiaparelli, Stefano/0000-0002-0137-3605</t>
  </si>
  <si>
    <t>Ice-Lapse Project [2013/AZ1.16]</t>
  </si>
  <si>
    <t>Ice-Lapse Project</t>
  </si>
  <si>
    <t>This work was part of the Ice-Lapse Project 2013/AZ1.16 completed during the XXXI PNRA (Italian National Antarctic Programme) expedition. A special thank you is due to the divers G. Tangari, T. Pischedda, G. Oggero and R. Pini. We would also like to thank G. Bianchi Fasani, all of the members of the Italian Mario Zucchelli Station, and an anonymous reviewer of the paper.</t>
  </si>
  <si>
    <t>10.1017/S0954102016000377</t>
  </si>
  <si>
    <t>WOS:000387980300008</t>
  </si>
  <si>
    <t>Wölfl, AC; Wittenberg, N; Feldens, P; Hass, HC; Betzler, C; Kuhn, G</t>
  </si>
  <si>
    <t>Woelfl, Anne-Cathrin; Wittenberg, Nina; Feldens, Peter; Hass, H. Christian; Betzler, Christian; Kuhn, Gerhard</t>
  </si>
  <si>
    <t>Submarine landforms related to glacier retreat in a shallow Antarctic fjord</t>
  </si>
  <si>
    <t>deglaciation; King George Island; multibeam sonar; Potter Cove; sea floor morphology; sediment echosounding</t>
  </si>
  <si>
    <t>SOUTH SHETLAND ISLANDS; PENINSULA ICE-SHEET; CLIMATE-CHANGE; HOLOCENE; GEOMETRY; UPLIFT; AGE</t>
  </si>
  <si>
    <t>Since the Last Glacial Maximum, ice has retreated through the fjords of the South Shetland Islands leaving a valuable record of submarine landforms behind. In this study, glacial landforms and sub-bottom characteristics have been mapped to investigate the late Holocene retreat behaviour of the Fourcade Glacier and to delineate past environmental processes in Potter Cove, King George Island. The comprehensive datasets include high-resolution swath bathymetry, shallow seismic profiling and one sediment core. Moraines, moraine incisions and glacial lineations were mapped on the sea floor in the inner part of the cove, whereas pockmarks, ice scour marks and channel structures were identified in the outer part. Sub-bottom characteristics have been assigned to different acoustic facies types indicating different depositional settings. The results reveal glacial recessions as well as stillstands and potential readvances during the late Holocene. Furthermore, the sediment record indicates that the Fourcade Glacier was situated inside the inner cove during the Little Ice Age (500-100 cal yr BP).</t>
  </si>
  <si>
    <t>[Woelfl, Anne-Cathrin; Wittenberg, Nina; Hass, H. Christian] Helmholtz Ctr Polar &amp; Marine Res, Alfred Wegener Inst, Wadden Sea Res Stn, Hafenstr 43, D-25992 List Auf Sylt, Germany; [Feldens, Peter] Leibniz Inst Balt Sea Res Warnemunde, Seestr 15, D-18119 Rostock, Germany; [Betzler, Christian] Univ Hamburg, Inst Geol &amp; Paleontol, Bundesstr 55, D-20146 Hamburg, Germany; [Kuhn, Gerhard] Helmholtz Ctr Polar &amp; Marine Res, Alfred Wegener Inst, Alten Hafen 26, D-27568 Bremerhaven, Germany</t>
  </si>
  <si>
    <t>Helmholtz Association; Alfred Wegener Institute, Helmholtz Centre for Polar &amp; Marine Research; Leibniz Institut fur Ostseeforschung Warnemunde; University of Hamburg; Helmholtz Association; Alfred Wegener Institute, Helmholtz Centre for Polar &amp; Marine Research</t>
  </si>
  <si>
    <t>Wölfl, AC (corresponding author), Helmholtz Ctr Polar &amp; Marine Res, Alfred Wegener Inst, Wadden Sea Res Stn, Hafenstr 43, D-25992 List Auf Sylt, Germany.</t>
  </si>
  <si>
    <t>Anne-Cathrin.Woelfl@awi.de</t>
  </si>
  <si>
    <t>Hass, H. Christian/O-7229-2017</t>
  </si>
  <si>
    <t>Hass, H. Christian/0000-0003-2649-6828; Betzler, Christian/0000-0002-5757-4553; Feldens, Peter/0000-0002-9620-8927; Wolfl, Anne-Cathrin/0000-0002-0203-8673</t>
  </si>
  <si>
    <t>German Federal Ministry of Education and Research [03F0617A]; European Commission [319718]</t>
  </si>
  <si>
    <t>German Federal Ministry of Education and Research(Federal Ministry of Education &amp; Research (BMBF)); European Commission(European Union (EU)European Commission Joint Research Centre)</t>
  </si>
  <si>
    <t>The research was included in the IMCOAST Project (www.imcoast.org) conducted in the framework of the PolarCLIMATE call of the European Research Council within the ERA-Net Europolar. The financial support for this study was received from the German Federal Ministry of Education and Research (grant no. 03F0617A). The project was further supported by the European Commission under the 7th Framework Programme through the Action - IMCONet (FP7 IRSES, action no. 319718). The multibeam data was provided by the United Kingdom Hydrographic Office (United Kingdom Hydrographic Office data (C) Crown copyright and database right). Special thanks go to the Commanding Officer, Captain Peter Sparkes RN, the Charge Surveyor, Lieutenant Commander Phil Payne RN, the Logistics Officer, Lieutenant Simon Lockley RN, and the Bathymetric Data Manager, Judith Thomas. We also want to thank the shipboard scientific party of ANT-XXIII/4 for obtaining the sediment core and seismic profiles. Special thanks go to the reviewers for providing insightful comments to this paper. Last but not least, we are grateful to the crew of Carlini Station from 2011-12 for logistic and technical support.</t>
  </si>
  <si>
    <t>10.1017/S0954102016000262</t>
  </si>
  <si>
    <t>WOS:000387980300009</t>
  </si>
  <si>
    <t>Tucker, NM; Hand, M</t>
  </si>
  <si>
    <t>Tucker, Naomi M.; Hand, Martin</t>
  </si>
  <si>
    <t>New constraints on metamorphism in the Highjump Archipelago, East Antarctica</t>
  </si>
  <si>
    <t>Bunger Hills; monazite geochronology; Musgrave-Albany-Fraser Orogen; P-T pseudosection</t>
  </si>
  <si>
    <t>ALBANY-FRASER OROGEN; ULTRAHIGH-TEMPERATURE METAMORPHISM; BUNGER-HILLS; MUSGRAVE PROVINCE; EVOLUTION; GRANULITES; AUSTRALIA; HISTORY; MAGMATISM; EQUATION</t>
  </si>
  <si>
    <t>The age and conditions of metamorphism in the Highjump Archipelago, East Antarctica, are investigated using samples collected during the 1986 Australian Antarctic expedition to the Bunger Hills-Denman Glacier region. In situ U-Pb dating of monazite from three metasedimentary rocks yields ages between c. 1240-1150Ma and a weighted mean Pb-207/Pb-206 age of 1183 +/- 8 Ma, consistent with previous constraints on the timing of metamorphism in this region and Stage 2 of the Albany-Fraser Orogeny in south-western Australia. This age is interpreted to date the development of garnet +/- sillimanite +/- rutile-bearing assemblages that formed at c. 850-950 degrees C and 6-9 kbar. Peak granulite facies metamorphism was followed by decompression, evidenced largely by the partial replacement of garnet by cordierite. These new pressure-temperature determinations suggest that the Highjump Archipelago attained slightly higher temperature and pressure conditions than previously proposed and that the rocks probably experienced a clockwise pressure-temperature evolution.</t>
  </si>
  <si>
    <t>[Tucker, Naomi M.; Hand, Martin] Univ Adelaide, Sch Phys Sci, Dept Earth Sci, Adelaide, SA 5005, Australia</t>
  </si>
  <si>
    <t>University of Adelaide</t>
  </si>
  <si>
    <t>Tucker, NM (corresponding author), Univ Adelaide, Sch Phys Sci, Dept Earth Sci, Adelaide, SA 5005, Australia.</t>
  </si>
  <si>
    <t>naomi.tucker@adelaide.edu.au</t>
  </si>
  <si>
    <t>Tucker, Naomi/0000-0002-6795-0903; hand, martin/0000-0003-3743-9706</t>
  </si>
  <si>
    <t>Australian Antarctic Science Project [4191]; Australian Postgraduate Award; Playford Trust PhD Scholarship</t>
  </si>
  <si>
    <t>Australian Antarctic Science Project; Australian Postgraduate Award(Australian Government); Playford Trust PhD Scholarship</t>
  </si>
  <si>
    <t>This work forms part of Australian Antarctic Science Project 4191. I. Fitzsimons and F. Korhonen are thanked for their thorough and constructive reviews of the manuscript. We gratefully acknowledge Geoscience Australia, and in particular Chris Carson, for the use of the samples reported in this study. B. Wade and A. McFadden, Adelaide Microscopy, are thanked for their support with analytical instrumentation. NMT acknowledges the support of an Australian Postgraduate Award and Playford Trust PhD Scholarship.</t>
  </si>
  <si>
    <t>10.1017/S095410201600033X</t>
  </si>
  <si>
    <t>WOS:000387980300010</t>
  </si>
  <si>
    <t>Clapcott, JE; Young, RG; Neale, MW; Doehring, K; Barmuta, LA</t>
  </si>
  <si>
    <t>Clapcott, J. E.; Young, R. G.; Neale, M. W.; Doehring, K.; Barmuta, L. A.</t>
  </si>
  <si>
    <t>Land use affects temporal variation in stream metabolism</t>
  </si>
  <si>
    <t>FRESHWATER SCIENCE</t>
  </si>
  <si>
    <t>ecosystem metabolism; GPP; ER; land use; variability; resistance; resilience; functional indicator; stream health; life supporting capacity</t>
  </si>
  <si>
    <t>GROSS PRIMARY PRODUCTION; ECOSYSTEM METABOLISM; FUNCTIONAL INDICATORS; BENTHIC METABOLISM; RIVER; DISTURBANCE; VARIABILITY; RESILIENCE; PERIPHYTON; RESPIRATION</t>
  </si>
  <si>
    <t>Stream metabolism (gross primary production and ecosystem respiration) is increasingly used to assess waterway health because mean values are responsive to spatial variation in land use, but little is known about how human land use influences the temporal variability of stream metabolism. We investigated daily variation in dissolved O-2 (DO) concentrations and calculated mean and within-season variation in gross primary production (GPP) and ecosystem respiration (ER) rates at 13 stream sites across a landuse intensity gradient in the Auckland region, New Zealand, over 9 y. Based on generalized linear mixed models, mean daily GPP (0.1-12.6 g O-2 m(-2) d(-1)) and ER (1.8-29.6 g O-2 m(-2) d(-1)) and seasonal variation in stream metabolism were significantly related to landuse intensity with higher variability associated with higher values of a landuse stress score. Overall, mean daily rates and day-to-day variation in GPP and ER were greatest in summer and least in winter. We recommend summer monitoring over a minimum 5-d period to assess stream health. Our results show that human land use affects the mean and the temporal variability of DO and stream metabolism. This finding has important consequences for characterizing in-stream processes and the resilience of stream ecosystems. Only long-term temporal monitoring provides the data needed to assess fully how streams function.</t>
  </si>
  <si>
    <t>[Clapcott, J. E.; Young, R. G.; Doehring, K.] Cawthron Inst, Private Bag 2, Nelson 7042, New Zealand; [Neale, M. W.] Auckland Council, Res Investigat &amp; Monitoring Unit, Private Bag 92300, Auckland 1142, New Zealand; [Barmuta, L. A.] Univ Tasmania, Sch Biol Sci, Private Bag 55, Hobart 7001, Australia; [Neale, M. W.] MartinJenkins, P Box 7551, Auckland 1141, New Zealand</t>
  </si>
  <si>
    <t>Cawthron Institute; University of Tasmania</t>
  </si>
  <si>
    <t>Clapcott, JE (corresponding author), Cawthron Inst, Private Bag 2, Nelson 7042, New Zealand.</t>
  </si>
  <si>
    <t>joanne.clapcott@cawthron.org.nz; roger.young@cawthron.org.nz; martin.neale@martinjenkins.co.nz; kati.doehring@cawthron.org.nz; leon.barmuta@utas.edu.au</t>
  </si>
  <si>
    <t>Neale, Martin/AAW-6089-2020; Young, Roger G/B-6534-2008; Barmuta, Leon/J-2413-2013</t>
  </si>
  <si>
    <t>Young, Roger G/0000-0002-0999-4887; Barmuta, Leon/0000-0002-8946-3727; Neale, Martin/0000-0002-9607-2791</t>
  </si>
  <si>
    <t>Ministry of Business, Innovation and Employment [C01X1002]; Auckland Council; Cawthron Institute; New Zealand Ministry of Business, Innovation &amp; Employment (MBIE) [C01X1002] Funding Source: New Zealand Ministry of Business, Innovation &amp; Employment (MBIE)</t>
  </si>
  <si>
    <t>Ministry of Business, Innovation and Employment(New Zealand Ministry of Business, Innovation and Employment (MBIE)); Auckland Council; Cawthron Institute; New Zealand Ministry of Business, Innovation &amp; Employment (MBIE)(New Zealand Ministry of Business, Innovation and Employment (MBIE))</t>
  </si>
  <si>
    <t>We are grateful to the Environmental Monitoring Team of Auckland Council for collecting and managing the continuous DO data. We thank Associate Editor Robert Hall and Annika Wagenhoff for editorial comments. We thank Simon Wotherspoon (Institute for Marine and Antarctic Studies, University of Tasmania) for further advice on GLMMs. Manuscript preparation was funded in part by Ministry of Business, Innovation and Employment Contract C01X1002, Auckland Council, and the Cawthron Institute.</t>
  </si>
  <si>
    <t>2161-9549</t>
  </si>
  <si>
    <t>2161-9565</t>
  </si>
  <si>
    <t>FRESHW SCI</t>
  </si>
  <si>
    <t>Freshw. Sci.</t>
  </si>
  <si>
    <t>10.1086/688872</t>
  </si>
  <si>
    <t>EC4FC</t>
  </si>
  <si>
    <t>WOS:000388080700009</t>
  </si>
  <si>
    <t>Kennicutt, MC; Rogan-Finnemore, M; Kim, Y; Shiraishi, K; Lopez-Martinez, J</t>
  </si>
  <si>
    <t>Kennicutt, Mahlon C., II; Rogan-Finnemore, Michelle; Kim, Yeadong; Shiraishi, Kazuyuki; Lopez-Martinez, Jeronimo</t>
  </si>
  <si>
    <t>The future of Antarctic Science is ours to define</t>
  </si>
  <si>
    <t>Lopez-Martinez, Jeronimo/C-5744-2011</t>
  </si>
  <si>
    <t>Lopez-Martinez, Jeronimo/0000-0002-1750-8287</t>
  </si>
  <si>
    <t>10.1017/S0954102016000523</t>
  </si>
  <si>
    <t>WOS:000387980300001</t>
  </si>
  <si>
    <t>Kennicutt, MC; Kim, YD; Rogan-Finnemore, M; Anandakrishnan, S; Chown, SL; Colwell, S; Cowan, D; Escutia, C; Frenot, Y; Hall, J; Liggett, D; Mcdonald, AJ; Nixdorf, U; Siegert, MJ; Storey, J; Wåhlin, A; Weatherwax, A; Wilson, GS; Wilson, T; Wooding, R; Ackley, S; Biebow, N; Blankenship, D; Bo, S; Baeseman, J; Cárdenas, CA; Cassano, J; Danhong, C; Dañobeitia, J; Francis, J; Guldahl, J; Hashida, G; Corbalán, LJ; Klepikov, A; Lee, J; Leppe, M; Lijun, F; López-Martinez, J; Memolli, M; Motoyoshi, Y; Bueno, RM; Negrete, J; Cárdenes, MAO; Silva, MP; Ramos-Garcia, S; Sala, H; Shin, H; Shijie, X; Shiraishi, K; Stockings, T; Trotter, S; Vaughan, DG; De Menezes, JVD; Vlasich, V; Weijia, Q; Winther, JG; Miller, H; Rintoul, S; Yang, H</t>
  </si>
  <si>
    <t>Kennicutt, M. C., II; Kim, Y. D.; Rogan-Finnemore, M.; Anandakrishnan, S.; Chown, S. L.; Colwell, S.; Cowan, D.; Escutia, C.; Frenot, Y.; Hall, J.; Liggett, D.; Mcdonald, A. J.; Nixdorf, U.; Siegert, M. J.; Storey, J.; Wahlin, A.; Weatherwax, A.; Wilson, G. S.; Wilson, T.; Wooding, R.; Ackley, S.; Biebow, N.; Blankenship, D.; Bo, S.; Baeseman, J.; Cardenas, C. A.; Cassano, J.; Danhong, C.; Danobeitia, J.; Francis, J.; Guldahl, J.; Hashida, G.; Jimenez Corbalan, L.; Klepikov, A.; Lee, J.; Leppe, M.; Lijun, F.; Lopez-Martinez, J.; Memolli, M.; Motoyoshi, Y.; Mousalle Bueno, R.; Negrete, J.; Ojeda Cardenes, M. A.; Proano Silva, M.; Ramos-Garcia, S.; Sala, H.; Shin, H.; Shijie, X.; Shiraishi, K.; Stockings, T.; Trotter, S.; Vaughan, D. G.; Viera Da Unha De Menezes, J.; Vlasich, V.; Weijia, Q.; Winther, J. -G.; Miller, H.; Rintoul, S.; Yang, H.</t>
  </si>
  <si>
    <t>Delivering 21st century Antarctic and Southern Ocean science</t>
  </si>
  <si>
    <t>access; future directions; infrastructure; logistics; technologies</t>
  </si>
  <si>
    <t>TOTTEN GLACIER; ICE</t>
  </si>
  <si>
    <t>The Antarctic Roadmap Challenges (ARC) project identified critical requirements to deliver high priority Antarctic research in the 21st century. The ARC project addressed the challenges of enabling technologies, facilitating access, providing logistics and infrastructure, and capitalizing on international co-operation. Technological requirements include: i) innovative automated in situ observing systems, sensors and interoperable platforms (including power demands), ii) realistic and holistic numerical models, iii) enhanced remote sensing and sensors, iv) expanded sample collection and retrieval technologies, and v) greater cyber-infrastructure to process 'big data' collection, transmission and analyses while promoting data accessibility. These technologies must be widely available, performance and reliability must be improved and technologies used elsewhere must be applied to the Antarctic. Considerable Antarctic research is field-based, making access to vital geographical targets essential. Future research will require continent- and ocean-wide environmentally responsible access to coastal and interior Antarctica and the Southern Ocean. Year-round access is indispensable. The cost of future Antarctic science is great but there are opportunities for all to participate commensurate with national resources, expertise and interests. The scope of future Antarctic research will necessitate enhanced and inventive interdisciplinary and international collaborations. The full promise of Antarctic science will only be realized if nations act together.</t>
  </si>
  <si>
    <t>[Kennicutt, M. C., II; Ackley, S.] Texas A&amp;M Univ, College Stn, TX 77843 USA; [Kim, Y. D.; Lee, J.; Shin, H.] Korean Polar Res Inst, Inchon, South Korea; [Rogan-Finnemore, M.] COMNAP Secretariat, Christchurch, New Zealand; [Anandakrishnan, S.] Penn State Univ, University Pk, PA 16802 USA; [Chown, S. L.] Monash Univ, Clayton, Vic 3800, Australia; [Colwell, S.; Hall, J.; Francis, J.; Stockings, T.; Vaughan, D. G.] British Antarctic Survey, Cambridge, England; [Cowan, D.] Univ Pretoria, Pretoria, South Africa; [Escutia, C.] Inst Andaluz Ciencias Tierra, Armilla, Spain; [Frenot, Y.] Inst Polaire Francais Paul Emile Victor, Plouzane, France; [Liggett, D.; Mcdonald, A. J.] Univ Canterbury, Christchurch, New Zealand; [Nixdorf, U.; Miller, H.] Alfred Wegener Inst, Bremerhaven, Germany; [Siegert, M. J.] Imperial Coll London, London, England; [Wahlin, A.] Univ Gothenburg, Gothenburg, Sweden; [Wilson, G. S.] New Zealand Antarctic Res Inst, Christchurch, New Zealand; [Wilson, T.] Ohio State Univ, Columbus, OH 43210 USA; [Wooding, R.] Australian Antarctic Div, Hobart, Tas, Australia; [Biebow, N.] PolarNet Project Off, Bremerhaven, Germany; [Blankenship, D.] Univ Texas Austin, Austin, TX 78712 USA; [Bo, S.; Yang, H.] Polar Res Inst China, Shanghai, Peoples R China; [Baeseman, J.] Sci Comm Antarctic Res Secretriat, Cambridge, England; [Cardenas, C. A.; Leppe, M.] Inst Antartico Chileno, Punta Arenas, Chile; [Cassano, J.] Univ Colorado, Boulder, CO 80309 USA; [Danhong, C.; Lijun, F.; Shijie, X.; Weijia, Q.] Chinese Arctic and Antarctic Adm, Beijing, Peoples R China; [Danobeitia, J.] Unidad Tecnol Marina, Barcelona, Spain; [Guldahl, J.; Winther, J. -G.] Norwegian Polar Res Inst, Tromso, Norway; [Hashida, G.; Motoyoshi, Y.; Shiraishi, K.] Natl Inst Polar Res, Tachikawa, Tokyo, Japan; [Jimenez Corbalan, L.] Antarctic Logist Div, Buenos Aires, DF, Argentina; [Klepikov, A.] Arctic &amp; Antarctic Res Inst, St Petersburg, Russia; [Lopez-Martinez, J.] Univ Autonoma Madrid, Madrid, Spain; [Memolli, M.; Vlasich, V.] Direcc Nacl Antartico, Buenos Aires, DF, Argentina; [Mousalle Bueno, R.; Viera Da Unha De Menezes, J.] Programa Antartico Brasileiro, Brasilia, DF, Brazil; [Negrete, J.] Univ Nacl La Plata, Fac Ciencias Nat &amp; Museo, Inst Antartico Argentino, La Plata, Buenos Aires, Argentina; [Ojeda Cardenes, M. A.] CSIC, Barcelona, Spain; [Proano Silva, M.] Ecuadorian Antarctic Inst, Guayaquil, Ecuador; [Ramos-Garcia, S.] Spanish Polar Comm Tech Secretariat, Madrid, Spain; [Sala, H.] Direcc Nacl Antartico, Inst Antartico Argentino, Buenos Aires, DF, Argentina; [Trotter, S.] Antarctica New Zealand, Christchurch, New Zealand; [Rintoul, S.] CSIRO, Antarctic Climate &amp; Ecosyst Cooperat Res Ctr, Hobart, Tas, Australia</t>
  </si>
  <si>
    <t>Texas A&amp;M University System; Texas A&amp;M University College Station; Korea Polar Research Institute (KOPRI); Pennsylvania Commonwealth System of Higher Education (PCSHE); Pennsylvania State University; Pennsylvania State University - University Park; Monash University; UK Research &amp; Innovation (UKRI); Natural Environment Research Council (NERC); NERC British Antarctic Survey; University of Pretoria; Consejo Superior de Investigaciones Cientificas (CSIC); CSIC - Instituto Andaluz de Ciencias de la Tierra (IACT); University of Canterbury; Helmholtz Association; Alfred Wegener Institute, Helmholtz Centre for Polar &amp; Marine Research; Imperial College London; University of Gothenburg; University System of Ohio; Ohio State University; Australian Antarctic Division; University of Texas System; University of Texas Austin; Polar Research Institute of China; University of Colorado System; University of Colorado Boulder; Consejo Superior de Investigaciones Cientificas (CSIC); CSIC - Centro Mediterraneo de Investigaciones Marinas y Ambientales (CMIMA); CSIC - Unidad de Tecnologia Marina (UTM); Norwegian Polar Institute; Research Organization of Information &amp; Systems (ROIS); National Institute of Polar Research (NIPR) - Japan; Arctic &amp; Antarctic Research Institute; Autonomous University of Madrid; National University of La Plata; Museo La Plata; Instituto Antartico Argentino; Consejo Superior de Investigaciones Cientificas (CSIC); Instituto Antartico Argentino; Commonwealth Scientific &amp; Industrial Research Organisation (CSIRO); Antarctic Climate &amp; Ecosystems Cooperative Research Centre (ACE CRC)</t>
  </si>
  <si>
    <t>Kennicutt, MC (corresponding author), Texas A&amp;M Univ, College Stn, TX 77843 USA.</t>
  </si>
  <si>
    <t>mckennicutt@gmail.com</t>
  </si>
  <si>
    <t>Rintoul, Stephen R/A-1471-2012; Cowan, Donald A/E-3991-2012; Lopez-Martinez, Jeronimo/C-5744-2011; Cassano, John/HKW-8817-2023; Wilson, Gary S/B-3803-2010; Leppe, Marcelo/L-5447-2014; Chown, Steven/ABD-7646-2021; Anandakrishnan, Sridhar/JCN-5026-2023; Siegert, Martin/M-9939-2019; Siegert, Martin J/A-3826-2008; Wåhlin, Anna/U-3790-2017; Cardenas, Cesar/ABF-1664-2020; Vaughan, David/C-8348-2011; Escutia, Carlota/B-8614-2015</t>
  </si>
  <si>
    <t>Rintoul, Stephen R/0000-0002-7055-9876; Cowan, Donald A/0000-0001-8059-861X; Lopez-Martinez, Jeronimo/0000-0002-1750-8287; Leppe, Marcelo/0000-0002-1545-8167; Siegert, Martin/0000-0002-0090-4806; Siegert, Martin J/0000-0002-0090-4806; Wåhlin, Anna/0000-0003-1799-6476; Liggett, Daniela/0000-0003-4184-5205; Escutia, Carlota/0000-0002-4932-8619; Wilson, Gary/0000-0003-0025-3641; Negrete, Javier/0000-0001-6853-8307; Vaughan, David/0000-0002-9065-0570; Kennicutt II, Mahlon C./0000-0001-7850-4266; Weatherwax, Allan/0000-0003-4732-358X; Cardenas, Cesar/0000-0001-6662-6899</t>
  </si>
  <si>
    <t>Council of Managers of National Antarctic Programs (COMNAP); Tinker Foundation; Scientific Committee on Antarctic Research (SCAR); Office of Polar Programs (OPP); Directorate For Geosciences [1245737, 1341717] Funding Source: National Science Foundation; NERC [bas0100032, bas010011, NE/G00465X/3] Funding Source: UKRI; Natural Environment Research Council [bas010011, NE/G00465X/3, bas0100032] Funding Source: researchfish; The British Council [GII203] Funding Source: researchfish</t>
  </si>
  <si>
    <t>Council of Managers of National Antarctic Programs (COMNAP); Tinker Foundation; Scientific Committee on Antarctic Research (SCAR);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 The British Council</t>
  </si>
  <si>
    <t>The authors recognize the financial support that made the Scan and ARC possible. The Council of Managers of National Antarctic Programs (COMNAP), the Tinker Foundation and the Scientific Committee on Antarctic Research (SCAR) provided the majority of the funding for this project including the costs of travel and participation of invited, non-COMNAP workshop attendees. In-kind support was provided by many COMNAP-Member national Antarctic programmes including Direccion Nacional del Antartico (DNA, Argentina), Australian Antarctic Division (AAD, Australia), Programa Antartico Brasileiro (PROANTAR, Brazil), Instituto Antartico Chileno (INACH, Chile), Polar Research Institute of China (PRIC, China), Instituto Antartico Ecuatoriano (INAE, Ecuador), Institut Polaire Francais Paul Emile Victor (IPEV, France), Alfred Wegener Institute (AWI, Germany), National Institute of Polar Research (NIPR, Japan), Korea Polar Research Institute (KOPRI, Republic of Korea), Antarctica New Zealand (New Zealand), Arctic and Antarctic Research Institute (AARI, Russia), Spanish Polar Committee (CPE, Spain), British Antarctic Survey (BAS, UK), and the US National Science Foundation (NSF, USA). The support of the COMNAP Secretariat, the SCAR Secretariat, and the staff at the Norwegian Polar Institute who hosted the workshop is gratefully recognized. The authors thank seventeen reviewers for their constructive comments that improved the Writing Group reports. Finally, thank you to those who provided topical White Papers for consideration. The authors also thank two anonymous reviewers.</t>
  </si>
  <si>
    <t>10.1017/S0954102016000481</t>
  </si>
  <si>
    <t>Green Accepted, Green Published, hybrid, Green Submitted</t>
  </si>
  <si>
    <t>WOS:000387980300002</t>
  </si>
  <si>
    <t>Lavin, PL; Yong, ST; Wong, CMVL; De Stefano, M</t>
  </si>
  <si>
    <t>Leonardo Lavin, Paris; Yong, Sheau Ting; Wong, Clemente M. V. L.; De Stefano, Mario</t>
  </si>
  <si>
    <t>Isolation and characterization of Antarctic psychrotroph Streptomyces sp strain INACH3013</t>
  </si>
  <si>
    <t>antimicrobial; foodborne pathogens; psychrotolerant; South Shetland Islands</t>
  </si>
  <si>
    <t>NATURAL-PRODUCT DISCOVERY; SPECTRUM BETA-LACTAMASE; ANTIBIOTIC-RESISTANCE; METABOLITES; DIVERSITY; BACTERIA; SEAWATER; REGION; SOILS; MODEL</t>
  </si>
  <si>
    <t>An actinobacterial strain with antimicrobial activity, INACH3013, was isolated from soil collected from Antarctica. The taxonomic status of the isolate was established using a polyphasic approach. The strain was identified as belonging to the genus Streptomyces based on the scanning electron microscopic observation and partial 16S rRNA gene sequence analysis. The sequence analysis revealed that strain INACH3013 is closely related to Streptomyces fildesensis (99.8%), S. beijiangensis (98.1%) and S. purpureus (97.2%). A phylogenetic tree constructed using the partial 16S rRNA gene sequences of strain INACH3013 and closely related strains revealed that INACH3013 fell into the same subclade as S. fildesensis and S. purpureus. Strain INACH3013 was observed to be psychrotolerant, slightly halotolerant (up to 5% NaCl) and capable of inhibiting the growth of seven Gram-negative and eight Gram-positive foodborne pathogens. The GenBank/EMBL/DDBJ accession number for the 16S rRNA gene sequence of the strain is KJ624755.</t>
  </si>
  <si>
    <t>[Leonardo Lavin, Paris] Inst Antartico Chileno, Lab Biorrecursos, Punta Arenas, Chile; [Yong, Sheau Ting; Wong, Clemente M. V. L.] Univ Malaysia Sabah, Biotechnol Res Inst, Jalan UMS, Sabah, Malaysia; [Wong, Clemente M. V. L.] Univ Malaya, Natl Antarctic Res Ctr, Kuala Lumpur 50603, Malaysia; [De Stefano, Mario] II Univ Naples, Dept Environm Biol &amp; Pharmaceut Sci &amp; Technol, Naples, Italy</t>
  </si>
  <si>
    <t>Universiti Malaysia Sabah; Universiti Malaya; Universita della Campania Vanvitelli</t>
  </si>
  <si>
    <t>Lavin, PL (corresponding author), Inst Antartico Chileno, Lab Biorrecursos, Punta Arenas, Chile.</t>
  </si>
  <si>
    <t>palavin@gmail.com</t>
  </si>
  <si>
    <t>Lavin, Paris/AAI-9053-2020; Wong, Clemente Michael Vui Ling/M-8372-2013</t>
  </si>
  <si>
    <t>Wong, Clemente Michael Vui Ling/0000-0003-3431-8896; DE STEFANO, Mario/0000-0003-0342-192X; Lavin, Paris/0000-0002-8893-526X</t>
  </si>
  <si>
    <t>Insercion de Capital humano, Chile [78111301]; CONICYT, Chile; Instituto Antartico Chileno (INACH), Chile; SultanMizan Antarctic Research Foundation (YPASM), Malaysia; Malaysian Antarctic Research Programme (MARP), Malaysia; Academy of Sciences Malaysia (ASM), Malaysia; Ministry of Science, Technology and Innovation (MOSTI), Malaysia</t>
  </si>
  <si>
    <t>Insercion de Capital humano, Chile; CONICYT, Chile(Comision Nacional de Investigacion Cientifica y Tecnologica (CONICYT)); Instituto Antartico Chileno (INACH), Chile; SultanMizan Antarctic Research Foundation (YPASM), Malaysia; Malaysian Antarctic Research Programme (MARP), Malaysia; Academy of Sciences Malaysia (ASM), Malaysia; Ministry of Science, Technology and Innovation (MOSTI), Malaysia(Ministry of Energy, Science, Technology, Environment and Climate Change (MESTECC), Malaysia)</t>
  </si>
  <si>
    <t>This work was funded by the Insercion de Capital humano (No. 78111301), CONICYT, Instituto Antartico Chileno (INACH), Chile, and the SultanMizan Antarctic Research Foundation (YPASM), Malaysian Antarctic Research Programme (MARP), Academy of Sciences Malaysia (ASM), Ministry of Science, Technology and Innovation (MOSTI), Malaysia. The authors would like to thank personnel at the INACH for their logistical support in Antarctica and the Instituto de Salud Publica for the Listeria strains. We would also like to extend our thanks to the reviewers for their suggestions that helped to improve the quality of the manuscript.</t>
  </si>
  <si>
    <t>10.1017/S0954102016000250</t>
  </si>
  <si>
    <t>WOS:000387980300004</t>
  </si>
  <si>
    <t>Park, CH; Kim, KM; Kim, OS; Jeong, G; Hong, SG</t>
  </si>
  <si>
    <t>Park, Chae Haeng; Kim, Kyung Mo; Kim, Ok-Sun; Jeong, Gajin; Hong, Soon Gyu</t>
  </si>
  <si>
    <t>Bacterial communities in Antarctic lichens</t>
  </si>
  <si>
    <t>Cladonia; lichen-associated bacteria; Umbilicaria; Usnea</t>
  </si>
  <si>
    <t>DIVERSITY; SEQUENCES; BIODIVERSITY; MICROBIOME; PHOSPHATE; GEOGRAPHY; REVEALS</t>
  </si>
  <si>
    <t>To date, many studies surveying the bacterial communities in lichen thalli from diverse geographical areas have shown that Alphaproteobacteria is the predominant bacterial class in most lichens. In this study, bacterial communities in several Antarctic lichens with different growth form and substrates were analysed. The bacterial community composition in fruticose and foliose lichens, Cladonia, Umbilicaria and Usnea, and crustose lichens, Buelia granulosa, Amandinea coniops and Ochrolechia parella, from King George Island was analysed by pyrosequencing of bacterial 16S rRNA genes. Results showed that Proteobacteria, Acidobacteria, Actinobacteria and Bacteroidetes were predominant phyla. The predominant bacterial class in most of the samples was Alphaproteobacteria. Acetobacteriaceae of the order Rhodospiralles in Alphaproteobacteria was the most abundant bacterial family in Antarctic lichens. The LAR1 lineage of the order Rhizobiales, a putative N-fixer which has been frequently observed in lichens from temperate areas, was detected only from a few samples at low frequency. It is expected that other bacterial taxa are working as N-fixers in Antarctic lichens. From the PCoA analysis of the Fast UniFrac distance matrix, it was proposed that the microbial community structures in Antarctic lichens were affected by host species, growth form and substrates.</t>
  </si>
  <si>
    <t>[Park, Chae Haeng; Kim, Ok-Sun; Hong, Soon Gyu] Korea Polar Res Inst, Div Polar Life Sci, 26 Songdomirae Ro, Inchon, South Korea; [Park, Chae Haeng; Jeong, Gajin] Seoul Natl Univ, Sch Biol Sci, Coll Nat Sci, 1 Gwanak Ro, Seoul, South Korea; [Kim, Kyung Mo] Korea Res Inst Biosci &amp; Biotechnol, Korean Bioinformat Ctr, 111 Gwahangno, Daejeon, South Korea</t>
  </si>
  <si>
    <t>Korea Polar Research Institute (KOPRI); Korea Institute of Ocean Science &amp; Technology (KIOST); Seoul National University (SNU); Korea Research Institute of Bioscience &amp; Biotechnology (KRIBB)</t>
  </si>
  <si>
    <t>Park, CH (corresponding author), Korea Polar Res Inst, Div Polar Life Sci, 26 Songdomirae Ro, Inchon, South Korea.</t>
  </si>
  <si>
    <t>polypore@kopri.re.kr</t>
  </si>
  <si>
    <t>Park, Chae Haeng/AAP-3939-2020</t>
  </si>
  <si>
    <t>Korea Polar Research Institute [PE10050, PE11030, PE15020]</t>
  </si>
  <si>
    <t>We are grateful for the valuable comments of the reviewers which improved this paper. This work was supported by Korea Polar Research Institute (Grant PE10050, PE11030 and PE15020).</t>
  </si>
  <si>
    <t>10.1017/S0954102016000286</t>
  </si>
  <si>
    <t>WOS:000387980300006</t>
  </si>
  <si>
    <t>Dunlop, RA; Noad, MJ</t>
  </si>
  <si>
    <t>Dunlop, Rebecca A.; Noad, Michael J.</t>
  </si>
  <si>
    <t>The risky business of singing: tactical use of song during joining by male humpback whales</t>
  </si>
  <si>
    <t>BEHAVIORAL ECOLOGY AND SOCIOBIOLOGY</t>
  </si>
  <si>
    <t>Audience effect; Communication strategy; Communication network; Vocal eavesdropping; Sexual signal</t>
  </si>
  <si>
    <t>SIAMESE FIGHTING FISH; MALE MATING SUCCESS; MEGAPTERA-NOVAEANGLIAE; SEXUAL SELECTION; AUDIENCE; COURTSHIP; BEHAVIOR; COMMUNICATION; CHIMPANZEES; DISPLAYS</t>
  </si>
  <si>
    <t>Balancing the costs and benefits of emitting a mating signal is complex. There are direct costs, such as time taken away from essential activities like feeding, and indirect costs, such as attracting unintended receivers, who may gain advantageous information from eavesdropping. As a consequence, the signaler may reduce his chances of mating if the costs outweigh the benefits. Male humpback whales (Megaptera noveangliae) sing. Although it is still unclear whether this signal is aimed at males, females, or both, it is generally accepted this is a breeding signal emitted in the presence of females. This study tested the hypothesis that the cost of singing in humpback whales is attracting other competitors to the group and therefore reducing the chances of the singer successfully mating. Males should therefore choose to sing only if the social conditions are not costly. We found that males were less likely to sing when joining another group if there were two or more adults already in the group (other competitive males), if there was another singing male in the area (a known competitor), and in higher group densities (resulting in an increased likelihood of having another group, and therefore other competitive males close by). This result was confirmed in later years, where the density of whales had increased substantially but the probability of a male singing while joining other animals had reduced. These groups were more likely to be joined by additional animals in higher density, riskier conditions, especially if they included a whale that had joined the group previously while singing. It seems, therefore, that male humpback whales will join other animals while singing when the 'audience' comprises of fewer competitive males to reduce the potential cost of attracting eavesdroppers to the group. Significance statement The likelihood of a male joining a group while singing was tested against within-group dynamics (number of additional competitive males, presence of a calf), the presence of a nearby singing whale, the nearest neighbor, and the number of groups in the area (group density). Whales were more likely to join groups while singing if there were no other competitive males in the group and no calf, if there were no other singing whales in the area, and if group density was low. In later years, group density substantially increased, resulting in a decrease in the likelihood of a whale joining a group while singing. Results suggest male humpback whales are monitoring their audience composition (surrounding conspecifics) and using this information to make vocal decisions when joining a group containing a female.</t>
  </si>
  <si>
    <t>[Dunlop, Rebecca A.; Noad, Michael J.] Univ Queensland, Sch Vet Sci, Cetacean Ecol &amp; Acoust Lab, Gatton, Qld 4343, Australia</t>
  </si>
  <si>
    <t>University of Queensland</t>
  </si>
  <si>
    <t>Dunlop, RA (corresponding author), Univ Queensland, Sch Vet Sci, Cetacean Ecol &amp; Acoust Lab, Gatton, Qld 4343, Australia.</t>
  </si>
  <si>
    <t>r.dunlop@uq.edu.au</t>
  </si>
  <si>
    <t>Noad, Michael/D-7975-2013</t>
  </si>
  <si>
    <t>Noad, Michael/0000-0002-2799-8320</t>
  </si>
  <si>
    <t>US Office of Naval Research; Australian Defence Science and Technology Organisation; Australian Marine Mammal Centre division of the Australian Antarctic Division; Joint Industry Programme on E&amp;P Sound and Marine Life; United States Bureau of Ocean Energy Management (BOEM)</t>
  </si>
  <si>
    <t>US Office of Naval Research(Office of Naval Research); Australian Defence Science and Technology Organisation; Australian Marine Mammal Centre division of the Australian Antarctic Division; Joint Industry Programme on E&amp;P Sound and Marine Life; United States Bureau of Ocean Energy Management (BOEM)</t>
  </si>
  <si>
    <t>This work was funded by The US Office of Naval Research (2002-2004), the Australian Defence Science and Technology Organisation (2002-2008), the Australian Marine Mammal Centre division of the Australian Antarctic Division (2008) and (together) the Joint Industry Programme on E&amp;P Sound and Marine Life, and the United States Bureau of Ocean Energy Management (BOEM) (2010 and 2011).</t>
  </si>
  <si>
    <t>0340-5443</t>
  </si>
  <si>
    <t>1432-0762</t>
  </si>
  <si>
    <t>BEHAV ECOL SOCIOBIOL</t>
  </si>
  <si>
    <t>Behav. Ecol. Sociobiol.</t>
  </si>
  <si>
    <t>10.1007/s00265-016-2218-8</t>
  </si>
  <si>
    <t>Behavioral Sciences; Ecology; Zoology</t>
  </si>
  <si>
    <t>Behavioral Sciences; Environmental Sciences &amp; Ecology; Zoology</t>
  </si>
  <si>
    <t>EB8QW</t>
  </si>
  <si>
    <t>WOS:000387656900015</t>
  </si>
  <si>
    <t>Mellin, C; Lurgi, M; Matthews, S; MacNeil, MA; Caley, MJ; Bax, N; Przeslawski, R; Fordham, DA</t>
  </si>
  <si>
    <t>Mellin, C.; Lurgi, M.; Matthews, S.; MacNeil, M. A.; Caley, M. J.; Bax, N.; Przeslawski, R.; Fordham, D. A.</t>
  </si>
  <si>
    <t>Forecasting marine invasions under climate change: Biotic interactions and demographic processes matter</t>
  </si>
  <si>
    <t>MODELING SPECIES DISTRIBUTIONS; GREAT-BARRIER-REEF; ACANTHASTER-PLANCI; RANGE DYNAMICS; SENSITIVITY-ANALYSIS; POPULATION-DYNAMICS; JELLYFISH; MANAGEMENT; RESPONSES; OUTBREAKS</t>
  </si>
  <si>
    <t>Biological invasions are one of the most significant threats to marine biodiversity, and can be facilitated and amplified by climate change. Among all aspects of invasion biology, biotic interactions between invaders and native species are of particular importance. They strongly influence the invasion velocity as well as species responses to climate-induced stressors. Yet the effects of biotic interactions and other important demographic processes remain overlooked among most studies of climate-mediated invasions. We critically assessed current modelling techniques for forecasting marine invasions under climate change, with a particular focus on their ability to account for important biotic interactions and demographic processes. We show that coupled range dynamics models currently represent the most comprehensive and promising approach for modelling and managing marine invasions under climate change. We show, using the crown-of-thorns seastar (Acanthaster planci), why model architectures that account for biotic interactions and demographic and spatial processes (and their interaction) are required to provide ecologically realistic predictions of the distribution and abundance of invader species, both under present-day conditions and into the future. We suggest potential solutions to inform data-poor situations, such as Bayesian parameter estimation and meta-analysis, and identify strategic and targeted gaps in marine invasion research. (C) 2016 Elsevier Ltd. All rights reserved.</t>
  </si>
  <si>
    <t>[Mellin, C.; Lurgi, M.; MacNeil, M. A.; Fordham, D. A.] Australian Inst Marine Sci, Townsville MC, PMB 3, Townsville, Qld 4810, Australia; [Mellin, C.; Matthews, S.] Univ Adelaide, Inst Environm, Adelaide, SA 5005, Australia; [Mellin, C.; Matthews, S.] Univ Adelaide, Sch Biol Sci, G02 Benham Bldg,North Terrace Campus, Adelaide, SA 5005, Australia; [Matthews, S.] James Cook Univ, Ctr Excellence Coral Reef Studies, Australian Res Council, Townsville, Qld 4811, Australia; [Caley, M. J.] Queensland Univ Technol, Sch Math Sci, Brisbane, Qld 4001, Australia; [Caley, M. J.] Australian Res Council, Ctr Excellence Math &amp; Stat Frontiers, Canberra, ACT, Australia; [Bax, N.] CSIRO, Hobart, Tas 7001, Australia; [Bax, N.] Univ Tasmania, Inst Marine &amp; Antarctic Sci, Hobart, Tas 7000, Australia; [Przeslawski, R.] Geosci Australia, GPO 378, Canberra, ACT 2601, Australia</t>
  </si>
  <si>
    <t>Australian Institute of Marine Science; University of Adelaide; University of Adelaide; James Cook University; Queensland University of Technology (QUT); Commonwealth Scientific &amp; Industrial Research Organisation (CSIRO); University of Tasmania; Geoscience Australia</t>
  </si>
  <si>
    <t>Mellin, C (corresponding author), Univ Adelaide, Sch Biol Sci, G02 Benham Bldg,North Terrace Campus, Adelaide, SA 5005, Australia.</t>
  </si>
  <si>
    <t>camille.mellin@adelaide.edu.au</t>
  </si>
  <si>
    <t>Przeslawski, Rachel/IRZ-9563-2023; Mellin, Camille/X-9161-2019; Mellin, Camille/AAB-1768-2019; MacNeil, M. Aaron/ABD-6444-2021; Fordham, Damien/E-9255-2013; Bax, Nicholas/A-2321-2012</t>
  </si>
  <si>
    <t>Mellin, Camille/0000-0002-7369-2349; Mellin, Camille/0000-0002-7369-2349; MacNeil, M. Aaron/0000-0001-8406-325X; Lurgi, Miguel/0000-0001-9891-895X; Matthews, Samuel/0000-0003-1936-1220; Przeslawski, Rachel/0000-0003-0269-3755; Fordham, Damien/0000-0003-2137-5592; Bax, Nicholas/0000-0002-9697-4963</t>
  </si>
  <si>
    <t>10.1016/j.biocon.2016.11.008</t>
  </si>
  <si>
    <t>EG3TZ</t>
  </si>
  <si>
    <t>WOS:000390968900038</t>
  </si>
  <si>
    <t>Grant, ER; Ross, AN; Gardiner, BA</t>
  </si>
  <si>
    <t>Grant, Eleanor R.; Ross, Andrew N.; Gardiner, Barry A.</t>
  </si>
  <si>
    <t>Modelling Canopy Flows over Complex Terrain</t>
  </si>
  <si>
    <t>BOUNDARY-LAYER METEOROLOGY</t>
  </si>
  <si>
    <t>Complex terrain; First-order mixing-length closure; Flow separation; Forest canopy; Numerical modelling</t>
  </si>
  <si>
    <t>LARGE-EDDY SIMULATION; NEUTRAL TURBULENT-FLOW; NUMERICAL SIMULATIONS; SCALAR TRANSPORT; FOREST CANOPY; HILLY TERRAIN; EDGE FLOW; WIND; 1ST-ORDER; CLOSURE</t>
  </si>
  <si>
    <t>Recent studies of flow over forested hills have been motivated by a number of important applications including understanding CO and other gaseous fluxes over forests in complex terrain, predicting wind damage to trees, and modelling wind energy potential at forested sites. Current modelling studies have focussed almost exclusively on highly idealized, and usually fully forested, hills. Here, we present model results for a site on the Isle of Arran, Scotland with complex terrain and heterogeneous forest canopy. The model uses an explicit representation of the canopy and a 1.5-order turbulence closure for flow within and above the canopy. The validity of the closure scheme is assessed using turbulence data from a field experiment before comparing predictions of the full model with field observations. For near-neutral stability, the results compare well with the observations, showing that such a relatively simple canopy model can accurately reproduce the flow patterns observed over complex terrain and realistic, variable forest cover, while at the same time remaining computationally feasible for real case studies. The model allows closer examination of the flow separation observed over complex forested terrain. Comparisons with model simulations using a roughness length parametrization show significant differences, particularly with respect to flow separation, highlighting the need to explicitly model the forest canopy if detailed predictions of near-surface flow around forests are required.</t>
  </si>
  <si>
    <t>[Grant, Eleanor R.; Ross, Andrew N.] Univ Leeds, Inst Climate &amp; Atmospher Sci, Sch Earth &amp; Environm, Leeds, W Yorkshire, England; [Grant, Eleanor R.] British Antarctic Survey, High Cross,Madingley Rd, Cambridge CB3 0ET, England; [Gardiner, Barry A.] Northern Res Stn, Forest Res, Roslin EH25 9SY, Midlothian, Scotland; [Gardiner, Barry A.] INRA, UMR ISPA 1391, F-33140 Villenave Dornon, France; [Gardiner, Barry A.] Bordeaux Sci Agro, UMR ISPA 1391, F-33170 Gradignan, France</t>
  </si>
  <si>
    <t>University of Leeds; UK Research &amp; Innovation (UKRI); Natural Environment Research Council (NERC); NERC British Antarctic Survey; INRAE</t>
  </si>
  <si>
    <t>Ross, AN (corresponding author), Univ Leeds, Inst Climate &amp; Atmospher Sci, Sch Earth &amp; Environm, Leeds, W Yorkshire, England.</t>
  </si>
  <si>
    <t>A.N.Ross@leeds.ac.uk</t>
  </si>
  <si>
    <t>Ross, Andrew N/D-9312-2011</t>
  </si>
  <si>
    <t>Ross, Andrew N/0000-0002-8631-3512</t>
  </si>
  <si>
    <t>Natural Environment Research Council (NERC) [NE/C003691/1]; NERC Collaborative Award in Science and Engineering (CASE) with Forest Research; NERC [NE/C003691/1] Funding Source: UKRI; Natural Environment Research Council [NE/C003691/1] Funding Source: researchfish</t>
  </si>
  <si>
    <t>Natural Environment Research Council (NERC)(UK Research &amp; Innovation (UKRI)Natural Environment Research Council (NERC)); NERC Collaborative Award in Science and Engineering (CASE) with Forest Research; NERC(UK Research &amp; Innovation (UKRI)Natural Environment Research Council (NERC)); Natural Environment Research Council(UK Research &amp; Innovation (UKRI)Natural Environment Research Council (NERC))</t>
  </si>
  <si>
    <t>This work was funded by Natural Environment Research Council (NERC) grant NE/C003691/1. E.R.G. would like to acknowledge additional support through a NERC Collaborative Award in Science and Engineering (CASE) with Forest Research.</t>
  </si>
  <si>
    <t>0006-8314</t>
  </si>
  <si>
    <t>1573-1472</t>
  </si>
  <si>
    <t>BOUND-LAY METEOROL</t>
  </si>
  <si>
    <t>Bound.-Layer Meteor.</t>
  </si>
  <si>
    <t>10.1007/s10546-016-0176-3</t>
  </si>
  <si>
    <t>ED1EB</t>
  </si>
  <si>
    <t>WOS:000388586100002</t>
  </si>
  <si>
    <t>Grotti, M; Pizzini, S; Abelmoschi, ML; Cozzi, G; Piazza, R; Soggia, F</t>
  </si>
  <si>
    <t>Grotti, Marco; Pizzini, Sarah; Abelmoschi, Maria Luisa; Cozzi, Giulio; Piazza, Rossano; Soggia, Francesco</t>
  </si>
  <si>
    <t>Retrospective biomonitoring of chemical contamination in the marine coastal environment of Terra Nova Bay (Ross Sea, Antarctica) by environmental specimen banking</t>
  </si>
  <si>
    <t>CHEMOSPHERE</t>
  </si>
  <si>
    <t>Antarctica; Biomonitoring; Antarctic Environmental Specimen Bank; Persistent organic pollutants; Trace elements</t>
  </si>
  <si>
    <t>DIPHENYL ETHERS PBDES; POLYCHLORINATED-BIPHENYLS PCBS; PERSISTENT ORGANIC POLLUTANTS; TRACE-ELEMENT CONTAMINATION; KING GEORGE ISLAND; ORGANOCHLORINE PESTICIDES; FLAME RETARDANTS; METALS; AEROSOL; BIOACCUMULATION</t>
  </si>
  <si>
    <t>Antarctica offers a good opportunity to investigate planetary-scale pollution and climate change, and provides baseline values for contaminants such as Trace Elements (TEs) and Persistent Organic Pollutants (POPs). Literature data on contaminant levels in the Antarctic environment indicate that long-range atmospheric transport is the primary pathway by which pollutants from surrounding continents are carried to this pristine environment. However, local contamination sources represented by the scientific stations are also not negligible. Climate change and global warming are altering the global budget of anthropogenic contaminants and their monitoring in Antarctica ecosystems is very important to protect the global environment. In this work, eighty specimens of Adamussium colbecki (Smith, 1902), a benthic Antarctic scallop, collected from 1996 to 2009 and stored in the Antarctic Environmental Specimen Bank, were analyzed to quantify TEs and POPs, including polychlorinated biphenyls (PCBs), polychlorinated naphthalenes (PCNs) and polycyclic aromatic hydrocarbons (PAHs). Metals concentrations were not affected by anthropogenic contributions, highlighting a natural accumulation with the age of the organism. Similarly, no temporal trend was found for PCNs, PCBs and PAHs. However, specimens collected during the summer 1997-98 showed enhanced concentration levels of PCBs and PAHs that could refer to a local anthropogenic source of contamination. (C) 2016 Elsevier Ltd. All rights reserved.</t>
  </si>
  <si>
    <t>[Grotti, Marco; Abelmoschi, Maria Luisa; Soggia, Francesco] Univ Genoa, Dept Chem &amp; Ind Chem, Via Dodecaneso 31, I-16146 Genoa, Italy; [Pizzini, Sarah; Cozzi, Giulio; Piazza, Rossano] CNR, IDPA, Via Torino 155, I-30172 Venice Mestre, VE, Italy; [Piazza, Rossano] Ca Foscari Univ Venice, Dept Environm Sci Informat &amp; Stat, Via Torino 155, I-30172 Venice Mestre, VE, Italy</t>
  </si>
  <si>
    <t>University of Genoa; Consiglio Nazionale delle Ricerche (CNR); Istituto per la Dinamica dei Processi Ambientali (IDPA-CNR); Universita Ca Foscari Venezia</t>
  </si>
  <si>
    <t>Grotti, M (corresponding author), Univ Genoa, Dept Chem &amp; Ind Chem, Via Dodecaneso 31, I-16146 Genoa, Italy.</t>
  </si>
  <si>
    <t>grotti@unige.it</t>
  </si>
  <si>
    <t>Cozzi, Giulio/R-4554-2019; Grotti, Marco/HGU-3949-2022; Pizzini, Sarah/N-5093-2015</t>
  </si>
  <si>
    <t>Cozzi, Giulio/0000-0001-8796-4176; Grotti, Marco/0000-0001-6956-5761; Pizzini, Sarah/0000-0001-6330-152X; Piazza, Rossano/0000-0002-1897-4124</t>
  </si>
  <si>
    <t>PNRA; Italian Ministry of Education, Universities and Research through the project PRIN [2010AXENJ8]</t>
  </si>
  <si>
    <t>PNRA; Italian Ministry of Education, Universities and Research through the project PRIN</t>
  </si>
  <si>
    <t>This study was financially supported by PNRA and by the Italian Ministry of Education, Universities and Research through the project PRIN (Prot. 2010AXENJ8). The authors want to thank Daniela Almansi for the language revision.</t>
  </si>
  <si>
    <t>0045-6535</t>
  </si>
  <si>
    <t>1879-1298</t>
  </si>
  <si>
    <t>Chemosphere</t>
  </si>
  <si>
    <t>10.1016/j.chemosphere.2016.09.049</t>
  </si>
  <si>
    <t>EA2DE</t>
  </si>
  <si>
    <t>WOS:000386402200049</t>
  </si>
  <si>
    <t>Abelson, A; Nelson, PA; Edgar, GJ; Shashar, N; Reed, DC; Belmaker, J; Krause, G; Beck, MW; Brokovich, E; France, R; Gaines, SD</t>
  </si>
  <si>
    <t>Abelson, A.; Nelson, P. A.; Edgar, G. J.; Shashar, N.; Reed, D. C.; Belmaker, J.; Krause, G.; Beck, M. W.; Brokovich, E.; France, R.; Gaines, S. D.</t>
  </si>
  <si>
    <t>Expanding marine protected areas to include degraded coral reefs</t>
  </si>
  <si>
    <t>CONSERVATION BIOLOGY</t>
  </si>
  <si>
    <t>conservation; ecological rehabilitation; ecological restoration; ecosystem degradation; marine ecosystems; MPA</t>
  </si>
  <si>
    <t>CLIMATE-CHANGE; PHASE-SHIFTS; CONNECTIVITY; MANAGEMENT; CONSERVATION; RESILIENCE; RESERVES; FISH; OPTIMIZATION; COMMUNITIES</t>
  </si>
  <si>
    <t>Marine protected areas (MPAs) are a commonly applied solution to coral reef degradation, yet coral reefs continue to decline worldwide. We argue that expanding the range of MPAs to include degraded reefs (DR-MPA) could help reverse this trend. This approach requires new ecological criteria for MPA design, siting, and management. Rather than focusing solely on preserving healthy reefs, our approach focuses on the potential for biodiversity recovery and renewal of ecosystem services. The new criteria would help identify sites with the highest potential for recovery and the greatest resistance to future threats (e.g., increased temperature and acidification) and sites that contribute to MPA connectivity. The DR-MPA approach is a compliment rather than a substitute for traditional MPA design approaches. We believe that the DR-MPA approach can enhance the natural, or restoration-assisted, recovery of DRs and their ecosystem services; increase total reef area available for protection; promote more resilient and better-connected MPA networks; and improve conditions for human communities dependent on MPA ecosystem services.</t>
  </si>
  <si>
    <t>[Abelson, A.; Belmaker, J.] Tel Aviv Univ, Dept Zool, IL-69978 Tel Aviv, Israel; [Nelson, P. A.] HT Harvey &amp; Associates, 983 Univ Ave,Bldg D, Los Gatos, CA 95032 USA; [Edgar, G. J.] Univ Tasmania, Inst Marine &amp; Antarctic Studies, Hobart, Tas 7001, Australia; [Shashar, N.] Ben Gurion Univ Negev, Eilat Campus, Elat, Israel; [Reed, D. C.] Univ Calif Santa Barbara, Inst Marine Sci, Santa Barbara, CA 93106 USA; [Krause, G.] Helmholtz Ctr Polar &amp; Marine Res AWI, Alfred Wegener Inst, ESKP, Bussestr 24, D-27570 Bremerhaven, Germany; [Beck, M. W.] Univ Calif Santa Cruz, Inst Marine Sci, Global Marine Team Nat Conservancy, 1156 High St, Santa Cruz, CA 95064 USA; [Brokovich, E.] Israel Soc Ecol &amp; Environm Sci, Kehilat New York St, IL-6775323 Tel Aviv, Israel; [France, R.] Dalhousie Univ, Dept Environm Sci, Truro, NS B2N 5E3, Canada; [Gaines, S. D.] Univ Calif Santa Barbara, Bren Sch Environm Sci &amp; Management, Santa Barbara, CA 93106 USA</t>
  </si>
  <si>
    <t>Tel Aviv University; University of Tasmania; Ben Gurion University; University of California System; University of California Santa Barbara; Helmholtz Association; Alfred Wegener Institute, Helmholtz Centre for Polar &amp; Marine Research; University of California System; University of California Santa Cruz; Dalhousie University; University of California System; University of California Santa Barbara</t>
  </si>
  <si>
    <t>Abelson, A (corresponding author), Tel Aviv Univ, Dept Zool, IL-69978 Tel Aviv, Israel.</t>
  </si>
  <si>
    <t>avigdor@tauex.tau.ac.il</t>
  </si>
  <si>
    <t>Belmaker, Jonathan/I-1004-2019; Beck, Michael W./AAB-2844-2019; Shashar, Nadav/Y-8552-2019; Nelson, Peter A/C-9538-2017; Edgar, Graham/AAY-3797-2020; Gaines, Steven/Y-3234-2019; Krause, Gesche/L-7394-2017</t>
  </si>
  <si>
    <t>Belmaker, Jonathan/0000-0002-5618-7359; Beck, Michael W./0000-0002-5107-9973; Edgar, Graham/0000-0003-0833-9001; Krause, Gesche/0000-0001-7917-7121; france, robert/0000-0002-9171-8426; Shashar, Nadav/0000-0002-8312-154X; Gaines, Steven/0000-0002-7604-3483</t>
  </si>
  <si>
    <t>Israel's Ministry of Environmental Protection; Israel Society of Ecology and Environmental Sciences</t>
  </si>
  <si>
    <t>This study was conducted as a part of the Marine Ecological Restoration Working Group (MER-WG) workshop. We thank the Israel's Ministry of Environmental Protection and the Israel Society of Ecology and Environmental Sciences, whose support enabled the workshop. The MER workshop was held at the InterUniversity Institute for Marine Science (IUI), Eilat, Israel. We thank the Dolphin Reef, Eilat, Schulich Ocean Studies Centre, and S. Netanyahu for their support and the directors and staff of the IUI for their help and hospitality.</t>
  </si>
  <si>
    <t>0888-8892</t>
  </si>
  <si>
    <t>1523-1739</t>
  </si>
  <si>
    <t>CONSERV BIOL</t>
  </si>
  <si>
    <t>Conserv. Biol.</t>
  </si>
  <si>
    <t>10.1111/cobi.12722</t>
  </si>
  <si>
    <t>EB2ZA</t>
  </si>
  <si>
    <t>WOS:000387229900005</t>
  </si>
  <si>
    <t>Cleary, AC; Durbin, EG; Rynearson, TA; Bailey, J</t>
  </si>
  <si>
    <t>Cleary, Alison C.; Durbin, Edward G.; Rynearson, Tatiana A.; Bailey, Jennifer</t>
  </si>
  <si>
    <t>Feeding by Pseudocalanus copepods in the Bering Sea: Trophic linkages and a potential mechanism of niche partitioning</t>
  </si>
  <si>
    <t>DEEP-SEA RESEARCH PART II-TOPICAL STUDIES IN OCEANOGRAPHY</t>
  </si>
  <si>
    <t>Pseudocalanus; Bering Sea; Trophic interactions; Niche partitioning; 18S rDNA</t>
  </si>
  <si>
    <t>ANTARCTIC KRILL; CLIMATE-CHANGE; DNA; VARIABILITY; PHYLOGENY; CALANUS; PREY; ASSEMBLAGES; EVOLUTION; COMMUNITY</t>
  </si>
  <si>
    <t>Pseudocalanus copepods are small, abundant zooplankton in the Bering Sea ecosystem that play an important role in transferring primary production to fish and other higher trophic-level predators. Four morphologically cryptic species, the primarily arctic Pseudocalanus minutus and Pseudocalanus acuspes, and the more temperate Pseudocalanus newmani and Pseudocalanus mimus, are found within the Bering Sea. Pseudocalanus are generally considered phytoplanktivores. However, their feeding is poorly known, despite their importance to the ecosystem. In situ feeding by the three most abundant Pseudocalanus congeners, P. minutus, P. newmani, and P. acuspes, was investigated by sequencing partial 18S rDNA (ribosomal Deoxyribonucleic Acid) of gut contents from 225 individuals sampled from 8 stations across the Bering Sea in May and June of 2010. The 28,456 prey 18S rDNA sequences obtained clustered into 138 distinct prey items with a 97% similarity cut-off, and included diatoms, dinoflagellates, microzooplankton, mesozooplankton, and vascular plants. Pseudocalanus diets reflected variations in the environment, with phytoplankton sequences relatively more abundant in copepods from stations with higher water column chlorophyll a concentrations. Feeding differences were observed between species. P. acuspes diet contained relatively more heterotrophic dinoflagellate sequences, and was significantly different from that of P. minutus and P. newmani, both of which contained relatively more diatom sequences, and between which no significant difference was observed. Feeding differences between the two primarily arctic species may be a mechanism of niche partitioning between these spatially co-located congeners and may have implications for the effects of climate change on the success of these abundant zooplankters and their many predators in this ecosystem. (C) 2015 Elsevier Ltd. All rights reserved.</t>
  </si>
  <si>
    <t>[Cleary, Alison C.; Durbin, Edward G.; Rynearson, Tatiana A.; Bailey, Jennifer] Univ Rhode Isl, Grad Sch Oceanog, South Ferry Rd, Narragansett, RI 02882 USA; [Bailey, Jennifer] US Peace Corps, Pindoyu, Paraguay</t>
  </si>
  <si>
    <t>Cleary, AC (corresponding author), Univ Rhode Isl, Grad Sch Oceanog, South Ferry Rd, Narragansett, RI 02882 USA.</t>
  </si>
  <si>
    <t>alison_cleary@my.uri.edu</t>
  </si>
  <si>
    <t>Rynearson, Tatiana/0000-0003-2951-0066</t>
  </si>
  <si>
    <t>BEST-BSIERP Bering Sea Project [155]; NSF [0909415]; [OPP-0732359]; Office of Polar Programs (OPP); Directorate For Geosciences [0909415] Funding Source: National Science Foundation; Office of Polar Programs (OPP); Directorate For Geosciences [1308087] Funding Source: National Science Foundation</t>
  </si>
  <si>
    <t>BEST-BSIERP Bering Sea Project; NSF(National Science Foundation (NSF)); ; Office of Polar Programs (OPP); Directorate For Geosciences(National Science Foundation (NSF)NSF - Directorate for Geosciences (GEO)); Office of Polar Programs (OPP); Directorate For Geosciences(National Science Foundation (NSF)NSF - Directorate for Geosciences (GEO))</t>
  </si>
  <si>
    <t>Thanks to DC Smith (GSO) for use of laboratory space and equipment, to K McCusker (GSO) for assistance with bioinformatics, and to CL Wright (Uofl) for technical advice and assistance. Thanks also to M Lomas for chlorophyll data collected under project OPP-0732359. This manuscript was improved by helpful comments from J Collie, J Hare, J Webb, K Wishner, and two anonymous reviewers. This is BEST-BSIERP Bering Sea Project publication no. 155. This work was supported by NSF award #0909415.</t>
  </si>
  <si>
    <t>0967-0645</t>
  </si>
  <si>
    <t>1879-0100</t>
  </si>
  <si>
    <t>DEEP-SEA RES PT II</t>
  </si>
  <si>
    <t>Deep-Sea Res. Part II-Top. Stud. Oceanogr.</t>
  </si>
  <si>
    <t>10.1016/j.dsr2.2015.04.001</t>
  </si>
  <si>
    <t>EF7LG</t>
  </si>
  <si>
    <t>WOS:000390510500013</t>
  </si>
  <si>
    <t>Fromont, J; Abdul Wahab, MA; Gomez, O; Ekins, M; Grol, M; Hooper, JNA</t>
  </si>
  <si>
    <t>Fromont, Jane; Abdul Wahab, Muhammad Azmi; Gomez, Oliver; Ekins, Merrick; Grol, Monique; Hooper, John Norman Ashby</t>
  </si>
  <si>
    <t>Patterns of Sponge Biodiversity in the Pilbara, Northwestern Australia</t>
  </si>
  <si>
    <t>DIVERSITY-BASEL</t>
  </si>
  <si>
    <t>benthic survey; distribution; eastern Indian Ocean; museum records; Porifera; species richness</t>
  </si>
  <si>
    <t>CORAL-REEFS; TAXONOMIC DISTINCTNESS; WESTERN-AUSTRALIA; SPECIES RICHNESS; CLIMATE-CHANGE; MARINE; COASTAL; PORIFERA; CONSERVATION; ENDEMISM</t>
  </si>
  <si>
    <t>This study assessed the biodiversity of sponges within the Integrated Marine and Coastal Regionalisation for Australia (IMCRA) bioregions of the Pilbara using datasets amalgamated from the Western Australian Museum and the Atlas of Living Australia. The Pilbara accounts for a total of 1164 Linnean and morphospecies. A high level of apparent endemism was recorded with 78% of species found in only one of six bioregions, with less than 10% confirmed as widely distributed. The Ningaloo, Pilbara Nearshore and Pilbara Offshore bioregions are biodiversity hotspots (&gt;250 species) and are recognised as having the highest conservation value, followed by North West Shelf containing 232 species. Species compositions differed between bioregions, with those that are less spatially separated sharing more species. Notably, the NorthWest Province bioregion (110 species) exhibited the most distinct species composition, highlighting it as a unique habitat within the Pilbara. While sponge biodiversity is apparently high, incomplete sampling effort for the region was identified, with only two sampling events recorded for the Central West Transition bioregion. Furthermore, only 15% of records in the dataset are presently described (Linnean) species, highlighting the continuing need for taxonomic expertise for the conservation and management of marine biodiversity resources.</t>
  </si>
  <si>
    <t>[Fromont, Jane; Gomez, Oliver] Western Australian Museum, Locked Bag 49, Welshpool, WA 6986, Australia; [Fromont, Jane; Abdul Wahab, Muhammad Azmi; Gomez, Oliver] Western Australian Marine Sci Inst, Entrance 2 Brockway Rd, Floreat, WA 6014, Australia; [Abdul Wahab, Muhammad Azmi] Univ ofWestern Australia, Oceans Inst, AIMS, Perth, WA 6009, Australia; [Ekins, Merrick; Hooper, John Norman Ashby] Queensland Museum, POB 3330, South Brisbane, Cqu 4101, Australia; [Grol, Monique] British Antarctic Survey, Madingley Rd, Cambridge CB3 0ET, England; [Hooper, John Norman Ashby] Griffith Univ, Eskitis Inst Drug Discovery, Nathan, Qld 4111, Australia</t>
  </si>
  <si>
    <t>Western Australian Museum; Western Australian Marine Science Institution (WAMSI); Australian Institute of Marine Science; University of Western Australia; Queensland Museum; UK Research &amp; Innovation (UKRI); Natural Environment Research Council (NERC); NERC British Antarctic Survey; Griffith University</t>
  </si>
  <si>
    <t>Abdul Wahab, MA (corresponding author), Western Australian Marine Sci Inst, Entrance 2 Brockway Rd, Floreat, WA 6014, Australia.;Abdul Wahab, MA (corresponding author), Univ ofWestern Australia, Oceans Inst, AIMS, Perth, WA 6009, Australia.</t>
  </si>
  <si>
    <t>Jane.Fromont@museum.wa.gov.au; m.abdulwahab@aims.gov.au; Oliver.Gomez@museum.wa.gov.au; merrick.ekins@qm.qld.gov.au; mgggrol@hotmail.com; john.hooper@qm.qld.gov.au</t>
  </si>
  <si>
    <t>Gomez, Oliver/JYP-1685-2024; Ekins, Merrick/B-8256-2015</t>
  </si>
  <si>
    <t>Abdul Wahab, Muhammad Azmi/0000-0003-4088-9652; Hooper, John/0000-0003-1722-5954; Ekins, Merrick/0000-0002-4825-462X</t>
  </si>
  <si>
    <t>1424-2818</t>
  </si>
  <si>
    <t>Diversity-Basel</t>
  </si>
  <si>
    <t>10.3390/d8040021</t>
  </si>
  <si>
    <t>EF2DL</t>
  </si>
  <si>
    <t>WOS:000390134700004</t>
  </si>
  <si>
    <t>Hingston, M; Poncet, S; Passfield, K; Tabak, MA; Gabriel, SI; Piertney, SB; Russell, JC</t>
  </si>
  <si>
    <t>Hingston, Melanie; Poncet, Sally; Passfield, Ken; Tabak, Michael A.; Gabriel, Sofia I.; Piertney, Stuart B.; Russell, James C.</t>
  </si>
  <si>
    <t>Phylogeography of Rattus norvegicus in the South Atlantic Ocean</t>
  </si>
  <si>
    <t>commensals; invasive species; island phylogeography; mitochondrial DNA; pest management; Rattus norvegicus; South Atlantic</t>
  </si>
  <si>
    <t>MITOCHONDRIAL-DNA; SEQUENCE-ANALYSIS; COLONIZATION; ERADICATION; POPULATIONS; INFERENCE; PATTERNS; HISTORY; MICE</t>
  </si>
  <si>
    <t>Norway rats are a globally distributed invasive species, which have colonized many islands around the world, including in the South Atlantic Ocean. We investigated the phylogeography of Norway rats across the South Atlantic Ocean and bordering continental countries. We identified haplotypes from 517 bp of the hypervariable region I of the mitochondrial D-loop and constructed a Bayesian consensus tree and median-joining network incorporating all other publicly available haplotypes via an alignment of 364 bp. Three Norway rat haplotypes are present across the islands of the South Atlantic Ocean, including multiple haplotypes separated by geographic barriers within island groups. All three haplotypes have been previously recorded from European countries. Our results support the hypothesis of rapid Norway rat colonization of South Atlantic Ocean islands by sea-faring European nations from multiple European ports of origin. This seems to have been the predominant pathway for repeated Norway rat invasions of islands, even within the same archipelago, rather than within-island dispersal across geographic barriers.</t>
  </si>
  <si>
    <t>[Hingston, Melanie; Russell, James C.] Univ Auckland, Sch Biol Sci, Private Bag 92019, Auckland 1142, New Zealand; [Poncet, Sally] Antarctic Res Trust, POB 685, Stanley, Hong Kong, Peoples R China; [Passfield, Ken] Beaver Isl LandCare, POB 538, Stanley, Hong Kong, Peoples R China; [Tabak, Michael A.] Univ ofWyoming, Dept Zool &amp; Physiol, 1000 E Univ Ave, Laramie, WY 82071 USA; [Tabak, Michael A.] Quantitat Sci Consulting LLC, 765 N 10th St, Laramie, WY 82072 USA; [Gabriel, Sofia I.] Univ Lisbon, Fac Ciencias, Dept Biol Anim, CESAM Ctr Environm &amp; Marine Studies, P-1749016 Lisbon, Portugal; [Piertney, Stuart B.] Univ Aberdeen, Inst Biol &amp; Environm Sci, Aberdeen AB24 2TZ, Scotland</t>
  </si>
  <si>
    <t>University of Auckland; Universidade de Lisboa; University of Aberdeen</t>
  </si>
  <si>
    <t>Hingston, M (corresponding author), Univ Auckland, Sch Biol Sci, Private Bag 92019, Auckland 1142, New Zealand.</t>
  </si>
  <si>
    <t>melanie.hingston@auckland.ac.nz; sallyponcet@horizon.co.fk; kenpassfield@gmail.com; tabakma@gmail.com; sofiagabriel@gmail.com; s.piertney@abdn.ac.uk; j.russell@auckland.ac.nz</t>
  </si>
  <si>
    <t>Piertney, Stuart B/I-3144-2012; Gabriel, Sofia I/C-1770-2013; Tabak, Michael/P-3316-2019</t>
  </si>
  <si>
    <t>Gabriel, Sofia I/0000-0003-3702-4631; Hingston, Melanie/0000-0002-2960-6212</t>
  </si>
  <si>
    <t>10.3390/d8040032</t>
  </si>
  <si>
    <t>WOS:000390134700015</t>
  </si>
  <si>
    <t>Santos, GC; Kerr, R; Azevedo, JLL; Mendes, CRB; da Cunha, LC</t>
  </si>
  <si>
    <t>Santos, Guilherme Cordova; Kerr, Rodrigo; Lima Azevedo, Jose Luiz; Borges Mendes, Carlos Rafael; da Cunha, Leticia Cotrim</t>
  </si>
  <si>
    <t>Influence of Antarctic Intermediate Water on the deoxygenation of the Atlantic Ocean</t>
  </si>
  <si>
    <t>DYNAMICS OF ATMOSPHERES AND OCEANS</t>
  </si>
  <si>
    <t>Oxygen minimum zones; Dissolved oxygen; Antarctic intermediate water; Optimum multiparameter analysis</t>
  </si>
  <si>
    <t>OXYGEN-MINIMUM ZONES; OPTIMUM MULTIPARAMETER ANALYSIS; SUBTROPICAL MODE WATERS; SOUTH ATLANTIC; TEMPORAL VARIABILITY; DISSOLVED-OXYGEN; DEAD ZONES; THERMOCLINE; CIRCULATION; VENTILATION</t>
  </si>
  <si>
    <t>Hydrographic trends in the Antarctic Intermediate Water (AAIW) layer that may be associated with changes in the thickness and oxygen content of oxygen minimum zones (OMZs) in the eastern tropical South Atlantic (ETSA) and eastern tropical North Atlantic (ETNA) are investigated by using historical data (1960 to 2015). Our results reveal that the thickness of these OMZs has continually increased (2.58 +/- 0.67 m yr(-1) for the ETSA and 3.37 +/- 0.73 m yr(-1) for the ETNA), the mean oxygen concentration has decreased (-0.12 +/- 0.03 mu mol kg(-1) yr(-1) for the ETSA and -0.17 +/- 0.05 mu mol kg(-1) yr(-1) for the ETNA), and the mean temperature has increased. The optimum multiparameter analysis method is used to track modifications in the AAIW along its path through the South Atlantic Subtropical Gyre. We observe an AAIW layer vertical expansion rate of 1.67 +/- 0.71 m yr(-1), a decrease in the mean oxygen concentration of -0.18 +/- 0.04 mu mol kg(-1) yr(-1) and an increase in the mean temperature of 0.010 +/- 0.005 degrees C yr(-1). Moreover, a similar decrease in oxygen concentrations is observed in the AAIW layer of the studied OMZ regions compared to those in the non-AAIW portions of these OMZs, which indicates strong deoxygenation in this water mass over time. Our results suggest that warming in the AAIW source region and in its extensive temporal displacement through the SASG to the eastern tropical Atlantic Ocean appreciably shifted this water mass toward lower densities with depleted oxygen (increases in ventilation age and oxygen consumption). The warming trend that is reported here suggests that global warming is one of the factors that influence oxygen solubility changes during the deoxygenation and expansion of OMZs. (C) 2016 Elsevier B.V. All rights reserved.</t>
  </si>
  <si>
    <t>[Santos, Guilherme Cordova; Kerr, Rodrigo; Lima Azevedo, Jose Luiz; Borges Mendes, Carlos Rafael] Univ Fed Rio Grande FURG, Inst Oceanog, Lab Estudos Oceanos &amp; Clima, BR-96203900 Rio Grande, RS, Brazil; [Borges Mendes, Carlos Rafael] Univ Fed Rio Grande FURG, Inst Oceanog, Lab Fitoplancton &amp; Microorganismos Marinhos, BR-96203900 Rio Grande, RS, Brazil; [da Cunha, Leticia Cotrim] Univ Estado Rio De Janeiro, Fac Oceanog, Lab Oceanog Quim, BR-20550900 Rio De Janeiro, RJ, Brazil</t>
  </si>
  <si>
    <t>Universidade Federal do Rio Grande; Universidade Federal do Rio Grande; Universidade do Estado do Rio de Janeiro</t>
  </si>
  <si>
    <t>Santos, GC (corresponding author), Univ Fed Rio Grande FURG, Inst Oceanog, Lab Estudos Oceanos &amp; Clima, BR-96203900 Rio Grande, RS, Brazil.</t>
  </si>
  <si>
    <t>gcordovasantos@gmail.com; rodrigokerr@furg.br</t>
  </si>
  <si>
    <t>Kerr, Rodrigo/I-2494-2012; Cotrim da Cunha, Leticia/F-5732-2010; Mendes, Carlos/AAD-6504-2021; da Cunha, Leticia Cotrim/J-5153-2012; Mendes, Carlos/I-1520-2012; Santos, Guilherme/JVO-6067-2024; Mendes, Carlos/GVU-7596-2022</t>
  </si>
  <si>
    <t>Kerr, Rodrigo/0000-0002-2632-3137; Cotrim da Cunha, Leticia/0000-0001-8035-1430; Mendes, Carlos/0000-0001-6875-8860; Mendes, Carlos/0000-0001-6875-8860; Azevedo, Jose Luiz/0000-0001-5799-1261</t>
  </si>
  <si>
    <t>CAPES [23038.001421/2014-30]; CNPq [445506/2014-8, 302604/2015-4]; FAPERGS [2075-2551/13-7]; Brazilian Ministry of the Environment (MMA); Brazilian Ministry of Science, Technology and Innovation (MCTI); Council for Research and Scientific Development of Brazil (CNPq) [550370/2002-1, 520189/2006-0, 556848/2009-8, 405869/2013-4]; CAPES Foundation; INCT-Mar COI</t>
  </si>
  <si>
    <t>CAPES(Coordenacao de Aperfeicoamento de Pessoal de Nivel Superior (CAPES)); CNPq(Conselho Nacional de Desenvolvimento Cientifico e Tecnologico (CNPQ)); FAPERGS(Fundacao de Amparo a Ciencia e Tecnologia do Estado do Rio Grande do Sul (FAPERGS)); 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CAPES Foundation(Coordenacao de Aperfeicoamento de Pessoal de Nivel Superior (CAPES)); INCT-Mar COI</t>
  </si>
  <si>
    <t>This study is a contribution of the Brazilian High Latitudes Oceanography Group (GOAL, www.goal.furg.br) and the Brazilian Ocean Acidification Network (BrOA, www.broa.furg.br) through the projects Estudos Avancados de Medias e Altas Latitudes (CAPES grant no 23038.001421/2014-30) and EstARte (CNPq grant no 445506/2014-8 and FAPERGS grant no 2075-2551/13-7). GOAL has been funded by the Brazilian Ministry of the Environment (MMA); the Brazilian Ministry of Science, Technology and Innovation (MCTI); and the Council for Research and Scientific Development of Brazil (CNPq grants no 550370/2002-1; 520189/2006-0; 556848/2009-8; 405869/2013-4). We thank Dr. Lothar Stramma, who provided the observed data at the ETSA region for the years 2000 and 2008. G.C. Santos acknowledges financial support that was received from the CNPq, CAPES Foundation and INCT-Mar COI. R. Kerr acknowledges the CNPq researcher grant no 302604/2015-4. We also wish to thank one anonymous reviewer for the constructive comments, which greatly improved the manuscript.</t>
  </si>
  <si>
    <t>0377-0265</t>
  </si>
  <si>
    <t>1872-6879</t>
  </si>
  <si>
    <t>DYNAM ATMOS OCEANS</t>
  </si>
  <si>
    <t>Dyn. Atmos. Oceans</t>
  </si>
  <si>
    <t>10.1016/j.dynatmoce.2016.09.002</t>
  </si>
  <si>
    <t>Geochemistry &amp; Geophysics; Meteorology &amp; Atmospheric Sciences; Oceanography</t>
  </si>
  <si>
    <t>EE2BY</t>
  </si>
  <si>
    <t>WOS:000389389900006</t>
  </si>
  <si>
    <t>van der Loeff, MR; Venchiarutti, C; Stimac, I; van Ooijen, J; Huhn, O; Rohardt, G; Strass, V</t>
  </si>
  <si>
    <t>van der Loeff, Michiel Rutgers; Venchiarutti, Celia; Stimac, Ingrid; van Ooijen, Jan; Huhn, Oliver; Rohardt, Gerd; Strass, Volker</t>
  </si>
  <si>
    <t>Meridional circulation across the Antarctic Circumpolar Current serves as a double 231Pa and 230Th trap</t>
  </si>
  <si>
    <t>Pa-231; Th-230; Weddell Sea; Antarctic Bottom Water; GEOTRACES; scavenging</t>
  </si>
  <si>
    <t>WEDDELL SEA DEEP; SOUTHERN-OCEAN; BOTTOM-WATER; THORIUM ISOTOPES; PARTICLE-FLUX; POLAR FRONT; PACIFIC SECTOR; ATLANTIC; PARTICULATE; EXPORT</t>
  </si>
  <si>
    <t>Upwelling of Circumpolar Deep Water in the Weddell Gyre and low scavenging rates south of the Antarctic Circumpolar Current (ACC) cause an accumulation of particle reactive nuclides in the Weddell Gyre. A ventilation/reversible scavenging model that successfully described the accumulation of Th-230 in this area was tested with other particle reactive nuclides and failed to adequately describe the depth-distributions of Pa-231 and Pb-210. We present here a modified model that includes a nutrient like accumulation south of the Antarctic Polar Front in an upper meridional circulation cell, as well as transport to a deep circulation cell in the Weddell Gyre by scavenging and subsequent release at depth. The model also explains depletion of 231Pa and 230Th in Weddell Sea Bottom Water (WSBW) by ventilation of newly formed deep water on a timescale of 10 years, but this water mass is too dense to leave the Weddell Gyre. In order to quantify the processes responsible for the Pa-231- and Th-230-composition of newly formed Antarctic Bottom Water (AABW) we present a mass balance of Pa-231 and Th-230 in the Atlantic sector of the Southern Ocean based on new data from the GEOTRACES program. The ACC receives 6.0 +/- 1.5 x 10(6) dpms(-1) of Th-230 from the Weddell Sea, similar in magnitude to the net input of 4.2 +/- 3.0 x 10(6) dpm s(-1) from the north. For Pa-231, the relative contribution from the Weddell Sea is much smaller, only 0.3 +/- 0.1 x 10(6), compared to 2.7 +/- 1.4 x 10(6) dpm s(-1) from the north. Weddell Sea Deep Water (WSDW) leaving the Weddell Gyre northward to form AABW is exposed in the ACC to resuspended opal-rich sediments that act as efficient scavengers with a Th/Pa fractionation factor F &lt;= 1. Hydrothermal inputs may provide additional removal with low F. Scavenging in the full meridional circulation across the opal-rich ACC thus acts as a double Pa-231 and Th-230 trap that preconditions newly formed AABW. (C) 2016 Published by Elsevier B.V.</t>
  </si>
  <si>
    <t>[van der Loeff, Michiel Rutgers; Venchiarutti, Celia; Stimac, Ingrid; Rohardt, Gerd; Strass, Volker] Alfred Wegener Inst, Helmholz Ctr Polar &amp; Marine Res, POB 120161, D-27515 Bremerhaven, Germany; [Venchiarutti, Celia] European Commiss, Joint Res Ctr, IRMM, Retieseweg 111, B-2440 Geel, Belgium; [van Ooijen, Jan] Royal Netherlands Inst Sea Res, POB 59, NL-1790 AB Den Burg, Texel, Netherlands; [Huhn, Oliver] Univ Bremen, Inst Environm Phys, Postfach 33 04 40, D-28334 Bremen, Germany</t>
  </si>
  <si>
    <t>Helmholtz Association; Alfred Wegener Institute, Helmholtz Centre for Polar &amp; Marine Research; European Commission Joint Research Centre; EC JRC Institute for Reference Materials &amp; Measurements (IRMM); Utrecht University; Royal Netherlands Institute for Sea Research (NIOZ); University of Bremen</t>
  </si>
  <si>
    <t>van der Loeff, MR (corresponding author), Alfred Wegener Inst, Helmholz Ctr Polar &amp; Marine Res, POB 120161, D-27515 Bremerhaven, Germany.</t>
  </si>
  <si>
    <t>mloeff@awi.de</t>
  </si>
  <si>
    <t>Rutgers van der Loeff, Michiel/0000-0003-1393-3742; Huhn, Oliver/0000-0003-3626-9135</t>
  </si>
  <si>
    <t>DFG [Schwerpunktprogramm 1158, T11173:RU712/7-1]</t>
  </si>
  <si>
    <t>DFG(German Research Foundation (DFG))</t>
  </si>
  <si>
    <t>We thank the Captain and crew of F.S. Polarstern for their help during the Zero and Drake expedition. We are grateful to the chief scientist Eberhard Fahrbach and Hein de Baar for their support and organization of the GEOTRACES program during this cruise. The manuscript was improved by thoughtful comments of four reviewers. Christoph Volker calculated the volumes of the regions distinguished in our budget calculations. We thank Mario Hoppema and Rob Middag for helpful comments on an earlier version of the manuscript. This work was funded by the DFG-Schwerpunktprogramm 1158 (T11173:RU712/7-1).</t>
  </si>
  <si>
    <t>10.1016/j.epsl.2016.07.027</t>
  </si>
  <si>
    <t>WOS:000386738200008</t>
  </si>
  <si>
    <t>Reichgelt, T; D'Andrea, WJ; Fox, BRS</t>
  </si>
  <si>
    <t>Reichgelt, Tammo; D'Andrea, William J.; Fox, Bethany R. S.</t>
  </si>
  <si>
    <t>Abrupt plant physiological changes in southern New Zealand at the termination of the Mi-1 event reflect shifts in hydroclimate and pCO2</t>
  </si>
  <si>
    <t>leaf physiology; carbon dioxide; precipitation; Oligocene/Miocene; deglaciation</t>
  </si>
  <si>
    <t>CARBON-ISOTOPE DISCRIMINATION; LEAF STOMATAL FREQUENCY; WATER-USE EFFICIENCY; ANTARCTIC ICE-SHEET; DELTA-D VALUES; EARLY MIOCENE; MAAR LAKE; CO2; OLIGOCENE; OTAGO</t>
  </si>
  <si>
    <t>A rise in atmospheric CO2 is believed to be necessary for the termination of large-scale glaciations. Although the Antarctic Ice Sheet is estimated to have melted from similar to 125% to similar to 50% its modern size, there is thus far no evidence for an increase in atmospheric CO2 associated with the Mi-1 glacial termination in the earliest Miocene. Here, we present evidence from a high-resolution terrestrial record of leaf physiological change in southern New Zealand for an abrupt increase in atmospheric CO2 coincident with the termination of the Mi-1 glaciation and lasting approximately 20 kyr. Quantitative pCO(2) estimates, made using a leaf gas exchange model, suggest that atmospheric CO2 levels may have doubled during this period, from 516 +/- 111 ppm to 1144 +/- 410 ppm, and subsequently returned back to 425 +/- 53 ppm. The 20-kyr interval with high pCO(2) estimates is also associated with a period of increased moisture supply to southern New Zealand, inferred from carbon and hydrogen isotopes of terrestrial leaf waxes. The results provide the first high-resolution record of terrestrial environmental change at the Oligocene/Miocene boundary, document a similar to 20 kyr interval of elevated pCO(2) and increased local moisture availability, and provide insight into ecosystem response to a major orbitally driven climatic transition. (C) 2016 Elsevier B.V. All rights reserved.</t>
  </si>
  <si>
    <t>[Reichgelt, Tammo; D'Andrea, William J.] Columbia Univ, Lamont Doherty Earth Observ, Palisades, NY 10964 USA; [Fox, Bethany R. S.] Univ Waikato, Sch Sci, Hamilton, New Zealand</t>
  </si>
  <si>
    <t>Columbia University; University of Waikato</t>
  </si>
  <si>
    <t>Reichgelt, T (corresponding author), Columbia Univ, Lamont Doherty Earth Observ, Palisades, NY 10964 USA.</t>
  </si>
  <si>
    <t>tammor@ldeo.columbia.edu</t>
  </si>
  <si>
    <t>Fox, Bethany/0000-0001-9848-7838; Reichgelt, Tammo/0000-0001-8652-5489; D'Andrea, William/0000-0003-0182-8857</t>
  </si>
  <si>
    <t>Vetlesen Foundation grant; Center for Climate and Life of Columbia University; [NSF-EAR13-49659]</t>
  </si>
  <si>
    <t>Vetlesen Foundation grant; Center for Climate and Life of Columbia University;</t>
  </si>
  <si>
    <t>Wei Huang, Andy Juhl, Betina Fleming and Nicole deRoberts are acknowledged for technical support. Jennifer Bannister is gratefully acknowledged for her taxonomic identifications. Dhahara Ranatunga and Ewen Cameron of the Auckland War Memorial Museum Herbarium are acknowledged for supplying modern material. This work was funded by NSF-EAR13-49659 and a Vetlesen Foundation grant to WJD. The Center for Climate and Life of Columbia University provided funding for technician support. We gratefully acknowledge two anonymous reviewers for their insightful comments on this manuscript. We extend our gratitude towards Daphne Lee for her excellent coordination of research at Foulden Maar.</t>
  </si>
  <si>
    <t>10.1016/j.epsl.2016.09.026</t>
  </si>
  <si>
    <t>WOS:000386738200012</t>
  </si>
  <si>
    <t>Baker, SC; Halpern, CB; Wardlaw, TJ; Kern, C; Edgar, GJ; Thomson, RJ; Bigley, RE; Franklin, JF; Gandhi, KJK; Gustafson, L; Johnson, S; Palik, BJ; Spies, TA; Steel, EA; Weslien, J; Strengbom, J</t>
  </si>
  <si>
    <t>Baker, Susan C.; Halpern, Charles B.; Wardlaw, Timothy J.; Kern, Christel; Edgar, Graham J.; Thomson, Russell J.; Bigley, Richard E.; Franklin, Jerry F.; Gandhi, Kamal J. K.; Gustafson, Lena; Johnson, Samuel; Palik, Brian J.; Spies, Thomas A.; Steel, E. Ashley; Weslien, Jan; Strengbom, Joachim</t>
  </si>
  <si>
    <t>A cross-continental comparison of plant and beetle responses to retention of forest patches during timber harvest</t>
  </si>
  <si>
    <t>aggregated retention; forest influence; ground-active beetles; lifeboating; retention forestry</t>
  </si>
  <si>
    <t>NATURAL DISTURBANCE; DWELLING BEETLES; TREE MORTALITY; BIODIVERSITY; EDGE; PATTERNS; MATURE; STAND; MICROCLIMATE; ASSEMBLAGES</t>
  </si>
  <si>
    <t>Timber harvest can adversely affect forest biota. Recent research and application suggest that retention of mature forest elements (retention forestry), including unharvested patches (or aggregates) within larger harvested units, can benefit biodiversity compared to clearcutting. However, it is unclear whether these benefits can be generalized among the diverse taxa and biomes in which retention forestry is practiced. Lack of comparability in methods for sampling and analyzing responses to timber harvest and edge creation presents a challenge to synthesis. We used a consistent methodology (similarly spaced plots or traps along transects) to investigate responses of vascular plants and ground-active beetles to aggregated retention at replicate sites in each of four temperate and boreal forest types on three continents: Douglas-fir forests in Washington, USA; aspen forests in Minnesota, USA; spruce forests in Sweden; and wet eucalypt forests in Tasmania, Australia. We assessed (1) differences in local (plot-scale) species richness and composition between mature (intact) and regenerating (previously harvested) forest; (2) the lifeboating function of aggregates (capacity to retain species of unharvested forest); and whether intact forests and aggregates (3) are susceptible to edge effects and (4) influence the adjacent regenerating forest. Intact and harvested forests differed in composition but not richness of plants and beetles. The magnitude of this difference was generally similar among regions, but there was considerable heterogeneity of composition within and among replicate sites. Aggregates within harvest units were effective at lifeboating for both plant and beetle communities. Edge effects were uncommon even within the aggregates. In contrast, effects of forest influence on adjacent harvested areas were common and as strong for aggregates as for larger blocks of intact forest. Our results provide strong support for the widespread application of aggregated retention in boreal and temperate forests. The consistency of pattern in four very different regions of the world suggests that, for forest plants and beetles, responses to aggregated retention are likely to apply more widely. Our results suggest that through strategic placement of aggregates, it is possible to maintain the natural heterogeneity and biodiversity of mature forests managed for multiple objectives.</t>
  </si>
  <si>
    <t>[Baker, Susan C.; Wardlaw, Timothy J.] Univ Tasmania, Sch Biol Sci, Private Bag 55, Hobart, Tas 7001, Australia; [Baker, Susan C.; Wardlaw, Timothy J.] Univ Tasmania, ARC Ctr Forest Value, Private Bag 55, Hobart, Tas 7001, Australia; [Baker, Susan C.; Halpern, Charles B.; Franklin, Jerry F.] Univ Washington, Sch Environm &amp; Forest Sci, Box 352100, Seattle, WA 98195 USA; [Kern, Christel; Strengbom, Joachim] USDA Forest Serv, Northern Res Stn, 5985 Highway K, Rhinelander, WI 54501 USA; [Edgar, Graham J.; Thomson, Russell J.] Univ Tasmania, Inst Marine &amp; Antarctic Studies, GPO Box 252-49, Hobart, Tas 7001, Australia; [Bigley, Richard E.] Washington State Dept Nat Resources, Forest Resources, Olympia, WA 98504 USA; [Gandhi, Kamal J. K.] Univ Georgia, Daniel B Warnell Sch Forestry &amp; Nat Resources, 180 E Green St, Athens, GA 30602 USA; [Gustafson, Lena; Johnson, Samuel] Swedish Univ Agr Sci SLU, Dept Ecol, POB 7044, SE-75007 Uppsala, Sweden; [Palik, Brian J.] USDA Forest Serv, Northern Res Stn, 1831 Hwy 169 E, Grand Rapids, MN 55744 USA; [Spies, Thomas A.] USDA Forest Serv, PNW Res Stn, 3200 SW Jefferson Way, Corvallis, OR 97331 USA; [Steel, E. Ashley] USDA Forest Serv, PNW Res Stn, 400 N 34th St,Suite 201, Seattle, WA 98103 USA; [Weslien, Jan] Forestry Res Inst Sweden Skogforsk, SE-75143 Uppsala, Sweden</t>
  </si>
  <si>
    <t>University of Tasmania; University of Tasmania; University of Washington; University of Washington Seattle; United States Department of Agriculture (USDA); United States Forest Service; University of Tasmania; University System of Georgia; University of Georgia; Swedish University of Agricultural Sciences; United States Department of Agriculture (USDA); United States Forest Service; United States Department of Agriculture (USDA); United States Forest Service; United States Department of Agriculture (USDA); United States Forest Service; Skogforsk</t>
  </si>
  <si>
    <t>Baker, SC (corresponding author), Univ Tasmania, Sch Biol Sci, Private Bag 55, Hobart, Tas 7001, Australia.;Baker, SC (corresponding author), Univ Tasmania, ARC Ctr Forest Value, Private Bag 55, Hobart, Tas 7001, Australia.;Baker, SC (corresponding author), Univ Washington, Sch Environm &amp; Forest Sci, Box 352100, Seattle, WA 98195 USA.</t>
  </si>
  <si>
    <t>sue.baker@forestrytas.com.au</t>
  </si>
  <si>
    <t>Strengbom, Joachim/AAE-7645-2022; Kern, Christel C/B-4847-2012; Edgar, Graham/AAY-3797-2020; Baker, Susan C/F-9307-2011; Baker, Susan/O-8482-2019; Thomson, Russell/H-5653-2012</t>
  </si>
  <si>
    <t>Strengbom, Joachim/0000-0002-1720-5016; Edgar, Graham/0000-0003-0833-9001; Baker, Susan/0000-0002-7593-0267; Wardlaw, Tim/0000-0002-8686-0671; Gustafsson, Lena/0000-0003-2467-7289; Palik, Brian/0000-0003-0300-9644; Halpern, Charles/0000-0003-3790-8322; Thomson, Russell/0000-0003-4949-4120; Steel, E. Ashley/0000-0001-5091-276X; Gandhi, Kamal/0000-0001-6217-5859; Kern, Christel/0000-0003-4923-6180</t>
  </si>
  <si>
    <t>Australian Research Council [LP100100050, LP140100075]; Forestry Tasmania; Fulbright Scholarship; Australian Research Council [LP140100075, LP100100050] Funding Source: Australian Research Council</t>
  </si>
  <si>
    <t>Australian Research Council(Australian Research Council); Forestry Tasmania; Fulbright Scholarship; Australian Research Council</t>
  </si>
  <si>
    <t>This research was funded by the Australian Research Council Linkage grants LP100100050 and LP140100075, Forestry Tasmania, and a Fulbright Scholarship awarded to S. C. Baker. We are grateful to participants at a retention-forestry workshop in Sweden in 2011 for discussion that led to the final study-design. We thank the many people who provided logistical support in all four regions, including access to study sites, assistance with field work, species identifications, and data-entry. Finally, we thank the anonymous reviewers for their constructive comments on the manuscript.</t>
  </si>
  <si>
    <t>10.1002/eap.1406</t>
  </si>
  <si>
    <t>EE1BU</t>
  </si>
  <si>
    <t>WOS:000389316400012</t>
  </si>
  <si>
    <t>Rogers, TL; Fung, J; Slip, D; Steindler, L; O'Connell, TC</t>
  </si>
  <si>
    <t>Rogers, Tracey L.; Fung, Jeffery; Slip, David; Steindler, Lisa; O'Connell, Tamsin C.</t>
  </si>
  <si>
    <t>Calibrating the time span of longitudinal biomarkers in vertebrate tissues when fine-scale growth records are unavailable</t>
  </si>
  <si>
    <t>Antarctic leopard seal; biomarkers; diet; foraging ecology; growth models; Hydrurga leptonyx; keratin; Special Feature: Biomarkers in Trophic Ecology; stable isotopes; temporal change; vibrissae; whisker</t>
  </si>
  <si>
    <t>SEALS HYDRURGA-LEPTONYX; TROPHIC DISCRIMINATION FACTORS; STABLE-ISOTOPE EVIDENCE; LEOPARD SEALS; PRYDZ BAY; PHOCA-VITULINA; FORAGING STRATEGIES; CRAB-EATER; DIET; VIBRISSAE</t>
  </si>
  <si>
    <t>Biological markers (biomarkers) are invaluable and widely adopted in ecology, archaeology, and anthropology. Serially sampling biomarkers along continuously growing inert tissue, such as vibrissae, hair, nail, horn, or baleen, is an ideal method by which to capture the changes in an individual's diet, environment, climate, health, and stress levels. However, there are complications in calibrating the time periods that samples represent. Here, we assess how the choice of model and the input data used affect the prediction of time span. We use the Antarctic leopard seal, Hydrurga leptonyx, as our model, with stable isotope data from the vibrissae of captive and wild animals. We show that for tissues with nonlinear growth, and where fine-scale data on tissue growth are unavailable, modeling over the life span of the tissue is a simple and easily adopted approach. In this method, growth parameters are derived from surveys of the study population and the shed-replacement cycle to calibrate the time span of the biomarker data. This model performed better than linear and nonlinear models, which use parameters that have been derived from growth measurements documented over short periods relative to the life span of the tissue. These latter approaches performed in a similar fashion to each other as they tended to overestimate the life span of the tissue. Whether growth is linear or nonlinear, not accounting for position-specific differences in growth (rates or coefficients) and asymptotic length (L-infinity) resulted in different interpretations of biomarker data across the samples collected from the same individual. In species where metabolically inert tissue grows in a progressive fashion, the ability to account for time-specific information refines our ability to interpret the biomarker data. We recommend that this approach be adapted for tissue, such as the vibrissae and hair of mammals and the hair of humans, which exhibit the predictable growth.</t>
  </si>
  <si>
    <t>[Rogers, Tracey L.; Fung, Jeffery; Steindler, Lisa] Univ New South Wales, Biol Earth &amp; Environm Sci, Evolut &amp; Ecol Res Ctr, Sydney, NSW 2052, Australia; [Slip, David] Taronga Conservat Soc Australia, Bradleys Head Rd, Sydney, NSW 2088, Australia; [O'Connell, Tamsin C.] Univ Cambridge, Dept Archaeol &amp; Anthropol, Cambridge, England; [O'Connell, Tamsin C.] Univ Cambridge, McDonald Inst Archaeol Res, Cambridge, England</t>
  </si>
  <si>
    <t>University of New South Wales Sydney; Taronga Conservation Society Australia; University of Cambridge; University of Cambridge</t>
  </si>
  <si>
    <t>Rogers, TL (corresponding author), Univ New South Wales, Biol Earth &amp; Environm Sci, Evolut &amp; Ecol Res Ctr, Sydney, NSW 2052, Australia.</t>
  </si>
  <si>
    <t>tracey.rogers@unsw.edu.au</t>
  </si>
  <si>
    <t>Rogers, Tracey L/C-3419-2008</t>
  </si>
  <si>
    <t>O'Connell, Tamsin/0000-0002-4744-0332; Rogers, Tracey/0000-0002-7141-4177; Slip, David/0000-0002-9010-7236</t>
  </si>
  <si>
    <t>Australian Research Council [LP0989933]; Australian Research Council [LP0989933] Funding Source: Australian Research Council</t>
  </si>
  <si>
    <t>Australian Research Council(Australian Research Council); Australian Research Council(Australian Research Council)</t>
  </si>
  <si>
    <t>Captive seals were sampled under the approved protocol of the TCSA Animal Care and Ethics Committee Numbers 3a/12/2006 and 4a/07/2011. Wild seals were sedated and sampled under the approval provided by the Direccion Nacional del Antartico, Argentina, and SCAR Code of Conduct for Animal Experiments under the approved protocol of the UN SW Animal Care and Ethics Committee Numbers 08/103B and 11/112A. This work was supported by a grant from Australian Research Council (LP0989933).</t>
  </si>
  <si>
    <t>e01449</t>
  </si>
  <si>
    <t>10.1002/ecs2.1449</t>
  </si>
  <si>
    <t>WOS:000390136700021</t>
  </si>
  <si>
    <t>Barriga, GP; Boric-Bargetto, D; Martin, MCS; Neira, V; van Bakel, H; Thompsom, M; Tapia, R; Toro-Ascuy, D; Moreno, L; Vasquez, Y; Sallaberry, M; Torres-Pérez, F; González-Acuña, D; Medina, RA</t>
  </si>
  <si>
    <t>Barriga, Gonzalo P.; Boric-Bargetto, Dusan; Martin, Marcelo Cortez-San; Neira, Victor; van Bakel, Harm; Thompsom, Michele; Tapia, Rodrigo; Toro-Ascuy, Daniela; Moreno, Lucila; Vasquez, Yesseny; Sallaberry, Michel; Torres-Perez, Fernando; Gonzalez-Acuna, Daniel; Medina, Rafael A.</t>
  </si>
  <si>
    <t>Avian Influenza Virus H5 Strain with North American and Eurasian Lineage Genes in an Antarctic Penguin</t>
  </si>
  <si>
    <t>EMERGING INFECTIOUS DISEASES</t>
  </si>
  <si>
    <t>A VIRUS; BIRDS</t>
  </si>
  <si>
    <t>[Barriga, Gonzalo P.; Medina, Rafael A.] Pontificia Univ Catolica Chile, Santiago, Chile; [Boric-Bargetto, Dusan; Torres-Perez, Fernando] Pontificia Univ Catolica Valparaiso, Valparaiso, Chile; [Martin, Marcelo Cortez-San; Toro-Ascuy, Daniela; Vasquez, Yesseny] Univ Santiago, Santiago, Chile; [Neira, Victor; Tapia, Rodrigo; Sallaberry, Michel] Univ Chile, Santiago, Chile; [van Bakel, Harm; Medina, Rafael A.] Icahn Sch Med Mt Sinai, New York, NY 10029 USA; [Thompsom, Michele; Moreno, Lucila; Gonzalez-Acuna, Daniel] Univ Concepcion, Concepcion, Chile; [Medina, Rafael A.] Millennium Inst Immunol &amp; Immunotherapy, Santiago, Chile</t>
  </si>
  <si>
    <t>Pontificia Universidad Catolica de Chile; Pontificia Universidad Catolica de Valparaiso; Universidad de Santiago de Chile; Universidad de Chile; Icahn School of Medicine at Mount Sinai; Universidad de Concepcion</t>
  </si>
  <si>
    <t>Medina, RA (corresponding author), Pontificia Univ Catolica Chile, Escuela Med, Dept Pediat Infect Dis &amp; Immunol, Marcoleta 391, Santiago, Chile.</t>
  </si>
  <si>
    <t>rmedinas@med.puc.cl</t>
  </si>
  <si>
    <t>Torres-Perez, Fernando/B-5002-2008; Ramirez, Victor Manuel Neira/M-8736-2013; Medina, Rafael A./AAW-4418-2020; Moreno Salas, Lucila/HTR-5576-2023; Tapia, Rodrigo/H-4209-2018; van Bakel, Harm/N-9561-2017</t>
  </si>
  <si>
    <t>Torres-Perez, Fernando/0000-0001-8655-7288; Ramirez, Victor Manuel Neira/0000-0001-9062-9969; Medina, Rafael A./0000-0002-5013-6884; Moreno Salas, Lucila/0000-0003-3159-4916; Tapia, Rodrigo/0000-0003-4572-2026; Toro-Ascuy, Daniela/0000-0002-2563-9711; Boric-Bargetto, Dusan/0000-0002-4568-8828; Vasquez Martinez, Yesseny Amneris/0000-0002-4184-9815; van Bakel, Harm/0000-0002-1376-6916</t>
  </si>
  <si>
    <t>NIAID NIH HHS [HHSN272201400008C] Funding Source: Medline</t>
  </si>
  <si>
    <t>NIAID NIH HHS(United States Department of Health &amp; Human ServicesNational Institutes of Health (NIH) - USANIH National Institute of Allergy &amp; Infectious Diseases (NIAID))</t>
  </si>
  <si>
    <t>CENTERS DISEASE CONTROL</t>
  </si>
  <si>
    <t>ATLANTA</t>
  </si>
  <si>
    <t>1600 CLIFTON RD, ATLANTA, GA 30333 USA</t>
  </si>
  <si>
    <t>1080-6040</t>
  </si>
  <si>
    <t>1080-6059</t>
  </si>
  <si>
    <t>EMERG INFECT DIS</t>
  </si>
  <si>
    <t>Emerg. Infect. Dis</t>
  </si>
  <si>
    <t>10.3201/eid2212.161076</t>
  </si>
  <si>
    <t>Immunology; Infectious Diseases</t>
  </si>
  <si>
    <t>ED5SP</t>
  </si>
  <si>
    <t>WOS:000388912900044</t>
  </si>
  <si>
    <t>Abreu, F; Carolina, A; Araujo, V; Leao, P; Silva, KT; de Carvalho, FM; Cunha, OD; Almeida, LG; Geurink, C; Farina, M; Rodelli, D; Jovane, L; Pellizari, VH; de Vasconcelos, AT; Bazylinski, DA; Lins, U</t>
  </si>
  <si>
    <t>Abreu, Fernanda; Carolina, Ana; Araujo, V.; Leao, Pedro; Silva, Karen Tavares; de Carvalho, Fabiola Marques; Cunha, Oberdan de Lima; Almeida, Luiz Gonzaga; Geurink, Corey; Farina, Marcos; Rodelli, Daniel; Jovane, Luigi; Pellizari, Vivian H.; de Vasconcelos, Ana Tereza; Bazylinski, Dennis A.; Lins, Ulysses</t>
  </si>
  <si>
    <t>Culture-independent characterization of novel psychrophilic magnetotactic cocci from Antarctic marine sediments</t>
  </si>
  <si>
    <t>MAGNETIC-PROPERTIES; BACTERIAL COMMUNITIES; MAGNETOSOME FORMATION; ACQUISITION CURVES; DIVERSITY; COMPONENTS; PROKARYOTE; ABUNDANCE; ECOLOGY; ZONE</t>
  </si>
  <si>
    <t>Magnetotactic bacteria (MTB) are a heterogeneous group of ubiquitous aquatic microorganisms capable of biomineralizing nano-sized, membrane-bound, magnetic iron-rich mineral particles called magnetosomes. MTB are found in chemically-stratified aquatic sediments and/or water columns with a wide range of salinities, moderate to high temperatures, and pH varying from neutral to strongly alkaline. MTB from very cold environments have not been investigated to any great degree and here we characterize MTB from the low temperature Antarctic maritime region. Sediment samples were collected at nine sampling sites within Admiralty Bay, King George Island (628230S 588270W) from 2009 to 2013. Samples from five sites contained MTB and those from two of these sites contained large number of magnetotactic cocci that were studied using electron microscopy and molecular techniques. The magnetotactic cocci contained magnetosomes either arranged as two or four chains or as a disorganized cluster. The crystalline habit and composition of all magnetosomes analyzed with high-resolution transmission electron microscopy and energy dispersive X-ray microanalysis were consistent with elongated prismatic crystals of magnetite (Fe3O4). The retrieved 16S rRNA gene sequences from magnetically-enriched magnetotactic cocci clustered into three distinct groups affiliated with the Alphaproteobacteria class of the Proteobacteria. Novel sequences of each phylogenetic cluster were confirmed using fluorescent in situ hybridization. Metagenomic data analysis of magnetically-enriched magnetotactic cocci revealed the presence of mam genes and MTB-specific hypothetical protein coding genes. Sequence homology and phylogenetic analysis indicated that predicted proteins are related to those of cultivated alphaproteobacterial MTB. The consistent and continuous low temperature of the sediment where the magnetotactic cocci are present (always below 1 degrees C) suggests that these MTB from maritime Antarctica are psychrophiles. Moreover, similar morphotypes and 16S gene sequences were retrieved from samples collected from different sites from maritime Antarctica for several years suggesting that these new strains of MTB are indigenous members of Antarctic microbiota.</t>
  </si>
  <si>
    <t>[Abreu, Fernanda; Carolina, Ana; Araujo, V.; Leao, Pedro; Silva, Karen Tavares; Lins, Ulysses] Univ Fed Rio de Janeiro, Inst Microbiol Paulo de Goes, BR-21941902 Rio De Janeiro, RJ, Brazil; [Geurink, Corey; Bazylinski, Dennis A.] Univ Nevada, Sch Life Sci, Las Vegas, NV 89154 USA; [Farina, Marcos] Univ Fed Rio de Janeiro, Inst Ciencias Biomed, BR-21941902 Rio De Janeiro, RJ, Brazil; [Rodelli, Daniel; Jovane, Luigi; Pellizari, Vivian H.] Univ Sao Paulo, Inst Oceanog, BR-05508900 Sao Paulo, SP, Brazil; [de Carvalho, Fabiola Marques; Cunha, Oberdan de Lima; Almeida, Luiz Gonzaga; de Vasconcelos, Ana Tereza] Lab Nacl Computacao Cient, Lab Bioinformat, BR-25651070 Petropolis, RJ, Brazil</t>
  </si>
  <si>
    <t>Universidade Federal do Rio de Janeiro; Nevada System of Higher Education (NSHE); University of Nevada Las Vegas; Universidade Federal do Rio de Janeiro; Universidade de Sao Paulo; Laboratorio Nacional de Computacao Cientifica (LNCC)</t>
  </si>
  <si>
    <t>Lins, U (corresponding author), Univ Fed Rio de Janeiro, Inst Microbiol Paulo de Goes, BR-21941902 Rio De Janeiro, RJ, Brazil.</t>
  </si>
  <si>
    <t>ulins@micro.ufrj.br</t>
  </si>
  <si>
    <t>Farina, Marcos/I-3744-2014; Abreu, Fernanda/N-4824-2017; Carolina, Ana/HDO-1363-2022; Vasconcelos, Ana Carolina Souza de/GXW-3453-2022; Carvalho, Fabiola M/I-4394-2016; Leão, Pedro/AAB-2903-2019; Jovane, Luigi/AAH-5438-2020; Jovane, Luigi/E-7536-2012; Almeida, Luiz/G-5829-2012; Pellizari, Vivian/J-9153-2012; Vasconcelos, Ana Tereza/I-1011-2012</t>
  </si>
  <si>
    <t>Abreu, Fernanda/0000-0003-2356-5840; Leão, Pedro/0000-0001-5386-7626; Jovane, Luigi/0000-0003-4348-4714; Almeida, Luiz/0000-0002-7124-2715; Pellizari, Vivian/0000-0003-2757-6352; Vasconcelos, Ana Tereza/0000-0002-4632-2086; Rodelli, Daniel/0000-0003-1243-6795</t>
  </si>
  <si>
    <t>CNPq; CAPES; FAPERJ; Brazilian Antarctic Program, PROANTAR [403]; FAPESP [JP 2011/22018-3, DR 2012/21212-3]; US National science Foundation [EAR-1423939]; Directorate For Geosciences; Division Of Earth Sciences [1423939] Funding Source: National Science Foundation</t>
  </si>
  <si>
    <t>CNPq(Conselho Nacional de Desenvolvimento Cientifico e Tecnologico (CNPQ)); CAPES(Coordenacao de Aperfeicoamento de Pessoal de Nivel Superior (CAPES)); FAPERJ(Fundacao Carlos Chagas Filho de Amparo a Pesquisa do Estado do Rio De Janeiro (FAPERJ)); Brazilian Antarctic Program, PROANTAR; FAPESP(Fundacao de Amparo a Pesquisa do Estado de Sao Paulo (FAPESP)); US National science Foundation(National Science Foundation (NSF)); Directorate For Geosciences; Division Of Earth Sciences(National Science Foundation (NSF)NSF - Directorate for Geosciences (GEO))</t>
  </si>
  <si>
    <t>We thank Jefferson B. S. Cypriano for helping indexing magnetosomes in HRTEM images, Dr. Lia Cardoso R. S. Teixeira and Dr. Emanuele Kuhn for help during sampling, and Dr. Fabricia F. Nascimento for primer development. Financial support from the Brazilian agencies CNPq, CAPES and FAPERJ is gratefully acknowledged. The financial and logistic support from the Brazilian Antarctic Program, PROANTAR, as part of the IPY Activity no. 403 'MIDIAPI Microbial Diversity of Terrestrial and Maritime ecosystems in Antarctic Peninsula' (520194/2006-3) is also acknowledged. The Brazilian National Science and Technology Institute on Antarctic Environmental Research (INCT-APA, CNPq 574018/2008) kindly provided detailed environmental data. LJ is supported by FAPESP JP 2011/22018-3 and DR is supported by FAPESP DR 2012/21212-3. DAB is supported by US National science Foundation grant EAR-1423939. The authors declare no conflict of interest.</t>
  </si>
  <si>
    <t>10.1111/1462-2920.13388</t>
  </si>
  <si>
    <t>WOS:000392946900011</t>
  </si>
  <si>
    <t>Matos, MN; Lozada, M; Anselmino, LE; Musumeci, MA; Henrissat, B; Jansson, JK; Mac Cormack, WP; Carroll, J; Sjöling, S; Lundgren, L; Dionisi, HM</t>
  </si>
  <si>
    <t>Matos, Marina N.; Lozada, Mariana; Anselmino, Luciano E.; Musumeci, Matias A.; Henrissat, Bernard; Jansson, Janet K.; Mac Cormack, Walter P.; Carroll, JoLynn; Sjoling, Sara; Lundgren, Leif; Dionisi, Hebe M.</t>
  </si>
  <si>
    <t>Metagenomics unveils the attributes of the alginolytic guilds of sediments from four distant cold coastal environments</t>
  </si>
  <si>
    <t>BACTERIAL COMMUNITY STRUCTURE; MARINE BACTERIUM; ALGINATE LYASE; SP-NOV.; DEGRADATION; REVEALS; CLASSIFICATION; GENOME; FAMILY</t>
  </si>
  <si>
    <t>Alginates are abundant polysaccharides in brown algae that constitute an important energy source for marine heterotrophic bacteria. Despite the key role of alginate degradation processes in the marine carbon cycle, little information is available on the bacterial populations involved in these processes. The aim of this work was to gain a better understanding of alginate utilization capabilities in cold coastal environments. Sediment metagenomes from four high-latitude regions of both Hemispheres were interrogated for alginate lyase gene homologue sequences and their genomic context. Sediments contained highly abundant and diverse bacterial assemblages with alginolytic potential, including members of Bacteroidetes and Proteobacteria, as well as several poorly characterized taxa. The microbial communities in Arctic and Antarctic sediments exhibited the most similar alginolytic profiles, whereas brackish sediments showed distinct structures with a higher proportion of novel genes. Examination of the gene neighbourhood of the alginate lyase homologues revealed distinct patterns depending on the potential lineage of the scaffolds, with evidence of evolutionary relationships among alginolytic gene clusters from Bacteroidetes and Proteobacteria. This information is relevant for understanding carbon fluxes in cold coastal environments and provides valuable information for the development of biotechnological applications from brown algae biomass.</t>
  </si>
  <si>
    <t>[Matos, Marina N.; Lozada, Mariana; Anselmino, Luciano E.; Musumeci, Matias A.; Dionisi, Hebe M.] Consejo Nacl Invest Cient &amp; Tecn, Ctr El Estudio Sistemas Marinos CESIMAR, Lab Microbiol Ambiental, U9120ACD, Puerto Madryn, Argentina; [Henrissat, Bernard] Aix Marseille Univ, CNRS, Architecture &amp; Fonct Macromol Biol, F-13288 Marseille, France; [Henrissat, Bernard] INRA, USC AFMB 1408, F-13288 Marseille, France; [Henrissat, Bernard] King Abdulaziz Univ, Dept Biol Sci, Jeddah 21589, Saudi Arabia; [Jansson, Janet K.] Pacific Northwest Natl Lab, Earth &amp; Biol Sci Directorate, Richland, WA 99352 USA; [Mac Cormack, Walter P.] Inst Antartico Argentino, C1064ABR, Buenos Aires, DF, Argentina; [Mac Cormack, Walter P.] Univ Buenos Aires, CONICET, Inst Nanobiotec, C1113AAC, Buenos Aires, DF, Argentina; [Carroll, JoLynn] Fram High North Res Ctr Climate &amp; Environm, Akvaplan Niva, NO-9296 Tromso, Norway; [Carroll, JoLynn] UiT Arctic Univ Norway, CAGE Ctr Arctic Gas Hydrate Environm &amp; Climate, N-9037 Tromso, Norway; [Sjoling, Sara] Sodertorn Univ, Sch Nat Sci &amp; Environm Studies, S-14189 Huddinge, Sweden; [Lundgren, Leif] Stockholm Univ, SE-10691 Stockholm, Sweden</t>
  </si>
  <si>
    <t>Consejo Nacional de Investigaciones Cientificas y Tecnicas (CONICET); Centre National de la Recherche Scientifique (CNRS); Aix-Marseille Universite; INRAE; King Abdulaziz University; United States Department of Energy (DOE); Pacific Northwest National Laboratory; Instituto Antartico Argentino; University of Buenos Aires; Consejo Nacional de Investigaciones Cientificas y Tecnicas (CONICET); Akvaplan-niva; UiT The Arctic University of Tromso; Sodertorn University; Stockholm University</t>
  </si>
  <si>
    <t>Dionisi, HM (corresponding author), Consejo Nacl Invest Cient &amp; Tecn, Ctr El Estudio Sistemas Marinos CESIMAR, Lab Microbiol Ambiental, U9120ACD, Puerto Madryn, Argentina.</t>
  </si>
  <si>
    <t>hdionisi@cenpat-conicet.gob.ar</t>
  </si>
  <si>
    <t>Jansson, Janet/H-5478-2018; Henrissat, Bernard/J-2475-2012; Carroll, JoLynn/AAH-5082-2021</t>
  </si>
  <si>
    <t>Jansson, Janet/0000-0002-5487-4315; Henrissat, Bernard/0000-0002-3434-8588; Carroll, JoLynn/0000-0002-6598-0818; Dionisi, Hebe Monica/0000-0002-8075-2311; Mac Cormack, Walter/0000-0002-5280-5463; Musumeci, Matias/0000-0003-2358-1365</t>
  </si>
  <si>
    <t>Department of Energy-Joint Genome Institute (DOE-JGI) under the Community Sequencing Program (CSP) [403959, 404206, 404777-404782, 404786, 404788-404801]; CONICET [112-200801-01736]; National Agency for the Promotion of Science and Technology of Argentina [0468]; University of Buenos Aires [UBA 2014-2017 20020130100569BA]; European Commission through the Marie Curie Action IRSES IMCONet [318718]; Argentinean Antarctic Institute; ANPCyT [0124]; Pacific Northwest National Laboratory [DE-AC05-76RLO1830]; Agence Nationale de la Recherche [ANR-10-BINF-03-04]; Research Council of Norway [223259]</t>
  </si>
  <si>
    <t>Department of Energy-Joint Genome Institute (DOE-JGI) under the Community Sequencing Program (CSP); CONICET(Consejo Nacional de Investigaciones Cientificas y Tecnicas (CONICET)); National Agency for the Promotion of Science and Technology of Argentina(ANPCyT); University of Buenos Aires(University of Buenos Aires); European Commission through the Marie Curie Action IRSES IMCONet; Argentinean Antarctic Institute(ANPCyT); ANPCyT(ANPCyT); Pacific Northwest National Laboratory(United States Department of Energy (DOE)); Agence Nationale de la Recherche(Agence Nationale de la Recherche (ANR)); Research Council of Norway(Research Council of Norway)</t>
  </si>
  <si>
    <t>ML, MAM and HMD are staff members from The National Research Council of Argentina (CONICET). MNM is a post-doctoral fellow from CONICET. The metagenomic dataset was generated at the Department of Energy-Joint Genome Institute (DOE-JGI) under the Community Sequencing Program (CSP proposal ID 328, project IDs 403959, 404206, 404777-404782, 404786, 404788-404801). HMD and ML were supported by Grants from CONICET (No. 112-200801-01736) and The National Agency for the Promotion of Science and Technology of Argentina (ANPCyT PICT2008 No. 0468). WMC was supported by Grants from the University of Buenos Aires (UBA 2014-2017 20020130100569BA), the European Commission through the Marie Curie Action IRSES IMCONet (Project No. 318718), the Argentinean Antarctic Institute and ANPCyT (PICTO 2010 No. 0124). JKJ was supported by the Pacific Northwest National Laboratory under Contract DE-AC05-76RLO1830. BH was supported by Agence Nationale de la Recherche, Grant BIP:BIP (ANR-10-BINF-03-04). JC's research contribution is supported by the Research Council of Norway (Grant No. 223259). We thank Krystle Chavarria for her technical support and Ricardo Vera and Horacio Ocariz for their help in sample collection. We would like to dedicate this work to our late colleagues Horacio Ocariz and Leif Lundgren, who left us too early.</t>
  </si>
  <si>
    <t>10.1111/1462-2920.13433</t>
  </si>
  <si>
    <t>WOS:000392946900014</t>
  </si>
  <si>
    <t>Xie, F; Li, JP; Tian, WS; Fu, Q; Jin, FF; Hu, YY; Zhang, JK; Wang, WK; Sun, C; Feng, J; Yang, Y; Ding, RQ</t>
  </si>
  <si>
    <t>Xie, Fei; Li, Jianping; Tian, Wenshou; Fu, Qiang; Jin, Fei-Fei; Hu, Yongyun; Zhang, Jiankai; Wang, Wuke; Sun, Cheng; Feng, Juan; Yang, Yun; Ding, Ruiqiang</t>
  </si>
  <si>
    <t>A connection from Arctic stratospheric ozone to El Nino-Southern oscillation</t>
  </si>
  <si>
    <t>ENVIRONMENTAL RESEARCH LETTERS</t>
  </si>
  <si>
    <t>Arctic stratospheric ozone (ASO); ENSO; NPO; Victoria Mode</t>
  </si>
  <si>
    <t>OCEAN RECHARGE PARADIGM; TEMPERATURE TRENDS; NORTH-ATLANTIC; POLAR VORTEX; CLIMATE; ENSO; IMPACT; WINTER; DEPLETION; ENSEMBLE</t>
  </si>
  <si>
    <t>Antarctic stratospheric ozone depletion is thought to influence the Southern Hemisphere tropospheric climate. Recently, Arctic stratospheric ozone (ASO) variations have been found to affect the middle-high latitude tropospheric climate in the Northern Hemisphere. This paper demonstrates that the impact of ASO can extend to the tropics, with the ASO variations leading El Nino-Southern Oscillation (ENSO) events by about 20 months. Using observations, analysis, and simulations, the connection between ASO and ENSO is established by combining the high-latitude stratosphere to troposphere pathway with the extratropical to tropical climate teleconnection. This shows that the ASO radiative anomalies influence the North Pacific Oscillation (NPO), and the anomalous NPO and induced Victoria Mode anomalies link to the North Pacific circulation that then influences ENSO. Our results imply that incorporating realistic and time-varying ASO into climate system models may help to improve ENSO predictions.</t>
  </si>
  <si>
    <t>[Xie, Fei; Li, Jianping; Sun, Cheng; Feng, Juan] Beijing Normal Univ, Coll Global Change &amp; Earth Syst Sci, Beijing, Peoples R China; [Tian, Wenshou; Zhang, Jiankai; Yang, Yun] Lanzhou Univ, Coll Atmospher Sci, Lanzhou, Peoples R China; [Fu, Qiang] Univ Washington, Dept Atmospher Sci, Seattle, WA 98195 USA; [Jin, Fei-Fei] Univ Hawaii Manoa, Dept Meteorol, Honolulu, HI 96822 USA; [Hu, Yongyun] Peking Univ, Sch Phys, Dept Atmospher &amp; Ocean Sci, Beijing, Peoples R China; [Wang, Wuke] Nanjing Univ, Inst Climate &amp; Global Change Res, Sch Atmospher Sci, Nanjing 210023, Jiangsu, Peoples R China; [Ding, Ruiqiang] Chinese Acad Sci, State Key Lab Numer Modeling Atmospher Sci &amp; Geop, Inst Atmospher Phys, Beijing, Peoples R China</t>
  </si>
  <si>
    <t>Beijing Normal University; Lanzhou University; University of Washington; University of Washington Seattle; University of Hawaii System; University of Hawaii Manoa; Peking University; Nanjing University; Chinese Academy of Sciences; Institute of Atmospheric Physics, CAS</t>
  </si>
  <si>
    <t>Li, JP (corresponding author), Beijing Normal Univ, Coll Global Change &amp; Earth Syst Sci, Beijing, Peoples R China.</t>
  </si>
  <si>
    <t>ljp@bnu.edu.cn</t>
  </si>
  <si>
    <t>Hu, Yongyun/B-6786-2016; Zhang, Jiankai/N-8781-2019; Fu, Qiang/W-5836-2019; Xie, Fei/I-9766-2016; Ding, Ruiqiang/AAF-9948-2021; Sun, Cheng/O-7918-2015; Zhang, Jiankai/AAR-3510-2020; Li, Jianping/I-2661-2012</t>
  </si>
  <si>
    <t>Hu, Yongyun/0000-0002-4003-4630; Xie, Fei/0000-0003-2891-3883; Ding, Ruiqiang/0000-0003-4139-3843; Sun, Cheng/0000-0003-0474-7593; Zhang, Jiankai/0000-0002-8491-0225; Li, Jianping/0000-0003-0625-1575</t>
  </si>
  <si>
    <t>Science Foundations of China [41225018, 2014CB441202, 41575039]; Youth Scholars Program of Beijing Normal University; Directorate For Geosciences [1406601] Funding Source: National Science Foundation; Div Atmospheric &amp; Geospace Sciences [1406601] Funding Source: National Science Foundation</t>
  </si>
  <si>
    <t>Science Foundations of China(National Natural Science Foundation of China (NSFC)); Youth Scholars Program of Beijing Normal University; Directorate For Geosciences(National Science Foundation (NSF)NSF - Directorate for Geosciences (GEO)); Div Atmospheric &amp; Geospace Sciences(National Science Foundation (NSF)NSF - Directorate for Geosciences (GEO))</t>
  </si>
  <si>
    <t>Funding for this project was provided by the Science Foundations of China (41225018, 2014CB441202, 41575039) and Youth Scholars Program of Beijing Normal University. We acknowledge the datasets from the MERRA, Climate Prediction Center/NOAA, SWOOSH, Hadley Centre, NCEP2, RICH. We thank NCAR for providing the CESM model. We also thank the helpful comments from Dr Bill Randel and Dr Mojib Latif on the study.</t>
  </si>
  <si>
    <t>1748-9326</t>
  </si>
  <si>
    <t>ENVIRON RES LETT</t>
  </si>
  <si>
    <t>Environ. Res. Lett.</t>
  </si>
  <si>
    <t>10.1088/1748-9326/11/12/124026</t>
  </si>
  <si>
    <t>EG8GN</t>
  </si>
  <si>
    <t>WOS:000391294200004</t>
  </si>
  <si>
    <t>Kain, EC; Lavers, JL; Berg, CJ; Raine, AF; Bond, AL</t>
  </si>
  <si>
    <t>Kain, Elizabeth C.; Lavers, Jennifer L.; Berg, Carl J.; Raine, Andre F.; Bond, Alexander L.</t>
  </si>
  <si>
    <t>Plastic ingestion by Newell's (Puffinus newelli) and wedge-tailed shearwaters (Ardenna pacifica) in Hawaii</t>
  </si>
  <si>
    <t>FLESH-FOOTED SHEARWATERS; MARINE DEBRIS; PHOEBASTRIA-IMMUTABILIS; LAYSAN ALBATROSSES; SEABIRDS; ACCUMULATION; MICROPLASTICS; PREVALENCE; CARNEIPES; PARTICLES</t>
  </si>
  <si>
    <t>The ingestion of plastic by seabirds has been used as an indicator of pollution in the marine environment. On Kaua'i, HI, USA, 50.0 % of Newell's (Puffinus newelli) and 76.9 % of wedge-tailed shearwater (Ardenna pacifica) fledglings necropsied during 2007-2014 contained plastic items in their digestive tract, while 42.1 % of adult wedge-tailed shearwaters had ingested plastic. For both species, the frequency of plastic ingestion has increased since the 1980s with some evidence that the mass and the number of items ingested per bird have also increased. The color of plastic ingested by the shearwaters was assessed relative to beach-washed plastics by using Jaccard's index (where J = 1 complete similarity). The color (J = 0.65-0.68) of items ingested by both species, and the type ingested by wedge-tailed shearwaters (J = 0.85-0.87), overlapped with plastic available in the local environment indicating moderate selection for plastic color and type. This study has shown that the Hawaiian populations of shearwaters, like many seabird species, provide useful but worrying insights into plastic pollution and the health of our oceans.</t>
  </si>
  <si>
    <t>[Kain, Elizabeth C.; Raine, Andre F.] Kauai Endangered Seabird Recovery Project, 3900 Hanapepe Rd, Hanapepe, HI 96716 USA; [Lavers, Jennifer L.] Univ Tasmania, Inst Marine &amp; Antarctic Studies, 20 Castray Esplanade, Battery Point, Tas 7004, Australia; [Berg, Carl J.] Kauai Chapter, Surfrider Fdn, POB 819, Waimea, HI 96796 USA; [Bond, Alexander L.] Ardenna Res, Sandy SG19 2QA, Beds, England</t>
  </si>
  <si>
    <t>Lavers, JL (corresponding author), Univ Tasmania, Inst Marine &amp; Antarctic Studies, 20 Castray Esplanade, Battery Point, Tas 7004, Australia.</t>
  </si>
  <si>
    <t>Jennifer.Lavers@utas.edu.au</t>
  </si>
  <si>
    <t>Bond, Alexander L/A-3786-2010; Lavers, Jennifer/O-4831-2017; Lavers, Jennifer/IWM-5417-2023</t>
  </si>
  <si>
    <t>Lavers, Jennifer/0000-0001-7596-6588;</t>
  </si>
  <si>
    <t>Kaua'i Community College; Kauai Chapter of the Surfrider Foundation; Kaua'i Endangered Seabird Recovery Project (KESRP); Surfrider Foundation, Kaua'i Marine Debris Program</t>
  </si>
  <si>
    <t>This project was a collaboration between the Kaua'i Community College, the Kauai Chapter of the Surfrider Foundation, and the Kaua'i Endangered Seabird Recovery Project (KESRP). Funding was generously provided by the Surfrider Foundation as part of its Kaua'i Marine Debris Program, with staff time and resources provided by KESRP. We thank Save Our Shearwaters, Hawaii Department of Fish and Wildlife, and T. Anderson for additional support. Three anonymous reviewers provided valuable feedback on earlier drafts of the manuscript.</t>
  </si>
  <si>
    <t>10.1007/s11356-016-7613-1</t>
  </si>
  <si>
    <t>ED1JL</t>
  </si>
  <si>
    <t>WOS:000388601400055</t>
  </si>
  <si>
    <t>Adhikari, D; Webster, DR; Yen, J</t>
  </si>
  <si>
    <t>Adhikari, Deepak; Webster, Donald R.; Yen, Jeannette</t>
  </si>
  <si>
    <t>Portable tomographic PIV measurements of swimming shelled Antarctic pteropods</t>
  </si>
  <si>
    <t>EXPERIMENTS IN FLUIDS</t>
  </si>
  <si>
    <t>PARTICLE IMAGE VELOCIMETRY; SYNTHETIC-APERTURE PIV; VORTEX RECONNECTION; OCEAN ACIDIFICATION; FISH LOCOMOTION; FLOW; FLIGHT; WAKE; KINEMATICS; MODEL</t>
  </si>
  <si>
    <t>A portable tomographic particle image velocimetry (tomographic PIV) system is described. The system was successfully deployed in Antarctica to study shelled Antarctic pteropods (Limacina helicina antarctica)-a delicate organism with an unusual propulsion mechanism. The experimental setup consists of a free-standing frame assembled with optical rails, thus avoiding the need for heavy and bulky equipment (e.g. an optical table). The cameras, lasers, optics, and tanks are all rigidly supported within the frame assembly. The results indicate that the pteropods flap their parapodia (or wings) downward during both power and recovery strokes, which is facilitated by the pitching of their shell. Shell pitching significantly alters the flapping trajectory, allowing the pteropod to move vertically and/or horizontally. The pronation and supination of the parapodia, together with the figure-eight motion during flapping, suggest similarities with insect flight. The volumetric velocity field surrounding the freely swimming pteropod reveals the generation of an attached vortex ring connecting the leading-edge vortex to the trailing-edge vortex during power stroke and a presence of a leading-edge vortex during recovery stroke. These vortex structures play a major role in accelerating the organism vertically and indicate that forces generated on the parapodia during flapping constitute both lift and drag. After completing each stroke, two vortex rings are shed into the wake of the pteropod. The complex combination of body kinematics (parapodia flapping, shell pitch, sawtooth trajectory), flow structures, and resulting force balance may be significantly altered by thinning of the pteropod shell, thus making pteropods an indicator of the detrimental effects of ocean acidification.</t>
  </si>
  <si>
    <t>[Adhikari, Deepak; Webster, Donald R.] Georgia Inst Technol, Sch Civil &amp; Environm Engn, 790 Atlantic Dr, Atlanta, GA 30332 USA; [Yen, Jeannette] Georgia Inst Technol, Sch Biol, 950 Atlantic Dr, Atlanta, GA 30332 USA</t>
  </si>
  <si>
    <t>University System of Georgia; Georgia Institute of Technology; University System of Georgia; Georgia Institute of Technology</t>
  </si>
  <si>
    <t>Adhikari, D (corresponding author), Georgia Inst Technol, Sch Civil &amp; Environm Engn, 790 Atlantic Dr, Atlanta, GA 30332 USA.</t>
  </si>
  <si>
    <t>deepak.adhikari@ce.gatech.edu</t>
  </si>
  <si>
    <t>US National Science Foundation [PLR-1246296]; Office of Polar Programs (OPP); Directorate For Geosciences [1246296] Funding Source: National Science Foundation</t>
  </si>
  <si>
    <t>US National Science Foundation(National Science Foundation (NSF)); Office of Polar Programs (OPP); Directorate For Geosciences(National Science Foundation (NSF)NSF - Directorate for Geosciences (GEO))</t>
  </si>
  <si>
    <t>We thank the United States Antarctic Program for their support on RV Laurence M. Gould and at Palmer Station, Antarctica, that made this study successful. We gratefully acknowledge Dr. David Fields (Bigelow Laboratory for Ocean Sciences), Dr. Roi Holzman (Tel Aviv University), Dr. Rajat Mittal (Johns Hopkins University), Dr. Marc Weissburg (Georgia Institute of Technology), and Dr. Jun Zhang (New York University) for many fruitful discussions and their help in collecting pteropods in Antarctica. This work is supported by the US National Science Foundation (PLR-1246296).</t>
  </si>
  <si>
    <t>0723-4864</t>
  </si>
  <si>
    <t>1432-1114</t>
  </si>
  <si>
    <t>EXP FLUIDS</t>
  </si>
  <si>
    <t>Exp. Fluids</t>
  </si>
  <si>
    <t>10.1007/s00348-016-2269-7</t>
  </si>
  <si>
    <t>Engineering, Mechanical; Mechanics</t>
  </si>
  <si>
    <t>Engineering; Mechanics</t>
  </si>
  <si>
    <t>ED3GW</t>
  </si>
  <si>
    <t>WOS:000388738600005</t>
  </si>
  <si>
    <t>Nash, KL; Graham, NAJ</t>
  </si>
  <si>
    <t>Nash, Kirsty L.; Graham, Nicholas A. J.</t>
  </si>
  <si>
    <t>Ecological indicators for coral reef fisheries management</t>
  </si>
  <si>
    <t>Artisanal fisheries; ecosystem function; indicator selection; reference points; sensitivity; specificity</t>
  </si>
  <si>
    <t>ECOSYSTEM-BASED MANAGEMENT; DATA-POOR FISHERIES; LIFE-HISTORY STRATEGIES; SIZE-BASED INDICATORS; MARINE FOOD WEBS; FISH COMMUNITIES; REFERENCE POINTS; BODY-SIZE; FUNCTIONAL DIVERSITY; HARVEST STRATEGIES</t>
  </si>
  <si>
    <t>Coral reef fisheries are of great importance both economically and for food security, but many reefs are showing evidence of overfishing, with significant ecosystem-level consequences for reef condition. In response, ecological indicators have been developed to assess the state of reef fisheries and their broader ecosystem-level impacts. To date, use of fisheries indicators for coral reefs has been rather piecemeal, with no overarching understanding of their performance with respect to highlighting fishing effects. Here, we provide a review of multispecies fishery-independent indicators used to evaluate fishing impacts on coral reefs. We investigate the consistency with which indicators highlight fishing effects on coral reefs. We then address questions of statistical power and uncertainty, type of fishing gradient, scale of analysis, the influence of other variables and the need for more work to set reference points for empirical, fisheries-independent indicators on coral reefs. Our review provides knowledge that will help underpin the assessment of the ecological effects of fishing, offering essential support for the development and implementation of coral reef fisheries management plans.</t>
  </si>
  <si>
    <t>[Nash, Kirsty L.; Graham, Nicholas A. J.] James Cook Univ, ARC Ctr Excellence Coral Reef Studies, Townsville, Qld 4811, Australia; [Nash, Kirsty L.] Univ Tasmania, Ctr Marine Socioecol, Inst Marine &amp; Antarctic Studies, Hobart, Tas 7000, Australia; [Graham, Nicholas A. J.] Univ Lancaster, Lancaster Environm Ctr, Lancaster LA1 4YQ, England</t>
  </si>
  <si>
    <t>James Cook University; University of Tasmania; Lancaster University</t>
  </si>
  <si>
    <t>Nash, KL (corresponding author), IMAS Hobart, Private Bag 129, Hobart, Tas 7001, Australia.</t>
  </si>
  <si>
    <t>nashkirsty@gmail.com</t>
  </si>
  <si>
    <t>Nash, Kirsty L/B-5456-2015; Graham, Nicholas/C-8360-2014</t>
  </si>
  <si>
    <t>Nash, Kirsty L/0000-0003-0976-3197; Graham, Nicholas/0000-0002-0304-7467</t>
  </si>
  <si>
    <t>Australian Research Council; Royal Society; Natural Environment Research Council [ceh010010] Funding Source: researchfish</t>
  </si>
  <si>
    <t>Australian Research Council(Australian Research Council); Royal Society(Royal Society); Natural Environment Research Council(UK Research &amp; Innovation (UKRI)Natural Environment Research Council (NERC))</t>
  </si>
  <si>
    <t>This work was supported by the Australian Research Council. Nick Graham is supported by the Royal Society. Thank you to Jessica Blythe and Paul Markey for their comments on the manuscript. We thank four anonymous reviewers for their comments, which prompted significant improvements to the manuscript.</t>
  </si>
  <si>
    <t>10.1111/faf.12157</t>
  </si>
  <si>
    <t>EA9CO</t>
  </si>
  <si>
    <t>WOS:000386938900006</t>
  </si>
  <si>
    <t>Ziegler, F; Hornborg, S; Green, BS; Eigaard, OR; Farmery, AK; Hammar, L; Hartmann, K; Molander, S; Parker, RWR; Hognes, ES; Vázquez-Rowe, I; Smith, ADM</t>
  </si>
  <si>
    <t>Ziegler, Friederike; Hornborg, Sara; Green, Bridget S.; Eigaard, Ole Ritzau; Farmery, Anna K.; Hammar, Linus; Hartmann, Klaas; Molander, Sverker; Parker, Robert W. R.; Hognes, Erik Skontorp; Vazquez-Rowe, Ian; Smith, Anthony D. M.</t>
  </si>
  <si>
    <t>Expanding the concept of sustainable seafood using Life Cycle Assessment</t>
  </si>
  <si>
    <t>Carbon footprint; fisheries management; fuel; LCA; seafood; sustainable fisheries</t>
  </si>
  <si>
    <t>ENVIRONMENTAL ASSESSMENT; CARBON FOOTPRINTS; UNRESOLVED PROBLEMS; ECOSYSTEM APPROACH; IMPACT CATEGORIES; FARMED SALMON; FISHERIES; PRODUCTS; LCA; IMPLEMENTATION</t>
  </si>
  <si>
    <t>Fisheries management and sustainability assessment of fisheries more generally have recently expanded their scope from single-species stock assessment to ecosystem-based approaches, aiming to incorporate economic, social and local environmental impacts, while still excluding global-scale environmental impacts. In parallel, Life Cycle Assessment (LCA) has emerged as a widely used and recommended framework to assess environmental impacts of products, including global-scale impacts. For over a decade, LCA has been applied to seafood supply chains, leading to new insights into the environmental impact of seafood products. We present insights from seafood LCA research with particular focus on evaluating fisheries management, which strongly influences the environmental impact of seafood products. Further, we suggest tangible ways in which LCA could be taken up in management. By identifying trade-offs, LCA can be a useful decision support tool and avoids problem shifting from one concern (or activity) to another. The integrated, product-based and quantitative perspective brought by LCA could complement existing tools. One example is to follow up fuel use of fishing, as the production and combustion of fuel used dominates overall results for various types of environmental impacts of seafood products, and is also often linked to biological impacts of fishing. Reducing the fuel use of fisheries is therefore effective to reduce overall impacts. Allocating fishing rights based on environmental performance could likewise facilitate the transition to low-impact fisheries. Taking these steps in an open dialogue between fishers, managers, industry, NGOs and consumers would enable more targeted progress towards sustainable fisheries.</t>
  </si>
  <si>
    <t>[Ziegler, Friederike; Hornborg, Sara] SP Tech Res Inst Sweden, Food &amp; Biosci, POB 5401, S-40229 Gothenburg, Sweden; [Green, Bridget S.; Farmery, Anna K.; Hartmann, Klaas; Parker, Robert W. R.] Univ Tasmania, Inst Marine &amp; Antarctic Studies, Hobart, Tas, Australia; [Eigaard, Ole Ritzau] Tech Univ Denmark, Natl Inst Aquat Resources, Lyngby, Denmark; [Hammar, Linus; Molander, Sverker] Chalmers Univ Technol, Environm &amp; Energy Dept, Environm Syst Anal, Gothenburg, Sweden; [Hognes, Erik Skontorp] SINTEF Fisheries &amp; Aquaculture, Trondheim, Norway; [Vazquez-Rowe, Ian] Pontificia Univ Catolica Peru, Peruvian LCA Network, Dept Engn, Lima, Peru; [Vazquez-Rowe, Ian] Univ Santiago Compostela, Dept Chem Engn, Santiago De Compostela, Spain; [Smith, Anthony D. M.] CSIRO, Wealth Oceans Flagship, Hobart, Tas, Australia</t>
  </si>
  <si>
    <t>SP Technical Research Institute of Sweden; University of Tasmania; Technical University of Denmark; Chalmers University of Technology; SINTEF; Pontificia Universidad Catolica del Peru; Universidade de Santiago de Compostela; Commonwealth Scientific &amp; Industrial Research Organisation (CSIRO)</t>
  </si>
  <si>
    <t>Ziegler, F (corresponding author), SP Tech Res Inst Sweden, Food &amp; Biosci, POB 5401, S-40229 Gothenburg, Sweden.</t>
  </si>
  <si>
    <t>friederike.ziegler@sp.se</t>
  </si>
  <si>
    <t>Parker, Robert/J-4476-2012; Vázquez-Rowe, Ian/JRY-6839-2023; Green, Bridget S/G-3368-2014; Farmery, Anna/H-9696-2014; Hartmann, Klaas/B-3991-2008; Molander, Sverker/E-1462-2012</t>
  </si>
  <si>
    <t>Parker, Robert/0000-0003-1910-8081; Farmery, Anna/0000-0002-8938-0040; Vazquez-Rowe, Ian/0000-0002-7469-2033; Molander, Sverker/0000-0002-9081-8847; Hornborg, Sara/0000-0003-0814-5258; Eigaard, Ole Ritzau/0000-0003-4213-2397</t>
  </si>
  <si>
    <t>King Carl XVI Gustaf Foundation for Science, Technology and Environment; Swedish Research Council Formas; Australian Department of Education, Employment and Workplace Relations: Grant-ANNIMS Springboard Program; Galician Government</t>
  </si>
  <si>
    <t>King Carl XVI Gustaf Foundation for Science, Technology and Environment; Swedish Research Council Formas(Swedish Research Council Formas); Australian Department of Education, Employment and Workplace Relations: Grant-ANNIMS Springboard Program(Australian GovernmentDepartment of Industry, Innovation and Science); Galician Government</t>
  </si>
  <si>
    <t>The King Carl XVI Gustaf Foundation for Science, Technology and Environment and the Swedish Research Council Formas are gratefully acknowledged for funding the workshop that initiated this manuscript as well as the work of FZ and SH. The Australian Department of Education, Employment and Workplace Relations: Grant-ANNIMS Springboard Program supported BG, KH and ADMS to attend the workshop. IVR wishes to thank the Galician Government for financial support (I2C postdoctoral student grants programme). We are also grateful to Peter Tyedmers and four anonymous reviewers who all provided valuable comments that helped us improve the manuscript.</t>
  </si>
  <si>
    <t>10.1111/faf.12159</t>
  </si>
  <si>
    <t>WOS:000386938900008</t>
  </si>
  <si>
    <t>Xiong, X; Guardone, L; Cornax, MJ; Tinacci, L; Guidi, A; Gianfaldoni, D; Armani, A</t>
  </si>
  <si>
    <t>Xiong, Xiong; Guardone, Lisa; Jose Cornax, Maria; Tinacci, Lara; Guidi, Alessandra; Gianfaldoni, Daniela; Armani, Andrea</t>
  </si>
  <si>
    <t>DNA barcoding reveals substitution of Sablefish (Anoplopoma fimbria) with Patagonian and Antarctic Toothfish (Dissostichus eleginoides and Dissostichus mawsoni) in online market in China: How mislabeling opens door to IUU fishing</t>
  </si>
  <si>
    <t>FOOD CONTROL</t>
  </si>
  <si>
    <t>Sablefish; Anoplopoma fimbria; Toothfish; Dissostichus spp. Chinese E-commerce; Seafood frauds; DNA barcoding; Species identification; Illegal Unreported and Unregulated (IUU)</t>
  </si>
  <si>
    <t>GLOBAL TRADE; SEAFOOD; PRODUCTS; SOLD; MISREPRESENTATION; AUTHENTICATION; SUSTAINABILITY; IDENTIFICATION; TRACEABILITY; FISHERY</t>
  </si>
  <si>
    <t>China's rapid economic development has determined profound changes in seafood consumption patterns, and nowadays besides the traditional luxury seafood, high-quality marine fish are consumed. Among these is Anoplopoma fimbria (Sablefish), a highly priced species on the Chinese market. A recent molecular survey on products sold online in China found that all the analyzed products sold as Yin Xue, used to indicate A. fimbria, were instead Dissostichus spp., a genus of fish extremely vulnerable to overfishing (Xiong et al., 2016). Considering this and the lack of a standardized naming system for seafood species in China, an initial search was conducted to identify all the possible Chinese names indicating A. fimbria. The aim of the present study was to assess the challenges of the online market with regards to frauds for fish species substitution. DNA barcoding was employed to verify the identity of 42 products sold on e-commerce platforms as Sablefish. Moreover, the information reported on the web page and on the label was analyzed according to the Chinese regulation in force. All the PCR products gave readable sequences. By using the IDs analysis on BOLD and the BLAST analysis on GenBank all the samples were unambiguously identified at the species level. Of the 42 products sold as Sablefish, only 6 (143%) were molecularly identified as this species, while 32 (76.2%) were identified as Dissostichus eleginoides (Patagonian Toothfish) and 4 (9.5%) as Dissostichus mawsoni (Antarctic Toothfish), highlighting an alarming overall misrepresentation rate of 85.7% and implications for the management of these species' fisheries. The combined analysis of all the information of the webpages and the labels allowed us to hypothesize unintentional and intentional mislabeling. Our findings suggest the possible existence of a trade pattern enabling IUU fishing operators to launder illegal catches of Toothfish through mislabeling. (C) 2016 Elsevier Ltd. All rights reserved.</t>
  </si>
  <si>
    <t>[Xiong, Xiong; Guardone, Lisa; Tinacci, Lara; Guidi, Alessandra; Gianfaldoni, Daniela; Armani, Andrea] Univ Pisa, Dept Vet Sci, FishLab, Via Piagge 2, I-56124 Pisa, Italy; [Jose Cornax, Maria] Oceana, Gran Via 59,9, Madrid 28013, Spain</t>
  </si>
  <si>
    <t>University of Pisa</t>
  </si>
  <si>
    <t>Armani, A (corresponding author), Univ Pisa, Dept Vet Sci, FishLab, Via Piagge 2, I-56124 Pisa, Italy.</t>
  </si>
  <si>
    <t>andrea.armani@unipi.it</t>
  </si>
  <si>
    <t>Guardone, Lisa/AAC-1178-2022; Tinacci, Lara/ABE-1227-2020; Armani, Andrea/ACG-9370-2022</t>
  </si>
  <si>
    <t>Armani, Andrea/0000-0002-9614-2032; TINACCI, LARA/0000-0002-0535-1155; Guidi, Alessandra/0000-0002-4690-4617; Lisa, Guardone/0000-0003-3018-8086</t>
  </si>
  <si>
    <t>0956-7135</t>
  </si>
  <si>
    <t>1873-7129</t>
  </si>
  <si>
    <t>Food Control</t>
  </si>
  <si>
    <t>10.1016/j.foodcont.2016.06.010</t>
  </si>
  <si>
    <t>DT5RI</t>
  </si>
  <si>
    <t>WOS:000381539900047</t>
  </si>
  <si>
    <t>Byrne, M; Gall, M; Wolfe, K; Agüera, A</t>
  </si>
  <si>
    <t>Byrne, Maria; Gall, Mailie; Wolfe, Kennedy; Aguera, Antonio</t>
  </si>
  <si>
    <t>From pole to pole: the potential for the Arctic seastar Asterias amurensis to invade a warming Southern Ocean</t>
  </si>
  <si>
    <t>Antarctica; asteroid; climate change; introduced species; larva; ocean warming; southern migration; thermal tolerance</t>
  </si>
  <si>
    <t>BENTHIC MARINE-INVERTEBRATES; EUROPEAN GREEN CRAB; SEA STAR; THERMAL TOLERANCE; CLIMATE-CHANGE; RUBENS L; RANGE SHIFTS; KING CRABS; TEMPERATURE; POPULATION</t>
  </si>
  <si>
    <t>Due to climatic warming, Asterias amurensis, a keystone boreal predatory seastar that has established extensive invasive populations in southern Australia, is a potential high-risk invader of the sub-Antarctic and Antarctic. To assess the potential range expansion of A.amurensis to the Southern Ocean as it warms, we investigated the bioclimatic envelope of the adult and larval life stages. We analysed the distribution of adult A.amurensis with respect to present-day and future climate scenarios using habitat temperature data to construct species distribution models (SDMs). To integrate the physiological response of the dispersive phase, we determined the thermal envelope of larval development to assess their performance in present-day and future thermal regimes and the potential for success of A.amurensis in poleward latitudes. The SDM indicated that the thermal niche' of the adult stage correlates with a 0-17 degrees C and 1-22.5 degrees C range, in winter and summer, respectively. As the ocean warms, the range of A. amurensis in Australia will contract, while more southern latitudes will have conditions favourable for range expansion. Successful fertilization occurred from 3 to 23.8 degrees C. By day 12, development to the early larval stage was successful from 5.5 to 18 degrees C. Although embryos were able to reach the blastula stage at 2 degrees C, they had arrested development and high mortality. The optimal thermal range for survival of pelagic stages was 3.5-19.2 degrees C with a lower and upper critical limit of 2.6 and 20.3 degrees C, respectively. Our data predict that A.amurensis faces demise in its current invasive range while more favourable conditions at higher latitudes would facilitate invasion of both larval and adult stages to the Southern Ocean. Our results show that vigilance is needed to reduce the risk that this ecologically important Arctic carnivore may invade the Southern Ocean and Antarctica.</t>
  </si>
  <si>
    <t>[Byrne, Maria; Gall, Mailie; Wolfe, Kennedy] Univ Sydney, Sch Med Sci, Sydney, NSW 2006, Australia; [Byrne, Maria] Univ Sydney, Sch Biol Sci, Sydney, NSW 2006, Australia; [Aguera, Antonio] Univ Libre Bruxelles, Lab Biol Marine, B-501050 Brussels, Belgium</t>
  </si>
  <si>
    <t>University of Sydney; University of Sydney; Universite Libre de Bruxelles</t>
  </si>
  <si>
    <t>Byrne, M (corresponding author), Univ Sydney, Sch Med Sci, Sydney, NSW 2006, Australia.;Byrne, M (corresponding author), Univ Sydney, Sch Biol Sci, Sydney, NSW 2006, Australia.</t>
  </si>
  <si>
    <t>maria.byrne@sydney.edu.au</t>
  </si>
  <si>
    <t>Byrne, Maria/K-6355-2016; Agüera, Antonio/O-5498-2017</t>
  </si>
  <si>
    <t>Byrne, Maria/0000-0002-8902-9808; Agüera, Antonio/0000-0003-0076-1849; Gall, Mailie/0000-0001-7018-2426; Wolfe, Kennedy/0000-0002-9502-6769</t>
  </si>
  <si>
    <t>Belgian Science Policy Office [BR/132/A1/vERSO]</t>
  </si>
  <si>
    <t>Belgian Science Policy Office(Belgian Federal Science Policy Office)</t>
  </si>
  <si>
    <t>We thank Dr. Sebastian Holmes for assistance with equipment. This study was supported by a grant from the Belgian Science Policy Office (BR/132/A1/vERSO) to AA. The reviewers are thanked for very helpful comments that improved the manuscript. This is contribution number 176 of the Sydney Institute of Marine Science.</t>
  </si>
  <si>
    <t>10.1111/gcb.13304</t>
  </si>
  <si>
    <t>EC0TJ</t>
  </si>
  <si>
    <t>WOS:000387813300005</t>
  </si>
  <si>
    <t>Chandler, JC; Aizen, J; Fitzgibbon, QP; Elizur, A; Ventura, T</t>
  </si>
  <si>
    <t>Chandler, Jennifer C.; Aizen, Joseph; Fitzgibbon, Quinn P.; Elizur, Abigail; Ventura, Tomer</t>
  </si>
  <si>
    <t>Applying the Power of Transcriptomics: Understanding Male Sexual Development in Decapod Crustacea</t>
  </si>
  <si>
    <t>INTEGRATIVE AND COMPARATIVE BIOLOGY</t>
  </si>
  <si>
    <t>Symposium on Tapping the Power of Crustacean Transcriptomics to Address Grand Challenges in Comparative Biology at the Annual Meeting of the Society-for-Integrative-and-Comparative-Biology</t>
  </si>
  <si>
    <t>JAN 03-07, 2016</t>
  </si>
  <si>
    <t>ANDROGENIC GLAND HORMONE; INSULIN-LIKE GENE; ORIENTAL RIVER PRAWN; FRESH-WATER PRAWN; PENAEUS MARSUPENAEUS JAPONICUS; CARIBBEAN SPINY LOBSTERS; ALL-MALE POPULATIONS; BINDING-PROTEIN; MUD CRAB; CHERAX-QUADRICARINATUS</t>
  </si>
  <si>
    <t>The decapod Crustacea are the most species-rich order of the Crustacea and include some of the most charismatic and highly valued commercial species. Thus the decapods draw a significant research interest in relation to aquaculture, as well as gaining a broader understanding of these species' biology. However, the diverse physiology of the group considered with the lack of a model species have presented an obstacle for comparative analyses. In reflection of this, the recent integration of comparative transcriptomics has rapidly advanced our understanding of key regulatory pathways and developmental phenomena, an example being our understanding of sexual development. We discuss our work in the Eastern spiny lobster, Sagmariasus verreauxi, in the context of what is currently known about male sexual development in the decapods, highlighting the importance of transcriptomic techniques in achieving our recent advancements. We describe the progression made in our understanding of male sexual differentiation and maturation, as mediated by the insulin-like androgenic gland hormone (IAG), integrating the role of regulatory binding proteins (IGFBPs), a tyrosine kinase insulin receptor (TKIR), as well as the upstream effect of neuroendocrine hormones (GIH and MIH). We then consider the less well understood mechanism of male sex determination, with an emphasis on what we believe to be the key regulatory factors, the Dsx-and mab-3-related transcription factors (Dmrts). Finally, we discuss the function of the antennal gland (AnG) in sexual development, relating to the emergence of male-biased upregulation in the AnG in later sexual maturation and the sexually dimorphic expression of two key genes Sv-TKIR and Sv-Dmrt1. We then present the AnG as a case study to illustrate how comparative transcriptomic techniques can be applied to guide preliminary analyses, like the hypothesis that the AnG may function in pheromone biosynthesis. In summary, we describe the power of transcriptomics in facilitating the progress made in our understanding of male sexual development, as illustrated by the commercial decapod species, S. verreauxi. Considering future directions, we suggest that the integration of multiple omics-based techniques offers the most powerful tool to ensure we continue to piece together the biology of the important group of decapod Crustacea.</t>
  </si>
  <si>
    <t>[Chandler, Jennifer C.; Aizen, Joseph; Elizur, Abigail; Ventura, Tomer] Univ Sunshine Coast, GeneCol Res Ctr, Fac Sci Hlth Educ &amp; Engn, 4 Locked Bag, Maroochydore, Qld 4558, Australia; [Fitzgibbon, Quinn P.] Univ Tasmania, Inst Marine &amp; Antarctic Studies, Fisheries &amp; Aquaculture Ctr, Private Bag 49, Hobart, Tas 7001, Australia</t>
  </si>
  <si>
    <t>University of the Sunshine Coast; University of Tasmania</t>
  </si>
  <si>
    <t>Ventura, T (corresponding author), Univ Sunshine Coast, GeneCol Res Ctr, Fac Sci Hlth Educ &amp; Engn, 4 Locked Bag, Maroochydore, Qld 4558, Australia.</t>
  </si>
  <si>
    <t>tventura@usc.edu.au</t>
  </si>
  <si>
    <t>Ventura, T./H-9832-2019; Aizen, Joseph/Y-1122-2019; Elizur, Abigail/B-7708-2012</t>
  </si>
  <si>
    <t>Ventura, T./0000-0002-0777-2367; Aizen, Joseph/0000-0002-2018-7322; Elizur, Abigail/0000-0002-2960-302X; Fitzgibbon, Quinn/0000-0002-1104-3052; Chandler, Jennifer C./0000-0001-9785-4528</t>
  </si>
  <si>
    <t>Australian Research Council via a Discovery Early Career Research Award [DE130101089]; Industrial Transformation Research Hub [IH 120100032]; Discovery [DP160103320]; USC Collaborative Research Networks (CRN) grant program; Direct For Biological Sciences; Division Of Integrative Organismal Systems [1551003] Funding Source: National Science Foundation</t>
  </si>
  <si>
    <t>Australian Research Council via a Discovery Early Career Research Award(Australian Research Council); Industrial Transformation Research Hub; Discovery; USC Collaborative Research Networks (CRN) grant program; Direct For Biological Sciences; Division Of Integrative Organismal Systems(National Science Foundation (NSF)NSF - Directorate for Biological Sciences (BIO)NSF - Division of Integrative Organismal Systems (IOS))</t>
  </si>
  <si>
    <t>This work was supported by the Australian Research Council via a Discovery Early Career Research Award [DE130101089 to T.V.], Industrial Transformation Research Hub [IH 120100032 to Q.P.F.] and Discovery [DP160103320 to T.V. and Q.P.F.], as well as the USC Collaborative Research Networks (CRN) grant program.</t>
  </si>
  <si>
    <t>OXFORD UNIV PRESS INC</t>
  </si>
  <si>
    <t>CARY</t>
  </si>
  <si>
    <t>JOURNALS DEPT, 2001 EVANS RD, CARY, NC 27513 USA</t>
  </si>
  <si>
    <t>1540-7063</t>
  </si>
  <si>
    <t>1557-7023</t>
  </si>
  <si>
    <t>INTEGR COMP BIOL</t>
  </si>
  <si>
    <t>Integr. Comp. Biol.</t>
  </si>
  <si>
    <t>10.1093/icb/icw007</t>
  </si>
  <si>
    <t>EN2CV</t>
  </si>
  <si>
    <t>WOS:000395818000009</t>
  </si>
  <si>
    <t>Alexeev, VA; Ivanov, VV; Repina, IA; Lavrova, OY; Stanichny, SV</t>
  </si>
  <si>
    <t>Alexeev, V. A.; Ivanov, V. V.; Repina, I. A.; Lavrova, O. Yu.; Stanichny, S. V.</t>
  </si>
  <si>
    <t>Convective structures in the Lofoten Basin based on satellite and Argo data</t>
  </si>
  <si>
    <t>thermohaline structure of the Arctic waters; deep convection; sea-surface temperature; satellite altimetry; Argo oceanographic floats</t>
  </si>
  <si>
    <t>NORDIC SEAS; SURFACE CIRCULATION; NORTH-ATLANTIC; GREENLAND SEA; VARIABILITY; DRIFTERS; VORTEX; TERRA; MODIS; AQUA</t>
  </si>
  <si>
    <t>We discuss the possibility of detecting deep convection in the Lofoten Basin of the Norwegian Sea based on the eddy structures revealed from the satellite data. Satellite altimetry, SAR imagery, and MODIS satellite spectral radiometer sea-surface temperature (SST) data are used in the analysis, along with the data of oceanographic Argo floats. It is shown that the eddies identified from the satellite data correspond to the convective cells in the same region according to the data of the Argo floats. We consider several examples of the summer eddy and one winter eddy and the corresponding structures in the ocean measured by the Argo floats when they were located close to the identified eddies. As this method develops and improves, it can be used for the analysis of the dynamic of oceanic eddies in the region of the Lofoten Basin, and possibly in other regions with active deep convection.</t>
  </si>
  <si>
    <t>[Alexeev, V. A.; Ivanov, V. V.] Univ Alaska, Int Arctic Res Ctr, Fairbanks, AK 99701 USA; [Ivanov, V. V.] Arctic &amp; Antarctic Res Inst, St Petersburg, Russia; [Ivanov, V. V.; Repina, I. A.] Russian Acad Sci, Obukhov Inst Atmospher Phys, Moscow, Russia; [Repina, I. A.; Lavrova, O. Yu.] Russian Acad Sci, Space Res Inst, Moscow, Russia; [Stanichny, S. V.] Inst Marine Hydrophys, Sevastopol, Russia</t>
  </si>
  <si>
    <t>University of Alaska System; University of Alaska Fairbanks; Arctic &amp; Antarctic Research Institute; Russian Academy of Sciences; Obukhov Institute of Atmospheric Physics of Russian Academy of Sciences; Russian Academy of Sciences; Space Research Institute of the Russian Academy of Sciences; Marine Hydrophysical Institute of RAS</t>
  </si>
  <si>
    <t>Repina, IA (corresponding author), Russian Acad Sci, Obukhov Inst Atmospher Phys, Moscow, Russia.;Repina, IA (corresponding author), Russian Acad Sci, Space Res Inst, Moscow, Russia.</t>
  </si>
  <si>
    <t>repina@ifaran.ru</t>
  </si>
  <si>
    <t>Ivanov, Vladimir/AAX-6830-2020; Ivanov, Vladimir/J-5979-2014; Lavrova, Olga/A-4543-2014; alexeev, vladimir/B-2234-2010; Repina, Irina A/H-3530-2016; Stanichny, Sergey/F-8915-2014</t>
  </si>
  <si>
    <t>Ivanov, Vladimir/0000-0003-2569-6027; Lavrova, Olga/0000-0003-1379-6290; alexeev, vladimir/0000-0003-3519-2797; Repina, Irina/0000-0001-7341-0826; Stanichny, Sergey/0000-0002-1033-5678</t>
  </si>
  <si>
    <t>Russian Foundation for Basic Research [13-05-41443, 14-05-00039]</t>
  </si>
  <si>
    <t>This work was supported by the Russian Foundation for Basic Research (grant nos. 13-05-41443 and 14-05-00039).</t>
  </si>
  <si>
    <t>10.1134/S0001433816090036</t>
  </si>
  <si>
    <t>WOS:000394270700017</t>
  </si>
  <si>
    <t>Barnes, DKA; Sands, CJ; Hogg, OT; Robinson, BJO; Downey, RV; Smith, JA</t>
  </si>
  <si>
    <t>Barnes, David K. A.; Sands, Chester J.; Hogg, Oliver T.; Robinson, Ben J. O.; Downey, Rachel V.; Smith, James A.</t>
  </si>
  <si>
    <t>Biodiversity signature of the Last Glacial Maximum at South Georgia, Southern Ocean</t>
  </si>
  <si>
    <t>JOURNAL OF BIOGEOGRAPHY</t>
  </si>
  <si>
    <t>benthos; biodiversity; continental shelf; glaciation; Last Glacial Maximum; moraine; polar; recolonization; Southern Ocean</t>
  </si>
  <si>
    <t>CONTINENTAL-SHELF; WEDDELL SEA; ICE; GEOMORPHOLOGY; DEGLACIATION; COMMUNITIES; ISLANDS</t>
  </si>
  <si>
    <t>Aim High-latitude biodiversity distributions can preserve signals of the timing and geography of past glaciations, and as such ground truth ice-sheet models. Discrete polar archipelagos offer the fewest confounding factors for testing historic ice position records in extant biodiversity. At South Georgia, two competing geological hypotheses suggest that either the Last Glacial Maximum ( LGM) ice was extensive, nearly covering the continental shelf ( H-1 Big ice) or restricted to the inner fjords ( H-2 Little ice). We examined the past configuration of the South Georgia ice cap using seabed biodiversity. Location South Georgia, Southern Ocean. Methods We used a bespoke camera lander ( SUCS) and Agassiz trawl deployments across 'big ice' and 'little ice' hypothesized positions of LGM grounded ice around the South Georgia continental shelf. We investigated faunal assemblage structure and richness, especially of brooders, and modelled low dispersal taxa, for example, those with limited pelagic larvae ( bryozoans and sponges). Results We found a striking 'line' of major richness discontinuity, with significantly higher richness, especially of brooders and low dispersal model taxa, mainly conforming to the 'big ice' hypothesized position. What few bryozoans and sponges occurred inside this line were a subset of those outside. Main conclusions Benthic biodiversity is consistent with extensive LGM grounded ice advancing to near the shelf break in most, but not all locations around South Georgia's shelf, for example, the eastern shelf area. We suggest that most of the shelf is still undergoing recolonization from when grounded ice covered the shelf similar to 20 kyr ago. Our alternative hypothesis of LGM ice position, H-3 'Limited-Extensive ice', best fitted our data and is easily further testable, but if verified, shows that shelf recolonization following glaciation is much slower than previously thought. This contrasts with surprisingly rapid colonization of continental shelves after ice-shelf collapses, but these are not grounded, which may be crucial to polar recolonization rates.</t>
  </si>
  <si>
    <t>[Barnes, David K. A.; Sands, Chester J.; Hogg, Oliver T.; Robinson, Ben J. O.; Smith, James A.] British Antarctic Survey, Nat Environm Res Council, Madingley Rd, Cambridge CB3 OET, England; [Hogg, Oliver T.] Univ Southampton, Natl Oceanog Ctr Southampton, European Way, Southampton SO14 3ZH, Hants, England; [Downey, Rachel V.] Forschungsinstitut &amp; Nat Museum Senckenberg, Frankfurt, Germany</t>
  </si>
  <si>
    <t>UK Research &amp; Innovation (UKRI); Natural Environment Research Council (NERC); NERC British Antarctic Survey; University of Southampton; NERC National Oceanography Centre</t>
  </si>
  <si>
    <t>Barnes, DKA (corresponding author), British Antarctic Survey, Nat Environm Res Council, Madingley Rd, Cambridge CB3 OET, England.</t>
  </si>
  <si>
    <t>dkab@bas.ac.uk</t>
  </si>
  <si>
    <t>Downey, Rachel/Q-4156-2019</t>
  </si>
  <si>
    <t>Downey, Rachel/0000-0001-9275-8879; Sands, Chester/0000-0003-1028-0328; Hogg, Oliver/0000-0003-1146-0590; Robinson, Ben/0000-0002-7450-686X</t>
  </si>
  <si>
    <t>Darwin Initiative, DEFRA [18-019, EIDCF013]; NERC [bas0100030, bas0100036] Funding Source: UKRI; Natural Environment Research Council [bas0100030, bas0100036, 1498911] Funding Source: researchfish</t>
  </si>
  <si>
    <t>Darwin Initiative, DEFRA(Department for Environment, Food &amp; Rural Affairs (DEFRA)); NERC(UK Research &amp; Innovation (UKRI)Natural Environment Research Council (NERC)); Natural Environment Research Council(UK Research &amp; Innovation (UKRI)Natural Environment Research Council (NERC))</t>
  </si>
  <si>
    <t>Thanks to the crew of RRS James Clark Ross and the scientists who participated on benthic scientific cruises JR262 and JR287. The South Georgia component of both cruises was funded by Darwin Initiative grants (18-019 and EIDCF013), DEFRA. Thanks also to Carl Robinson for technical development of the Shelf Underwater Camera System (SUCS), Chris Fussell for preliminary image analysis, Oliva Martin-Sanchez and Laura Gerrish for construction of the map in Fig. 1. Finally, thanks very much for helpful constructive criticism of three anonymous referees, leading to a significantly improved manuscript. None of the authors have conflicts of interest to declare.</t>
  </si>
  <si>
    <t>0305-0270</t>
  </si>
  <si>
    <t>1365-2699</t>
  </si>
  <si>
    <t>J BIOGEOGR</t>
  </si>
  <si>
    <t>J. Biogeogr.</t>
  </si>
  <si>
    <t>10.1111/jbi.12855</t>
  </si>
  <si>
    <t>Ecology; Geography, Physical</t>
  </si>
  <si>
    <t>Environmental Sciences &amp; Ecology; Physical Geography</t>
  </si>
  <si>
    <t>ED5CU</t>
  </si>
  <si>
    <t>WOS:000388870000008</t>
  </si>
  <si>
    <t>Langer, M; Westermann, S; Boike, J; Kirillin, G; Grosse, G; Peng, S; Krinner, G</t>
  </si>
  <si>
    <t>Langer, M.; Westermann, S.; Boike, J.; Kirillin, G.; Grosse, G.; Peng, S.; Krinner, G.</t>
  </si>
  <si>
    <t>Rapid degradation of permafrost underneath waterbodies in tundra landscapes-Toward a representation of thermokarst in land surface models</t>
  </si>
  <si>
    <t>LENA RIVER DELTA; ARCTIC COASTAL-PLAIN; ICE-RICH PERMAFROST; NORTHERN SIBERIA; THAW LAKES; CARBON-DIOXIDE; WATER TEMPERATURE; THERMAL REGIME; ENERGY BALANCE; SNOW COVER</t>
  </si>
  <si>
    <t>Waterbodies such as lakes and ponds are abundant in vast Arctic landscapes and strongly affect the thermal state of the surrounding permafrost. In order to gain a better understanding of the impact of small-and medium-sized waterbodies on permafrost and the formation of thermokarst, a land surface model was developed that can represent the vertical and lateral thermal interactions between waterbodies and permafrost. The model was validated using temperature measurements from two typical waterbodies located within the Lena River delta in northern Siberia. Impact simulations were performed under current climate conditions as well as under a moderate and a strong climate-warming scenario. The performed simulations demonstrate that small waterbodies can rise the sediment surface temperature by more than 10 degrees C and accelerate permafrost thaw by a factor of between 4 and 5. Up to 70% of this additional heat flux into the ground was found to be dissipated into the surrounding permafrost by lateral ground heat flux in the case of small, shallow, and isolated waterbodies. Under moderate climate warming, the lateral heat flux was found to reduce permafrost degradation underneath waterbodies by a factor of 2. Under stronger climatic warming, however, the lateral heat flux was too small to prevent rapid permafrost degradation. The lateral heat flux was also found to strongly impede the formation of thermokarst. Despite this stabilizing effect, our simulations have demonstrated that underneath shallow waterbodies (&lt;1 m), thermokarst initiation happens 30 to 40 years earlier than in simulations without preexisting waterbody.</t>
  </si>
  <si>
    <t>[Langer, M.] Humboldt Univ, Dept Geog, Berlin, Germany; [Langer, M.] CNRS, LGGE, UMR5183, Grenoble, France; [Langer, M.; Boike, J.; Grosse, G.; Krinner, G.] Alfred Wegener Inst, Helmholtz Zentrum Polar &amp; Meeresforsch, Potsdam, Germany; [Westermann, S.] Univ Oslo, Dept Geosci, Oslo, Norway; [Kirillin, G.] Leibniz Inst Freshwater Ecol &amp; Inland Fisheries I, Berlin, Germany; [Grosse, G.] Univ Potsdam, Inst Earth &amp; Environm Sci, Potsdam, Germany; [Peng, S.] Peking Univ, Sinofrench Inst Earth Syst Sci, Coll Urban &amp; Environm Sci, Beijing, Peoples R China</t>
  </si>
  <si>
    <t>Humboldt University of Berlin; Centre National de la Recherche Scientifique (CNRS); Communaute Universite Grenoble Alpes; Universite Grenoble Alpes (UGA); Helmholtz Association; Alfred Wegener Institute, Helmholtz Centre for Polar &amp; Marine Research; University of Oslo; Leibniz Institut fur Gewasserokologie und Binnenfischerei (IGB); University of Potsdam; Peking University</t>
  </si>
  <si>
    <t>Langer, M (corresponding author), Humboldt Univ, Dept Geog, Berlin, Germany.;Langer, M (corresponding author), CNRS, LGGE, UMR5183, Grenoble, France.;Langer, M (corresponding author), Alfred Wegener Inst, Helmholtz Zentrum Polar &amp; Meeresforsch, Potsdam, Germany.</t>
  </si>
  <si>
    <t>moritz.langer@geo.hu-berlin.de</t>
  </si>
  <si>
    <t>Boike, Julia/R-4766-2016; Krinner, Gerhard/AAB-8837-2022; Boike, Julia/JCE-5402-2023; Kirillin, Georgiy/B-5410-2010; Boike, Julia/JZT-8129-2024; Krinner, Gerhard/A-6450-2011; Westermann, Sebastian/I-2976-2012; Grosse, Guido/F-5018-2011; PENG, Shushi/AAS-2603-2020</t>
  </si>
  <si>
    <t>Boike, Julia/0000-0002-5875-2112; Krinner, Gerhard/0000-0002-2959-5920; Kirillin, Georgiy/0000-0001-7337-3586; Boike, Julia/0000-0002-5875-2112; Westermann, Sebastian/0000-0003-0514-4321; Grosse, Guido/0000-0001-5895-2141; PENG, Shushi/0000-0001-5098-726X; Langer, Moritz/0000-0002-2704-3655</t>
  </si>
  <si>
    <t>Feodor Lynen Fellowship of the Alexander von Humboldt Foundation; European Union FP7-ENV project PAGE21 [GA282700]; COUP [244903/E10]; COUP (JPI Climate); COUP (Research Council of Norway); ERC [338335]; European Research Council (ERC) [338335] Funding Source: European Research Council (ERC)</t>
  </si>
  <si>
    <t>Feodor Lynen Fellowship of the Alexander von Humboldt Foundation(Alexander von Humboldt Foundation); European Union FP7-ENV project PAGE21; COUP; COUP (JPI Climate); COUP (Research Council of Norway)(Research Council of Norway); ERC(European Research Council (ERC)); European Research Council (ERC)(European Research Council (ERC)Spanish Government)</t>
  </si>
  <si>
    <t>All data used in this study are from cited references. The CG3-FL source code is available on request from the first two authors of the study: Moritz Langer, moritz.langer@awi.de or moritz.langer@geo.hu-berlin.de; Sebastian Westermann, sebastian.westermann@geo.uio.no. This work was supported by a Feodor Lynen Fellowship of the Alexander von Humboldt Foundation. Furthermore, the authors acknowledge the financial support by the European Union FP7-ENV project PAGE21 under contract GA282700. We also gratefully acknowledge the financial support by the research project COUP (project 244903/E10; JPI Climate; Research Council of Norway). Guido Grosse was supported by an ERC Starting grant338335. We thank our Russian partners at the Arctic and Antarctic Research Institute (AARI) and the Lena Delta Reserve for the logistical support of our field work. We also like to thank the two anonymous reviewers for the very constructive comments which helped improve this manuscript.</t>
  </si>
  <si>
    <t>10.1002/2016JF003956</t>
  </si>
  <si>
    <t>EI9MI</t>
  </si>
  <si>
    <t>WOS:000392831800010</t>
  </si>
  <si>
    <t>Kimura, S; Jenkins, A; Dutrieux, P; Forryan, A; Garabato, ACN; Firing, Y</t>
  </si>
  <si>
    <t>Kimura, Satoshi; Jenkins, Adrian; Dutrieux, Pierre; Forryan, Alexander; Garabato, Alberto C. Naveira; Firing, Yvonne</t>
  </si>
  <si>
    <t>Ocean mixing beneath Pine Island Glacier ice shelf, West Antarctica</t>
  </si>
  <si>
    <t>SHEET; MELT; TEMPERATURE; STABILITY; RETREAT; WATER; VARIABILITY; CIRCULATION; COLLAPSE; THWAITES</t>
  </si>
  <si>
    <t>Ice shelves around Antarctica are vulnerable to an increase in ocean-driven melting, with the melt rate depending on ocean temperature and the strength of flow inside the ice-shelf cavities. We present measurements of velocity, temperature, salinity, turbulent kinetic energy dissipation rate, and thermal variance dissipation rate beneath Pine Island Glacier ice shelf, West Antarctica. These measurements were obtained by CTD, ADCP, and turbulence sensors mounted on an Autonomous Underwater Vehicle (AUV). The highest turbulent kinetic energy dissipation rate is found near the grounding line. The thermal variance dissipation rate increases closer to the ice-shelf base, with a maximum value found similar to 0.5 m away from the ice. The measurements of turbulent kinetic energy dissipation rate near the ice are used to estimate basal melting of the ice shelf. The dissipation-rate-based melt rate estimates is sensitive to the stability correction parameter in the linear approximation of universal function of the Monin-Obukhov similarity theory for stratified boundary layers. We argue that our estimates of basal melting from dissipation rates are within a range of previous estimates of basal melting.</t>
  </si>
  <si>
    <t>[Kimura, Satoshi; Jenkins, Adrian] British Antarctic Survey, Cambridge, England; [Kimura, Satoshi] Nansen Environm &amp; Remote Sensing Ctr, Bergen, Norway; [Kimura, Satoshi] Bjerknes Ctr Climate Res, Bergen, Norway; [Dutrieux, Pierre] Columbia Univ, Lamont Doherty Earth Observ, Palisades, NY USA; [Forryan, Alexander; Garabato, Alberto C. Naveira] Univ Southampton, Southampton, Hants, England; [Firing, Yvonne] Natl Oceanog Ctr, Southampton, Hants, England</t>
  </si>
  <si>
    <t>UK Research &amp; Innovation (UKRI); Natural Environment Research Council (NERC); NERC British Antarctic Survey; Nansen Environmental &amp; Remote Sensing Center (NERSC); Bjerknes Centre for Climate Research; Columbia University; University of Southampton; NERC National Oceanography Centre</t>
  </si>
  <si>
    <t>Kimura, S (corresponding author), British Antarctic Survey, Cambridge, England.;Kimura, S (corresponding author), Nansen Environm &amp; Remote Sensing Ctr, Bergen, Norway.;Kimura, S (corresponding author), Bjerknes Ctr Climate Res, Bergen, Norway.</t>
  </si>
  <si>
    <t>skimura04@gmail.com</t>
  </si>
  <si>
    <t>Dutrieux, Pierre/GVS-2890-2022; Jenkins, Adrian/IUN-2406-2023; Kimura, Satoshi/AAT-3036-2021; Garabato, Alberto Naveira/AAQ-1114-2020</t>
  </si>
  <si>
    <t>Dutrieux, Pierre/0000-0002-8066-934X; Kimura, Satoshi/0000-0003-1689-1605; Garabato, Alberto Naveira/0000-0001-6071-605X; Firing, Yvonne/0000-0002-3640-3974; Jenkins, Adrian/0000-0002-9117-0616</t>
  </si>
  <si>
    <t>UK Natural Environment Research Council's iSTAR Programme (NERC) [NE/J005770/1, NE/J005746/1]; NERC [NE/J005746/1, NE/J005711/1, NE/J005770/1, bas0100033] Funding Source: UKRI; Natural Environment Research Council [noc010012, bas0100033, NE/J005770/1, NE/J005711/1, NE/J005746/1] Funding Source: researchfish</t>
  </si>
  <si>
    <t>UK Natural Environment Research Council's iSTAR Programme (NERC); NERC(UK Research &amp; Innovation (UKRI)Natural Environment Research Council (NERC)); Natural Environment Research Council(UK Research &amp; Innovation (UKRI)Natural Environment Research Council (NERC))</t>
  </si>
  <si>
    <t>The authors thank the captain and crews of RRS James Clark Ross. This work was supported by funding from the UK Natural Environment Research Council's iSTAR Programme (NERC Grant Number NE/J005770/1 and NE/J005746/1). The data for this study are available upon request to the corresponding author (Satoshi Kimura, skimura04@gmail.com).</t>
  </si>
  <si>
    <t>10.1002/2016JC012149</t>
  </si>
  <si>
    <t>WOS:000393140400005</t>
  </si>
  <si>
    <t>Constantin, A; Johnson, RS</t>
  </si>
  <si>
    <t>Constantin, A.; Johnson, R. S.</t>
  </si>
  <si>
    <t>An Exact, Steady, Purely Azimuthal Flow as a Model for the Antarctic Circumpolar Current</t>
  </si>
  <si>
    <t>SOUTHERN-OCEAN; WATER-WAVES; EDGE WAVES; DYNAMICS; SOLIDS; MOTION; WIND</t>
  </si>
  <si>
    <t>The problem of flow moving purely in the azimuthal direction on a sphere is considered. An exact solution for an incompressible (constant density), inviscid fluid, which admits a velocity profile below the surface and along the surface, is constructed; this can be regarded as a model for the Antarctic Circumpolar Current (ACC). The new approach adopted here is to model the processes that produce the observed structure of the ACC by the introduction of a nonconservative body force. It is shown that if the body force is conservative, then the governing equations necessarily lead to profiles that are quite unrealistic. However, with a suitable choice of body force, which reverts to conservative outside the ACC, any velocity profile of any width can be constructed as an exact solution of the system. A fairly simple choice is made in this note in order to present some specific results: a profile on the surface that is zero outside the arc of the ACC, with a maximum at its center and decaying with depth. It is shown that the methods developed here can be used to produce ever more complicated profiles to correspond to different data. Indeed, the basic example that this study introduces can be regarded as one of the jets that compose the ACC, and the results allow for any number of such jets. Although only one velocity profile is described, it is emphasized that many different choices, motivated by direct velocity observations in specific regions, are possible within the model. In conclusion, a few comments are made outlining the way in which this exact solution can be embedded within more general and complete discussions of the ACC and its properties.</t>
  </si>
  <si>
    <t>[Constantin, A.] Univ Vienna, Fac Math, Oskar Morgenstern Pl 1, A-1090 Vienna, Austria; [Johnson, R. S.] Newcastle Univ, Sch Math &amp; Stat, Newcastle Upon Tyne, Tyne &amp; Wear, England</t>
  </si>
  <si>
    <t>University of Vienna; Newcastle University - UK</t>
  </si>
  <si>
    <t>Constantin, A (corresponding author), Univ Vienna, Fac Math, Oskar Morgenstern Pl 1, A-1090 Vienna, Austria.</t>
  </si>
  <si>
    <t>adrian.constantin@univie.ac.at</t>
  </si>
  <si>
    <t>constantin, adrian/A-7868-2012</t>
  </si>
  <si>
    <t>constantin, adrian/0000-0001-8868-9305</t>
  </si>
  <si>
    <t>10.1175/JPO-D-16-0121.1</t>
  </si>
  <si>
    <t>WOS:000391349300005</t>
  </si>
  <si>
    <t>Stewart, AL; Thompson, AF</t>
  </si>
  <si>
    <t>Stewart, Andrew L.; Thompson, Andrew F.</t>
  </si>
  <si>
    <t>Eddy Generation and Jet Formation via Dense Water Outflows across the Antarctic Continental Slope</t>
  </si>
  <si>
    <t>CIRCUMPOLAR DEEP-WATER; ICE-SHELF CAVITY; SOUTHERN-OCEAN; OVERTURNING CIRCULATION; WEDDELL SEA; WIND-DRIVEN; BAROCLINIC INSTABILITY; IDEALIZED MODEL; COASTAL CURRENT; BOTTOM WATER</t>
  </si>
  <si>
    <t>Along various stretches of the Antarctic margins, dense Antarctic Bottom Water (AABW) escapes its formation sites and descends the continental slope. This export necessarily raises the isopycnals associated with lighter density classes over the continental slope, resulting in density surfaces that connect the near-freezing waters of the continental shelf to the much warmer circumpolar deep water (CDW) at middepth offshore. In this article, an eddy-resolving process model is used to explore the possibility that AABW export enhances shoreward heat transport by creating a pathway for CDW to access the continental shelf without doing any work against buoyancy forces. In the absence of a net alongshore pressure gradient, the shoreward CDW transport is effected entirely by mesoscale and submesoscale eddy transfer. Eddies are generated partly by instabilities at the pycnocline, sourcing their energy from the alongshore wind stress, but primarily by instabilities at the CDW AABW interface, sourcing their energy from buoyancy loss on the continental shelf. This combination of processes induces a vertical convergence of eddy kinetic energy and alongshore momentum into the middepth CDW layer, sustaining a local maximum in the eddy kinetic energy over the slope and balancing the Coriolis force associated with the shoreward CDW transport. The resulting slope turbulence self-organizes into a series of alternating along-slope jets with strongly asymmetrical contributions to the slope energy and momentum budgets. Cross-shore variations in the potential vorticity gradient cause the jets to drift continuously offshore, suggesting that fronts observed in regions of AABW down-slope flow may in fact be transient features.</t>
  </si>
  <si>
    <t>[Stewart, Andrew L.] Univ Calif Los Angeles, Dept Atmospher &amp; Ocean Sci, Los Angeles, CA 90095 USA; [Thompson, Andrew F.] CALTECH, Environm Sci &amp; Engn, Pasadena, CA USA</t>
  </si>
  <si>
    <t>University of California System; University of California Los Angeles; California Institute of Technology</t>
  </si>
  <si>
    <t>Stewart, AL (corresponding author), Univ Calif Los Angeles, Dept Atmospher &amp; Ocean Sci, Los Angeles, CA 90095 USA.</t>
  </si>
  <si>
    <t>astewart@atmos.ucla.edu</t>
  </si>
  <si>
    <t>Stewart, Andrew/0000-0001-5861-4070</t>
  </si>
  <si>
    <t>NSF [OCE-1538702, OPP-124646]; Directorate For Geosciences [1538702] Funding Source: National Science Foundation; Directorate For Geosciences; Office of Polar Programs (OPP) [1246460] Funding Source: National Science Foundation; Division Of Ocean Sciences [1538702]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</si>
  <si>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Division Of Ocean Sciences(National Science Foundation (NSF)NSF - Directorate for Geosciences (GEO))</t>
  </si>
  <si>
    <t>ALS's research was supported by NSF Award OCE-1538702. AFT's research was funded by NSF Award OPP-124646. Some of the simulations presented herein were conducted using the CITerra computing cluster in the Division of Geological and Planetary Sciences at the California Institute of Technology, and the authors thank the CITerra technicians for facilitating this work. The data presented in this article are available from the authors on request. The authors gratefully acknowledge the modeling efforts of the MITgcm team. The authors also thank Tore Hattermann and an anonymous reviewer for many constructive comments that improved the manuscript.</t>
  </si>
  <si>
    <t>10.1175/JPO-D-16-0145.1</t>
  </si>
  <si>
    <t>WOS:000391349300014</t>
  </si>
  <si>
    <t>Desvignes, T; Detrich, HW; Postlethwait, JH</t>
  </si>
  <si>
    <t>Desvignes, Thomas; Detrich, H. William, III; Postlethwait, John H.</t>
  </si>
  <si>
    <t>Genomic conservation of erythropoietic microRNAs (erythromiRs) in white-blooded Antarctic icefish</t>
  </si>
  <si>
    <t>MARINE GENOMICS</t>
  </si>
  <si>
    <t>miRNA; Notothenioidei; Hematopoiesis; Channichthyidae; mirc144</t>
  </si>
  <si>
    <t>CHAENOCEPHALUS-ACERATUS; CARBONIC-ANHYDRASE; UNIQUE FAMILY; EXPRESSION; MYOGLOBIN; MIR-451; GENE; COMPLEXITY; HEMOGLOBIN; EVOLUTION</t>
  </si>
  <si>
    <t>White-blooded Antarctic crocodile icefish are the only vertebrates known to lack functional hemoglobin genes and red blood cells throughout their lives. We do not yet know, however, whether extinction of hemoglobin genes preceded loss of red blood cells or vice versa, nor whether erythropoiesis regulators disappeared along with hemoglobin genes in this erythrocyte-null Glade. Several microRNAs, which we here call erythromiRs, are expressed primarily in developing red blood cells in zebrafish, mouse, and humans. Abrogating some erythromiRs, like mir144 and mir451a, leads to profound anemia, demonstrating a functional role in erythropoiesis. Here, we tested two not mutually exclusive hypotheses: 1) that the loss of one or more erythromiR genes extinguished the erythropoietic program of icefish and/or led to the loss of globin gene expression through pseudogenization; and 2) that some erythromiR genes were secondarily lost after the loss of functional hemoglobin and red blood cells in icefish. We explored small RNA transcriptomes generated from the hernatopoietic kidney marrow of four Antarctic notothenioids: two red-blooded species (bullhead notothen Notothenia coriiceps and emerald notothen Trematomus bernacchii) and two white-blooded icefish (blackfin icefish Chaenocephalus aceratus and hooknose icefish Chionodraco hamatus). The N. coriiceps genome assembly anchored analyses. Results showed that, like the two red-blooded species, the blackfin icefish genome possessed and the marrow expressed all known erythromiRs. This result indicates that loss of hemoglobin and red blood cells in icefish was not caused by loss of known erythromiR genes. Furthermore, expression of only one erythromiR, mir96, appears to have been lost after the loss of red blood cells and hemoglobin expression was not detected in the erythropoietic organ of hooknose icefish but was present in blackfin icefish. All other erythromiRs investigated, including mir144 and mir451a, were expressed by all four species and thus are present in the genomes of at least the two white-blooded icefish. Our results rule out the hypothesis that genomic loss of any known erythromiRs extinguished erythropoiesis in icefish, and suggest that after the loss of red blood cells, few erythromiRs experienced secondary loss. Results suggest that functions independent of erythropoiesis maintained erythromiRs, thereby highlighting the evolutionary resilience of miRNA genes in vertebrate genomes. (C) 2016 The Authors. Published by Elsevier B.V. This is an open access article under the CC BY license.</t>
  </si>
  <si>
    <t>[Desvignes, Thomas; Postlethwait, John H.] Univ Oregon, Inst Neurosci, Eugene, OR 97403 USA; [Detrich, H. William, III] Northeastern Univ, Ctr Marine Sci, Dept Marine &amp; Environm Sci, Nahant, MA 01908 USA</t>
  </si>
  <si>
    <t>University of Oregon; Northeastern University</t>
  </si>
  <si>
    <t>Postlethwait, JH (corresponding author), Univ Oregon, Inst Neurosci, Eugene, OR 97403 USA.</t>
  </si>
  <si>
    <t>desvignes@uoneuro.uoregon.edu; iceman@neu.edu; jpostle@uoneuro.uoregon.edu</t>
  </si>
  <si>
    <t>Thomas, Desvignes/AAX-3526-2020</t>
  </si>
  <si>
    <t>Thomas, Desvignes/0000-0001-5126-8785</t>
  </si>
  <si>
    <t>NIH [R01 OD011116, R01AG31922]; NSF [ANT-1247510, PLR-1444167, PLR-1543383]; Office of Polar Programs (OPP); Directorate For Geosciences [1543383] Funding Source: National Science Foundation; Office of Polar Programs (OPP); Directorate For Geosciences [1444167, 1247510] Funding Source: National Science Foundation</t>
  </si>
  <si>
    <t>NIH(United States Department of Health &amp; Human ServicesNational Institutes of Health (NIH) - USA); 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</si>
  <si>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The authors would like to thank the captain and crew of the ARSV Laurence M. Gould and the personnel of the US Antarctic Program support contractors for assistance in Chile, at sea, and at Palmer Station, Antarctica. The authors also thank Jason Sydes and Pete Batzel for running Prost! software on the four miRNA libraries, and Brian Eames for helping to develop Prostl. The authors also thank Qianghua Xu and colleagues at Shanghai Ocean University for making their important sequencing resource publicly available. This work was supported by NIH grants R01 OD011116 and NIH R01AG31922 (JHP), and by NSF grants ANT-1247510 and PLR-1444167 (HWD) and PLR-1543383 (JHP &amp; HWD).</t>
  </si>
  <si>
    <t>1874-7787</t>
  </si>
  <si>
    <t>1876-7478</t>
  </si>
  <si>
    <t>MAR GENOM</t>
  </si>
  <si>
    <t>Mar. Genom.</t>
  </si>
  <si>
    <t>10.1016/j.margen.2016.04.013</t>
  </si>
  <si>
    <t>Genetics &amp; Heredity; Marine &amp; Freshwater Biology</t>
  </si>
  <si>
    <t>EG0TC</t>
  </si>
  <si>
    <t>WOS:000390744100004</t>
  </si>
  <si>
    <t>Hutchins, DA; Boyd, PW</t>
  </si>
  <si>
    <t>Hutchins, D. A.; Boyd, P. W.</t>
  </si>
  <si>
    <t>Marine phytoplankton and the changing ocean iron cycle</t>
  </si>
  <si>
    <t>NITROGEN-FIXATION; EVOLUTIONARY INHERITANCE; ELEMENTAL STOICHIOMETRY; METAL COMPOSITION; DISSOLVED IRON; TRACE-METALS; ACIDIFICATION; COASTAL; GROWTH; TRICHODESMIUM</t>
  </si>
  <si>
    <t>The availability of the micronutrient iron governs phytoplankton growth across much of the ocean, but the global iron cycle is changing rapidly due to accelerating acidification, stratification, warming and deoxygenation. These mechanisms of global change will cumulatively affect the aqueous chemistry, sources and sinks, recycling, particle dynamics and bioavailability of iron. Biological iron demand will vary as acclimation to environmental change modifies cellular requirements for photo- synthesis and nitrogen acquisition and as adaptive evolution or community shifts occur. Warming, acidification and nutrient co-limitation interactions with iron biogeochemistry will all strongly influence phytoplankton dynamics. Predicting the shape of the future iron cycle will require understanding the responses of each component of the unique biogeochemistry of this trace element to many concurrent and interacting environmental changes.</t>
  </si>
  <si>
    <t>[Hutchins, D. A.] Univ Southern Calif, Marine &amp; Environm Biol Sect, Los Angeles, CA 90089 USA; [Boyd, P. W.] Univ Tasmania, Inst Marine &amp; Antarctic Studies, Hobart, Tas 7005, Australia</t>
  </si>
  <si>
    <t>University of Southern California; University of Tasmania</t>
  </si>
  <si>
    <t>Hutchins, DA (corresponding author), Univ Southern Calif, Marine &amp; Environm Biol Sect, Los Angeles, CA 90089 USA.</t>
  </si>
  <si>
    <t>dahutch@usc.edu</t>
  </si>
  <si>
    <t>Hutchins, David A/D-3301-2013; Boyd, Philip/J-7624-2014</t>
  </si>
  <si>
    <t>Hutchins, David A/0000-0002-6637-756X; Boyd, Philip/0000-0001-7850-1911</t>
  </si>
  <si>
    <t>US National Science Foundation [OCE 1260490, OCE 1538525]; Australian Research Council Australian Laureate Fellowship [FL160100131]; Antarctic Climate and Ecosystems Cooperative Research Centre; Australian Research Council's Special Research Initiative for Antarctic Gateway Partnership [SR140300001]; Division Of Ocean Sciences; Directorate For Geosciences [1538525, 1260490] Funding Source: National Science Foundation</t>
  </si>
  <si>
    <t>US National Science Foundation(National Science Foundation (NSF)); Australian Research Council Australian Laureate Fellowship(Australian Research Council); Antarctic Climate and Ecosystems Cooperative Research Centre(Australian GovernmentDepartment of Industry, Innovation and ScienceCooperative Research Centres (CRC) Programme); Australian Research Council's Special Research Initiative for Antarctic Gateway Partnership(Australian Research Council); Division Of Ocean Sciences; Directorate For Geosciences(National Science Foundation (NSF)NSF - Directorate for Geosciences (GEO))</t>
  </si>
  <si>
    <t>The authors thank F. Fu and S. Sanudo-Wilhelmy for help with obtaining unpublished Fe quota data, and J. Brown and the University of Southern California Wrigley Institute of Environmental Sciences for their generous assistance with graphics. Support was provided by US National Science Foundation grants OCE 1260490 and OCE 1538525 to D.A.H., Australian Research Council Australian Laureate Fellowship project FL160100131 and Antarctic Climate and Ecosystems Cooperative Research Centre funding to P.W.B. and the Australian Research Council's Special Research Initiative for Antarctic Gateway Partnership Project ID SR140300001 to both authors.</t>
  </si>
  <si>
    <t>10.1038/NCLIMATE3147</t>
  </si>
  <si>
    <t>EE2RP</t>
  </si>
  <si>
    <t>WOS:000389432200012</t>
  </si>
  <si>
    <t>Holland, DM; Voytenko, D; Christianson, K; Dixon, TH; Mei, MJ; Parizek, BR; Vanková, I; Walker, RT; Walter, JI; Nicholls, K; Holland, D</t>
  </si>
  <si>
    <t>Holland, David M.; Voytenko, Denis; Christianson, Knut; Dixon, Timothy H.; Mei, M. Jeffrey; Parizek, Byron R.; Vankova, Irena; Walker, Ryan T.; Walter, Jacob I.; Nicholls, Keith; Holland, Denise</t>
  </si>
  <si>
    <t>An Intensive Observation of Calving at Helheim Glacier, East Greenland</t>
  </si>
  <si>
    <t>OCEANOGRAPHY</t>
  </si>
  <si>
    <t>JAKOBSHAVN ISBRAE; OCEAN WAVES; RADAR INTERFEROMETRY; FRACTURE-MECHANICS; ICE; DYNAMICS; MOTION; ACCELERATION; CREVASSES; FUTURE</t>
  </si>
  <si>
    <t>Calving of glacial ice into the ocean from the Greenland Ice Sheet is an important component of global sea level rise. The calving process itself is relatively poorly observed, understood, and modeled; as such, it represents a bottleneck in improving future global sea level estimates in climate models. We organized a pilot project to observe the calving process at Helheim Glacier in East Greenland in an effort to better understand it. During an intensive one-week survey, we deployed a suite of instrumentation including a terrestrial radar interferometer, GPS receivers, seismometers, tsunameters, and an automated weather station. This effort captured a calving process and measured various glaciological, oceanographic, and atmospheric parameters before, during, and after the event. One outcome of our observations is evidence that the calving process actually consists of a number of discrete events, spread out over time, in this instance over at least two days. This time span has implications for models of the process. Realistic projections of future global sea level will depend on accurate parametrization of calving, which will require more sustained observations.</t>
  </si>
  <si>
    <t>[Holland, David M.; Voytenko, Denis; Vankova, Irena; Holland, Denise] NYU, Courant Inst Math Sci, 251 Mercer St, New York, NY 10003 USA; [Holland, David M.; Vankova, Irena; Holland, Denise] NYU Abu Dhabi, Ctr Global Sea Level Change, Abu Dhabi, U Arab Emirates; [Christianson, Knut] Univ Washington, Dept Earth &amp; Space Sci, Seattle, WA 98195 USA; [Dixon, Timothy H.] Univ S Florida, Sch Geosci, Tampa, FL USA; [Mei, M. Jeffrey] WHOI Joint Program Oceanog, Woods Hole, MA USA; [Parizek, Byron R.] Penn State Univ, Math &amp; Geosci, Du Bois, PA USA; [Walker, Ryan T.] Univ Maryland, Earth Syst Sci Interdisciplinary Ctr, College Pk, MD 20742 USA; [Walter, Jacob I.] Univ Texas Austin, Inst Geophys, Austin, TX USA; [Nicholls, Keith] British Antarctic Survey, Cambridge, England</t>
  </si>
  <si>
    <t>New York University; New York University Abu Dhabi; University of Washington; University of Washington Seattle; State University System of Florida; University of South Florida; Pennsylvania Commonwealth System of Higher Education (PCSHE); Pennsylvania State University; University System of Maryland; University of Maryland College Park; University of Texas System; University of Texas Austin; UK Research &amp; Innovation (UKRI); Natural Environment Research Council (NERC); NERC British Antarctic Survey</t>
  </si>
  <si>
    <t>Holland, DM (corresponding author), NYU, Courant Inst Math Sci, 251 Mercer St, New York, NY 10003 USA.;Holland, DM (corresponding author), NYU Abu Dhabi, Ctr Global Sea Level Change, Abu Dhabi, U Arab Emirates.</t>
  </si>
  <si>
    <t>david.holland@nyu.edu</t>
  </si>
  <si>
    <t>Walter, Jacob/C-6806-2015</t>
  </si>
  <si>
    <t>Mei, M. Jeffrey/0000-0002-1083-598X; Holland, Denise/0000-0003-2521-0840</t>
  </si>
  <si>
    <t>NASA Jet Propulsion Laboratory Oceans Melting Greenland (OMG) grant; New York University Abu Dhabi [G1204]; US National Science Foundation [ARC-1304137, PLR-1443190, ANT-0424589, AGS-1338832]; NASA [NNX15AH84G, NNX12AD03A]; NERC [bas0100033] Funding Source: UKRI; NASA [805513, NNX15AH84G] Funding Source: Federal RePORTER; Natural Environment Research Council [bas0100033] Funding Source: researchfish; Directorate For Geosciences; Office of Polar Programs (OPP) [1443190] Funding Source: National Science Foundation; Div Atmospheric &amp; Geospace Sciences; Directorate For Geosciences [1338832] Funding Source: National Science Foundation</t>
  </si>
  <si>
    <t>NASA Jet Propulsion Laboratory Oceans Melting Greenland (OMG) grant; New York University Abu Dhabi; US National Science Foundation(National Science Foundation (NSF)); NASA(National Aeronautics &amp; Space Administration (NASA)); NERC(UK Research &amp; Innovation (UKRI)Natural Environment Research Council (NERC)); NASA(National Aeronautics &amp; Space Administration (NASA)); Natural Environment Research Council(UK Research &amp; Innovation (UKRI)Natural Environment Research Council (NERC)); Directorate For Geosciences; Office of Polar Programs (OPP)(National Science Foundation (NSF)NSF - Directorate for Geosciences (GEO)); Div Atmospheric &amp; Geospace Sciences; Directorate For Geosciences(National Science Foundation (NSF)NSF - Directorate for Geosciences (GEO))</t>
  </si>
  <si>
    <t>We are grateful to the support provided by the NASA Jet Propulsion Laboratory Oceans Melting Greenland (OMG) grant to DMH at New York University. Additional support from New York University Abu Dhabi through grant G1204 to DMH and DH in the Center for Global Sea Level Change (CSLC) is recognized. The US National Science Foundation provided support to DMH and DH via ARC-1304137, and to BRP via PLR-1443190, ANT-0424589, and AGS-1338832. NASA provided support to BRP via NNX15AH84G and to RTW via NNX12AD03A. Air Greenland is acknowledged for providing superb helicopter support over the glacier, Brian Rougeux for field safety operations, and Captain Sigurdur Petursson for ocean tasks.</t>
  </si>
  <si>
    <t>OCEANOGRAPHY SOC</t>
  </si>
  <si>
    <t>ROCKVILLE</t>
  </si>
  <si>
    <t>P.O. BOX 1931, ROCKVILLE, MD USA</t>
  </si>
  <si>
    <t>1042-8275</t>
  </si>
  <si>
    <t>10.5670/oceanog.2016.98</t>
  </si>
  <si>
    <t>EF8EB</t>
  </si>
  <si>
    <t>WOS:000390560400008</t>
  </si>
  <si>
    <t>Münchow, A; Padman, L; Washam, P; Nicholls, KW</t>
  </si>
  <si>
    <t>Munchow, Andreas; Padman, Laurie; Washam, Peter; Nicholls, Keith W.</t>
  </si>
  <si>
    <t>THE ICE SHELF OF PETERMANN GLETSCHER, NORTH GREENLAND, AND ITS CONNECTION TO THE ARCTIC AND ATLANTIC OCEANS</t>
  </si>
  <si>
    <t>NARES STRAIT; RADAR INTERFEROMETRY; ANTARCTIC PENINSULA; OUTLET GLACIERS; BASAL CHANNELS; SHEET; STABILITY; WATER; DISINTEGRATION; VARIABILITY</t>
  </si>
  <si>
    <t>Petermann Gletscher in North Greenland features the second largest floating ice shelf in the Northern Hemisphere. This paper describes the history of its exploration and presents new ocean and glacier observations. We find that the floating ice shelf is strongly coupled to the ocean below and to Nares Strait at time scales from tidal to interannual. Our observations cover the 2012 to 2016 period after two large calving events took place in 2010 and 2012 that reduced the ice shelf area by 380 km(2) to about 870 km(2) today. A potential third breakup, of an additional 150 km(2), is anticipated by a large fracture that extends from the margin to the center of the glacier.</t>
  </si>
  <si>
    <t>[Munchow, Andreas; Washam, Peter] Univ Delaware, Newark, DE 19716 USA; [Nicholls, Keith W.] British Antarctic Survey, Cambridge, England</t>
  </si>
  <si>
    <t>University of Delaware; UK Research &amp; Innovation (UKRI); Natural Environment Research Council (NERC); NERC British Antarctic Survey</t>
  </si>
  <si>
    <t>Münchow, A (corresponding author), Univ Delaware, Newark, DE 19716 USA.</t>
  </si>
  <si>
    <t>muenchow@udel.edu</t>
  </si>
  <si>
    <t>Padman, Laurence/AAH-3808-2021; Muenchow, Andreas/J-8257-2012</t>
  </si>
  <si>
    <t>Muenchow, Andreas/0000-0001-8360-5686; Washam, Peter/0000-0001-8861-520X; Padman, Laurence/0000-0003-2010-642X</t>
  </si>
  <si>
    <t>National Science Foundation (NSF); National Aeronautics and Space Administration (NASA); NSF [102843, 1604076, 1108205]; Swedish Polar Research Secretariat; NASA [NNX15AL77G, NNX13AP60G]; Jet Propulsion Laboratory as part of the Oceans Melting Greenland mission; University of Delaware; NERC [bas0100033] Funding Source: UKRI; Natural Environment Research Council [bas0100033] Funding Source: researchfish; Directorate For Geosciences; Office of Polar Programs (OPP) [1108205, 1604076] Funding Source: National Science Foundation; NASA [NNX15AL77G, 798587, 466837, NNX13AP60G] Funding Source: Federal RePORTER</t>
  </si>
  <si>
    <t>National Science Foundation (NSF)(National Science Foundation (NSF)); National Aeronautics and Space Administration (NASA)(National Aeronautics &amp; Space Administration (NASA)); NSF(National Science Foundation (NSF)); Swedish Polar Research Secretariat; NASA(National Aeronautics &amp; Space Administration (NASA)); Jet Propulsion Laboratory as part of the Oceans Melting Greenland mission; University of Delaware;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NASA(National Aeronautics &amp; Space Administration (NASA))</t>
  </si>
  <si>
    <t>Both the National Science Foundation (NSF) and National Aeronautics and Space Administration (NASA) supported this work over many years. We are grateful to crew and staff aboard the Canadian Coast Guard Ship Henry Larsen in 2012 and the Swedish icebreaker Oden in 2015. Humfrey Melling of the Institute of Ocean Sciences and Alan Mix of Oregon State University generously shared time and resources at sea in 2012 and 2015. The 2015 bottom bathymetry data were kindly provided to us at sea in preliminary form by Martin Jakobsson of the University of Stockholm and Larry Mayer of the University of New Hampshire. Anna Wahlin of Gothenburg University, Sweden, provided the CTD system used aboard the 2015 Oden expedition that was jointly funded by NSF and the Swedish Polar Research Secretariat. Paul Anker and Mike Brian of the British Antarctic Survey provided critical support for hot water drilling and glacier traveling. The Ocean Weather Station was designed and built by David Huntley at the University of Delaware and funded by NASA grant NNX15AL77G. AM was supported by a subcontract from Jet Propulsion Laboratory in 2015 as part of the Oceans Melting Greenland mission and NSF grants 102843 and 1604076 in 2012 and 2016, respectively. PW is grateful for a University of Delaware Okie Student Fellowship. LP was funded by NASA grant NNX13AP60G and NSF grant 1108205. Detailed and constructive comments by David Gwyther and Ala Khazendar substantially improved both the writing and presentation.</t>
  </si>
  <si>
    <t>10.5670/oceanog.2016.101</t>
  </si>
  <si>
    <t>WOS:000390560400011</t>
  </si>
  <si>
    <t>Gille, ST; McKee, DC; Martinson, DG</t>
  </si>
  <si>
    <t>Gille, Sarah T.; McKee, Darren C.; Martinson, Douglas G.</t>
  </si>
  <si>
    <t>Temporal Changes in the Antarctic Circumpolar Current IMPLICATIONS FOR THE ANTARCTIC CONTINENTAL SHELVES</t>
  </si>
  <si>
    <t>MERIDIONAL OVERTURNING CIRCULATION; DEEP-WATER TRANSPORT; SEA-LEVEL RISE; SOUTHERN-OCEAN; AMUNDSEN SEA; HEAT-TRANSPORT; SURFACE WINDS; GLOBAL HEAT; POLAR FRONT; VARIABILITY</t>
  </si>
  <si>
    <t>Some of the most rapid melting of ice sheets and ice shelves around Antarctica has occurred where the Antarctic Circumpolar Current (ACC) is in close proximity to the Antarctic continent. Several mechanisms have been hypothesized by which warming trends in the ACC could lead to warmer temperatures on the Antarctic continental shelves and corresponding thinning of ice shelves. One possibility is that a southward shift in the dominant westerly winds has led to a southward shift in the ACC, bringing comparatively warm (1 degrees C-3 degrees C) Circumpolar Deep Water (CDW) in closer contact with Antarctica; however, satellite altimetry does not provide strong evidence for this option. A second possibility is that stronger winds have led to stronger poleward eddy heat transport, bringing more CDW southward. In addition, submarine canyons and winds are hypothesized to be critical for transporting CDW across the continental shelves. The specific mechanisms and the relative roles of westerly winds, easterly winds, and wind-stress curl remain areas of active research.</t>
  </si>
  <si>
    <t>[Gille, Sarah T.] Univ Calif San Diego, Inst Oceanog, La Jolla, CA 92093 USA; [McKee, Darren C.; Martinson, Douglas G.] Columbia Univ, Lamont Doherty Earth Observ, Palisades, NY USA</t>
  </si>
  <si>
    <t>University of California System; University of California San Diego; Columbia University</t>
  </si>
  <si>
    <t>Gille, ST (corresponding author), Univ Calif San Diego, Inst Oceanog, La Jolla, CA 92093 USA.</t>
  </si>
  <si>
    <t>sgille@ucsd.edu</t>
  </si>
  <si>
    <t>Gille, Sarah/0000-0001-9144-4368</t>
  </si>
  <si>
    <t>National Science Foundation (NSF) Office of Polar Programs [PLR-1425989]; NSF Division of Ocean Sciences [OCE-1234473]; NASA Ocean Surface Topography Science Team [NNX13AE44G]; National Oceanic and Atmospheric Administration award [NA10OAR4310139]; Directorate For Geosciences; Division Of Ocean Sciences [1234473] Funding Source: National Science Foundation; Directorate For Geosciences; Office of Polar Programs (OPP) [1440435] Funding Source: National Science Foundation; Office of Polar Programs (OPP); Directorate For Geosciences [1425989] Funding Source: National Science Foundation</t>
  </si>
  <si>
    <t>National Science Foundation (NSF) Office of Polar Programs(National Science Foundation (NSF)); NSF Division of Ocean Sciences(National Science Foundation (NSF)); NASA Ocean Surface Topography Science Team(National Aeronautics &amp; Space Administration (NASA)); National Oceanic and Atmospheric Administration award(National Oceanic Atmospheric Admin (NOAA) - USA); Directorate For Geosciences; Division Of Ocean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</si>
  <si>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are grateful to two anonymous reviewers for their comments, which improved this paper. This work was supported by the National Science Foundation (NSF) Office of Polar Programs (grant PLR-1425989), NSF Division of Ocean Sciences (grant OCE-1234473), by the NASA Ocean Surface Topography Science Team (NNX13AE44G), and by National Oceanic and Atmospheric Administration award NA10OAR4310139.</t>
  </si>
  <si>
    <t>10.5670/oceanog.2016.102</t>
  </si>
  <si>
    <t>WOS:000390560400012</t>
  </si>
  <si>
    <t>Jenkins, A; Dutrieux, P; Jacobs, S; Steig, EJ; Gudmundsson, GH; Smith, J; Heywood, KJ</t>
  </si>
  <si>
    <t>Jenkins, Adrian; Dutrieux, Pierre; Jacobs, Stan; Steig, Eric J.; Gudmundsson, G. Hilmar; Smith, James; Heywood, Karen J.</t>
  </si>
  <si>
    <t>Decadal Ocean Forcing and Antarctic Ice Sheet Response LESSONS FROM THE AMUNDSEN SEA</t>
  </si>
  <si>
    <t>CIRCUMPOLAR DEEP-WATER; PINE ISLAND GLACIER; GROUNDING LINE RETREAT; WEST ANTARCTICA; CONTINENTAL-SHELF; VARIABILITY; TRANSPORT; INFLOW; CIRCULATION; SENSITIVITY</t>
  </si>
  <si>
    <t>Mass loss from the Antarctic Ice Sheet is driven by changes at the marine margins. In the Amundsen Sea, thinning of the ice shelves has allowed the outlet glaciers to accelerate and thin, resulting in inland migration of their grounding lines. The ultimate driver is often assumed to be ocean warming, but the recent record of ocean temperature is dominated by decadal variability rather than a trend. The distribution of water masses on the Amundsen Sea continental shelf is particularly sensitive to atmospheric forcing, while the regional atmospheric circulation is highly variable, at least in part because of the impact of tropical variability. Changes in atmospheric circulation force changes in ice shelf melting, which drive step-wise movement of the grounding line between localized high points on the bed. When the grounding line is located on a high point, outlet glacier flow is sensitive to atmosphere-ocean variability, but once retreat or advance to the next high point has been triggered, ocean circulation and melt rate changes associated with the evolution in geometry of the sub-ice-shelf cavity dominate, and the sensitivity to atmospheric forcing is greatly reduced.</t>
  </si>
  <si>
    <t>[Jenkins, Adrian; Gudmundsson, G. Hilmar; Smith, James] British Antarctic Survey, Nat Environm Res Council, Cambridge, England; [Dutrieux, Pierre] Univ Washington, Appl Phys Lab, Polar Sci Ctr, Seattle, WA 98105 USA; [Dutrieux, Pierre; Jacobs, Stan] Columbia Univ, Lamont Doherty Earth Observ, Palisades, NY USA; [Steig, Eric J.] Univ Washington, Dept Earth &amp; Space Sci, Seattle, WA USA; [Heywood, Karen J.] Univ East Anglia, Ctr Ocean &amp; Atmospher Sci, Norwich, Norfolk, England</t>
  </si>
  <si>
    <t>UK Research &amp; Innovation (UKRI); Natural Environment Research Council (NERC); NERC British Antarctic Survey; University of Washington; University of Washington Seattle; Columbia University; University of Washington; University of Washington Seattle; University of East Anglia</t>
  </si>
  <si>
    <t>Jenkins, A (corresponding author), British Antarctic Survey, Nat Environm Res Council, Cambridge, England.</t>
  </si>
  <si>
    <t>ajen@bas.ac.uk</t>
  </si>
  <si>
    <t>Gudmundsson, Gudmundur Hilmar/F-6499-2012; Jenkins, Adrian/IUN-2406-2023; Dutrieux, Pierre/GVS-2890-2022; Gudmundsson, Gudmundur Hilmar/AAU-5987-2020; Steig, Eric J/G-9088-2015; Heywood, Karen/L-1757-2016</t>
  </si>
  <si>
    <t>Gudmundsson, Gudmundur Hilmar/0000-0003-4236-5369; Dutrieux, Pierre/0000-0002-8066-934X; Gudmundsson, Gudmundur Hilmar/0000-0003-4236-5369; Heywood, Karen/0000-0001-9859-0026; Jenkins, Adrian/0000-0002-9117-0616</t>
  </si>
  <si>
    <t>UK Natural Environment Research Council's iSTAR Programme [NE/J005770/1, NE/J005703/1]; NERC [bas0100033, NE/J005770/1, NE/G001367/1, NE/L013770/1, NE/M013081/1, NE/J005703/1, NE/J005746/1] Funding Source: UKRI; Natural Environment Research Council [NE/J005770/1, bas0100033, NE/M013081/1, NE/G001367/1, NE/L013770/1, NE/J005746/1, NE/J005703/1] Funding Source: researchfish</t>
  </si>
  <si>
    <t>UK Natural Environment Research Council's iSTAR Programme; NERC(UK Research &amp; Innovation (UKRI)Natural Environment Research Council (NERC)); Natural Environment Research Council(UK Research &amp; Innovation (UKRI)Natural Environment Research Council (NERC))</t>
  </si>
  <si>
    <t>AJ and KJH were supported by funding from the UK Natural Environment Research Council's iSTAR Programme through grants NE/J005770/1 and NE/J005703/1.</t>
  </si>
  <si>
    <t>10.5670/oceanog.2016.103</t>
  </si>
  <si>
    <t>Green Accepted, gold</t>
  </si>
  <si>
    <t>WOS:000390560400013</t>
  </si>
  <si>
    <t>Heywood, KJ; Biddle, LC; Boehme, L; Dutrieux, P; Fedak, M; Jenkins, A; Jones, RW; Kaiser, J; Mallett, H; Garabato, ACN; Renfrew, IA; Stevens, DP; Webber, BGM</t>
  </si>
  <si>
    <t>Heywood, Karen J.; Biddle, Louise C.; Boehme, Lars; Dutrieux, Pierre; Fedak, Michael; Jenkins, Adrian; Jones, Richard W.; Kaiser, Jan; Mallett, Helen; Garabato, Alberto C. Naveira; Renfrew, Ian A.; Stevens, David P.; Webber, Benjamin G. M.</t>
  </si>
  <si>
    <t>Between the Devil and the Deep Blue Sea THE ROLE OF THE AMUNDSEN SEA CONTINENTAL SHELF IN EXCHANGES BETWEEN OCEAN AND ICE SHELVES</t>
  </si>
  <si>
    <t>PINE ISLAND GLACIER; WEST ANTARCTICA; WATER INFLOW; CIRCULATION; VARIABILITY; STABILITY; EMBAYMENT; TRANSPORT; SHEET; BREAK</t>
  </si>
  <si>
    <t>The Amundsen Sea is a key region of Antarctica where ocean, atmosphere, sea ice, and ice sheet interact. For much of Antarctica, the relatively warm water of the open Southern Ocean (a few degrees above freezing) does not reach the Antarctic continental shelf in large volumes under current climate conditions. However, in the Amundsen Sea, warm water penetrates onto the continental shelf and provides heat that can melt the underside of the area's floating ice shelves, thinning them. Here, we discuss how the ocean's role in melting has come under increased scrutiny, present 2014 observations from the Amundsen Sea, and discuss their implications, highlighting aspects where understanding is still incomplete.</t>
  </si>
  <si>
    <t>[Heywood, Karen J.; Biddle, Louise C.; Jones, Richard W.; Kaiser, Jan; Mallett, Helen; Renfrew, Ian A.; Stevens, David P.; Webber, Benjamin G. M.] Univ East Anglia, Ctr Ocean &amp; Atmospher Sci, Norwich, Norfolk, England; [Boehme, Lars; Fedak, Michael] Univ St Andrews, Sea Mammal Res Unit, St Andrews, Fife, Scotland; [Dutrieux, Pierre] Univ Washington, Appl Phys Lab, Polar Sci Ctr, Seattle, WA 98105 USA; [Dutrieux, Pierre] Columbia Univ, Lamont Doherty Earth Observ, Palisades, NY USA; [Jenkins, Adrian] British Antarctic Survey, Nat Environm Res Council, Cambridge, England; [Garabato, Alberto C. Naveira] Univ Southampton, Ocean &amp; Earth Sci, Southampton, Hants, England</t>
  </si>
  <si>
    <t>University of East Anglia; University of St Andrews; University of Washington; University of Washington Seattle; Columbia University; UK Research &amp; Innovation (UKRI); Natural Environment Research Council (NERC); NERC British Antarctic Survey; University of Southampton</t>
  </si>
  <si>
    <t>Heywood, KJ (corresponding author), Univ East Anglia, Ctr Ocean &amp; Atmospher Sci, Norwich, Norfolk, England.</t>
  </si>
  <si>
    <t>k.heywood@uea.ac.uk</t>
  </si>
  <si>
    <t>Renfrew, Ian A/E-4057-2010; Webber, Benjamin G M/J-7096-2015; Kaiser, Jan/D-3327-2009; Dutrieux, Pierre/GVS-2890-2022; Jenkins, Adrian/IUN-2406-2023; Garabato, Alberto Naveira/AAQ-1114-2020; Fedak, Michael/B-3987-2009; Boehme, Lars/B-6567-2009; Stevens, David/F-2509-2010; Heywood, Karen/L-1757-2016</t>
  </si>
  <si>
    <t>Kaiser, Jan/0000-0002-1553-4043; Dutrieux, Pierre/0000-0002-8066-934X; Garabato, Alberto Naveira/0000-0001-6071-605X; Fedak, Michael/0000-0002-9569-1128; Webber, Ben/0000-0002-8812-5929; Jenkins, Adrian/0000-0002-9117-0616; Boehme, Lars/0000-0003-3513-6816; Stevens, David/0000-0002-7283-4405; Biddle, Louise/0000-0002-4785-1959; Heywood, Karen/0000-0001-9859-0026</t>
  </si>
  <si>
    <t>UK Natural Environment Research Council's iSTAR Program [NE/J005703/1, NE/J005649/1, NE/J005770/1, NE/J005711/1, NE/J005746/1]; NERC [bas0100033, NE/J005770/1, NE/J005703/1, NE/J005711/1, NE/J005746/1, NE/J005649/1] Funding Source: UKRI; Natural Environment Research Council [NE/J005649/1, smru10001, NE/J005770/1, bas0100033, NE/J005711/1, 1210192, NE/J005746/1, NE/J005703/1, 1361535] Funding Source: researchfish</t>
  </si>
  <si>
    <t>UK Natural Environment Research Council's iSTAR Program; NERC(UK Research &amp; Innovation (UKRI)Natural Environment Research Council (NERC)); Natural Environment Research Council(UK Research &amp; Innovation (UKRI)Natural Environment Research Council (NERC))</t>
  </si>
  <si>
    <t>This work was supported by funding from the UK Natural Environment Research Council's iSTAR Program through grants NE/J005703/1, NE/J005649/1, NE/J005770/1, NE/J005711/1, and NE/J005746/1. We thank all involved with RRS James Clark Ross cruise 294/295 for making these observations possible. We thank Simon Moss (SMRU) for help with seal tagging and Fabien Roquet (MISU, Stockholm University) for help with processing the seal tag data.</t>
  </si>
  <si>
    <t>10.5670/oceanog.2016.104</t>
  </si>
  <si>
    <t>WOS:000390560400014</t>
  </si>
  <si>
    <t>Silvano, A; Rintoul, SR; Herraiz-Borreguero, L</t>
  </si>
  <si>
    <t>Silvano, Alessandro; Rintoul, Stephen R.; Herraiz-Borreguero, Laura</t>
  </si>
  <si>
    <t>Ocean-Ice Shelf Interaction in East Antarctica</t>
  </si>
  <si>
    <t>PINE ISLAND GLACIER; MARINE ICE; MASS-BALANCE; BASAL MELT; TOTTEN GLACIER; WEST ANTARCTICA; WATER FORMATION; SOUTHERN-OCEAN; BOTTOM WATER; SHEET</t>
  </si>
  <si>
    <t>Assessments of the Antarctic contribution to future sea level rise have generally focused on ice loss in West Antarctica. This focus was motivated by glaciological and oceanographic observations that showed ocean warming was driving loss of ice mass from the West Antarctic Ice Sheet (WAIS). Paleoclimate studies confirmed that ice discharge from West Antarctica contributed several meters to sea level during past warm periods. On the other hand, the much larger East Antarctic Ice Sheet (EAIS) was generally considered to be relatively stable because of being largely grounded above sea level and therefore protected from ocean heat flux. However, recent studies suggest that a large part of the EAIS is grounded well below sea level and that the EAIS also retreated and contributed several meters to sea level rise during past warm periods. We use ocean observations from three ice shelf systems to illustrate the variety of ocean-ice shelf interactions taking place in East Antarctica and to discuss the potential vulnerability of East Antarctic ice shelves to ocean heat flux. The Amery and the Mertz are cold cavity ice shelves that exhibit relatively low area-averaged basal melt rates, although substantial melting and refreezing occurs beneath the large and deep Amery Ice Shelf. In contrast, new oceanographic measurements near the Totten Ice Shelf show that warm water enters the sub-ice-shelf cavity and drives rapid basal melting, as is seen in West Antarctica. Totten Glacier is of particular interest because it holds a marine-based ice volume equivalent to at least 3.5 m of global sea level rise, an amount comparable to the entire marine-based WAIS, and recent glaciological measurements show the grounded portion of Totten Glacier is thinning and the grounding line is retreating. Multiple lines of evidence support the hypothesis that parts of the EAIS are more dynamic than once thought. Given that the EAIS contains a volume of marine-based ice equivalent to 19 m of global sea level rise, the potential for ocean-driven melt to destabilize the marine-based ice sheet needs to be accounted for in assessments of future sea level rise.</t>
  </si>
  <si>
    <t>[Silvano, Alessandro] Univ Tasmania, Inst Marine &amp; Antarctic Studies, Hobart, Tas, Australia; [Silvano, Alessandro; Rintoul, Stephen R.] CSIRO, Oceans &amp; Atmosphere, Hobart, Tas, Australia; [Rintoul, Stephen R.] Univ Tasmania, Antarctic Climate &amp; Ecosyst Cooperat Res Ctr, Hobart, Tas, Australia; [Herraiz-Borreguero, Laura] Univ Southampton, Natl Oceanog Ctr Southampton, Ocean &amp; Earth Sci, Southampton, Hants, England</t>
  </si>
  <si>
    <t>University of Tasmania; Commonwealth Scientific &amp; Industrial Research Organisation (CSIRO); University of Tasmania; Antarctic Climate &amp; Ecosystems Cooperative Research Centre (ACE CRC); NERC National Oceanography Centre; University of Southampton</t>
  </si>
  <si>
    <t>Silvano, A (corresponding author), Univ Tasmania, Inst Marine &amp; Antarctic Studies, Hobart, Tas, Australia.;Silvano, A (corresponding author), CSIRO, Oceans &amp; Atmosphere, Hobart, Tas, Australia.</t>
  </si>
  <si>
    <t>alessandro.silvano@utas.edu.au</t>
  </si>
  <si>
    <t>Rintoul, Stephen R/A-1471-2012; Herraiz-Borreguero, Laura/D-5795-2015</t>
  </si>
  <si>
    <t>Rintoul, Stephen R/0000-0002-7055-9876; Silvano, Alessandro/0000-0002-6441-1496; Herraiz-Borreguero, Laura/0000-0002-4455-801X</t>
  </si>
  <si>
    <t>Australian Government's Cooperative Research Centre Program through the Antarctic Climate and Ecosystems Cooperative Research Centre (ACE CRC); Australian Department of Environment; CSIRO; Bureau of Meteorology through the Australian Climate Change Science Program; National Environmental Science Program; Australian Research Council's Special Research Initiative for the Antarctic Gateway Partnership; Australian Integrated Marine Observing System; Australian Antarctic Division; European Research Council under the European Union's Horizon research and innovation programme [661015]; Marie Curie Actions (MSCA) [661015] Funding Source: Marie Curie Actions (MSCA)</t>
  </si>
  <si>
    <t>Australian Government's Cooperative Research Centre Program through the Antarctic Climate and Ecosystems Cooperative Research Centre (ACE CRC)(Australian GovernmentDepartment of Industry, Innovation and ScienceCooperative Research Centres (CRC) Programme); Australian Department of Environment(Australian Government); CSIRO(Commonwealth Scientific &amp; Industrial Research Organisation (CSIRO)); Bureau of Meteorology through the Australian Climate Change Science Program; National Environmental Science Program; Australian Research Council's Special Research Initiative for the Antarctic Gateway Partnership(Australian Research Council); Australian Integrated Marine Observing System; Australian Antarctic Division; European Research Council under the European Union's Horizon research and innovation programme; Marie Curie Actions (MSCA)(Marie Curie Actions)</t>
  </si>
  <si>
    <t>This work was supported by the Australian Government's Cooperative Research Centre Program through the Antarctic Climate and Ecosystems Cooperative Research Centre (ACE CRC); the Australian Department of Environment, the CSIRO, and the Bureau of Meteorology through the Australian Climate Change Science Program; National Environmental Science Program; the Australian Research Council's Special Research Initiative for the Antarctic Gateway Partnership; the Australian Integrated Marine Observing System; and the Australian Antarctic Division. This project also has received funding from the European Research Council under the European Union's Horizon 2020 research and innovation programme (grant agreement no. 661015) Our work was achieved thanks to many people who spent long periods at sea, helped with logistical chores, processed and analyzed the data, and paid the taxes that allowed scientific studies in polar regions.</t>
  </si>
  <si>
    <t>10.5670/oceanog.2016.105</t>
  </si>
  <si>
    <t>WOS:000390560400015</t>
  </si>
  <si>
    <t>Dinniman, MS; Asay-Davis, XS; Galton-Fenzi, BK; Holland, PR; Jenkins, A; Timmermann, R</t>
  </si>
  <si>
    <t>Dinniman, Michael S.; Asay-Davis, Xylar S.; Galton-Fenzi, Benjamin K.; Holland, Paul R.; Jenkins, Adrian; Timmermann, Ralph</t>
  </si>
  <si>
    <t>Modeling Ice Shelf/Ocean in Antarctica A REVIEW</t>
  </si>
  <si>
    <t>OCEAN CIRCULATION BENEATH; CIRCUMPOLAR DEEP-WATER; SHELF MELT RATES; CONTINENTAL-SHELF; WEST ANTARCTICA; SEA; SHEET; GLACIER; DRIVEN; IMPACT</t>
  </si>
  <si>
    <t>The most rapid loss of ice from the Antarctic Ice Sheet is observed where ice streams flow into the ocean and begin to float, forming the great Antarctic ice shelves that surround much of the continent. Because these ice shelves are floating, their thinning does not greatly influence sea level. However, they also buttress the ice streams draining the ice sheet, and so ice shelf changes do significantly influence sea level by altering the discharge of grounded ice. Currently, the most significant loss of mass from the ice shelves is from melting at the base (although iceberg calving is a close second). Accessing the ocean beneath ice shelves is extremely difficult, so numerical models are invaluable for understanding the processes governing basal melting. This paper describes the different ways in which ice shelf/ocean interactions are modeled and discusses emerging directions that will enhance understanding of how the ice shelves are melting now and how this might change in the future.</t>
  </si>
  <si>
    <t>[Dinniman, Michael S.] Old Dominion Univ, Ctr Coastal Phys Oceanog, Norfolk, VA 23529 USA; [Asay-Davis, Xylar S.] Potsdam Inst Climate Impact Res, Earth Syst Anal, Potsdam, Germany; [Galton-Fenzi, Benjamin K.] Australian Antarctic Div, Hobart, Tas, Australia; [Galton-Fenzi, Benjamin K.] Antarctic Climate &amp; Ecosyst Cooperat Res Ctr, Hobart, Tas, Australia; [Holland, Paul R.; Jenkins, Adrian] British Antarctic Survey, Cambridge, England; [Timmermann, Ralph] Alfred Wegener Inst Polar &amp; Marine Res, Bremerhaven, Germany</t>
  </si>
  <si>
    <t>Old Dominion University; Potsdam Institut fur Klimafolgenforschung; Australian Antarctic Division; Antarctic Climate &amp; Ecosystems Cooperative Research Centre (ACE CRC); UK Research &amp; Innovation (UKRI); Natural Environment Research Council (NERC); NERC British Antarctic Survey; Helmholtz Association; Alfred Wegener Institute, Helmholtz Centre for Polar &amp; Marine Research</t>
  </si>
  <si>
    <t>Dinniman, MS (corresponding author), Old Dominion Univ, Ctr Coastal Phys Oceanog, Norfolk, VA 23529 USA.</t>
  </si>
  <si>
    <t>msd@ccpo.odu.edu</t>
  </si>
  <si>
    <t>Jenkins, Adrian/IUN-2406-2023; Holland, Paul R/G-2796-2012</t>
  </si>
  <si>
    <t>Jenkins, Adrian/0000-0002-9117-0616; Dinniman, Michael/0000-0001-7519-9278; Asay-Davis, Xylar/0000-0002-1990-892X; Galton-Fenzi, Benjamin Keith/0000-0003-1404-4103</t>
  </si>
  <si>
    <t>US National Science Foundation; Department of Energy; UK Natural Environment Research Council; Helmholtz Association of German Research Centers; Australian Antarctic Division; NERC [NE/N01801X/1, bas0100033, NE/G018146/1, NE/J005770/1] Funding Source: UKRI; Natural Environment Research Council [NE/G018146/1, bas0100033, NE/N01801X/1, NE/J005770/1] Funding Source: researchfish</t>
  </si>
  <si>
    <t>US National Science Foundation(National Science Foundation (NSF)); Department of Energy(United States Department of Energy (DOE)); UK Natural Environment Research Council(UK Research &amp; Innovation (UKRI)Natural Environment Research Council (NERC)); Helmholtz Association of German Research Centers(Helmholtz Association); Australian Antarctic Division; NERC(UK Research &amp; Innovation (UKRI)Natural Environment Research Council (NERC)); Natural Environment Research Council(UK Research &amp; Innovation (UKRI)Natural Environment Research Council (NERC))</t>
  </si>
  <si>
    <t>This research was supported by funding agencies for not only the six authors (US National Science Foundation and Department of Energy, Australian Antarctic Division, UK Natural Environment Research Council, and Helmholtz Association of German Research Centers), but also the funding agencies, and taxpayers, supporting all the works reviewed here. Comments and help with figures from Pierre Dutrieux, Daniel Martin, Pierre St-Laurent and two reviewers greatly improved this manuscript.</t>
  </si>
  <si>
    <t>10.5670/oceanog.2016.106</t>
  </si>
  <si>
    <t>WOS:000390560400016</t>
  </si>
  <si>
    <t>Fietz, S; Ho, SL; Huguet, C; Rosell-Melé, A; Martínez-García, A</t>
  </si>
  <si>
    <t>Fietz, S.; Ho, S. L.; Huguet, C.; Rosell-Mele, A.; Martinez-Garcia, A.</t>
  </si>
  <si>
    <t>Appraising GDGT-based seawater temperature indices in the Southern Ocean</t>
  </si>
  <si>
    <t>ORGANIC GEOCHEMISTRY</t>
  </si>
  <si>
    <t>Paleothermometry; Hydroxylated isoprenoid glycerol dialkyl glycerol tetraethers; OH-GDGTs; TEX86; Cores PS2489-2/ODP1090</t>
  </si>
  <si>
    <t>GLYCEROL TETRAETHER LIPIDS; AMMONIA-OXIDIZING ARCHAEA; OXYGEN MINIMUM ZONE; SUB-ANTARCTIC ZONE; INTACT POLAR; PLANKTONIC EURYARCHAEOTA; SIGNIFICANT CONTRIBUTORS; MEMBRANE-LIPIDS; ETHER LIPIDS; MARINE</t>
  </si>
  <si>
    <t>A robust understanding of past oceanographic variability in the Southern Ocean is important because of its role in modulating global climate change. Here, we analyzed the distributions of isoprenoid glycerol dialkyl glycerol tetraethers (GDGTs), both non-hydroxylated and the more recently discovered hydroxylated ones, in a well studied 500 kyr sediment record (core PS2489-2) from the Atlantic sector of the Southern Ocean and reconstructed past sea surface temperature. Given the uncertainty in the GDGT temperature indices, we appraised existing calibrations by comparing them with other temperature proxies and cold-water mass indicators determined from the same core. None of the existing calibrations afforded temporal trends and/or absolute values consistent with other better constrained temperature proxies. Using an extended compilation from a global core top hydroxylated GDGT data set, we examined if the disagreement might stem from the calibration data set and the definition of the GDGT indices. Among the new GDGT indices tested, the OHC index (an extended TEX86 index modified similarly to the U-37(K) index) and OHL (including a log function similar to TEX86L) showed temporal variability that was the most consistent with other proxies. However, they also gave unrealistic sub-zero glacial temperature values, which may have been caused by a biased calibration due to the small calibration data set, and/or a shift in production or export depth of GDGTs during glacial stages which, in turn, result in a GDGT-temperature relationship different from that during the interglacial stages. (C) 2016 Elsevier Ltd. All rights reserved.</t>
  </si>
  <si>
    <t>[Fietz, S.] Univ Stellenbosch, Dept Earth Sci, Stellenbosch, South Africa; [Ho, S. L.] Helmholtz Ctr Polar &amp; Marine Res, Alfred Wegener Inst, Potsdam, Germany; [Huguet, C.; Rosell-Mele, A.] Univ Autonoma Barcelona, Inst Ciencia &amp; Tecnol Ambientals, Bellaterra, Catalonia, Spain; [Rosell-Mele, A.] Inst Catalana Recerca &amp; Estudis Avancats, Barcelona, Catalonia, Spain; [Martinez-Garcia, A.] Swiss Fed Inst Technol Zurich, Inst Geol, Zurich, Switzerland; [Ho, S. L.] Bjerknes Ctr Climate Res, Allegaten 41, N-5007 Bergen, Norway; [Ho, S. L.] Univ Bergen, Allegaten 41, N-5007 Bergen, Norway</t>
  </si>
  <si>
    <t>Stellenbosch University; Helmholtz Association; Alfred Wegener Institute, Helmholtz Centre for Polar &amp; Marine Research; Autonomous University of Barcelona; ICREA; Swiss Federal Institutes of Technology Domain; ETH Zurich; Bjerknes Centre for Climate Research; University of Bergen</t>
  </si>
  <si>
    <t>Fietz, S (corresponding author), Univ Stellenbosch, Dept Earth Sci, Stellenbosch, South Africa.</t>
  </si>
  <si>
    <t>s_fietz@web.de</t>
  </si>
  <si>
    <t>Huguet, Carme/C-6918-2013; Martinez-Garcia, Alfredo/A-6244-2010; Fietz, Susanne/A-8695-2012</t>
  </si>
  <si>
    <t>Martinez-Garcia, Alfredo/0000-0002-7206-5079; Ho, Sze Ling/0000-0002-4898-9036; Huguet, Carme/0000-0001-8025-2010; Fietz, Susanne/0000-0003-0896-8385</t>
  </si>
  <si>
    <t>Spanish Ministerio de Ciencia e Innovacion (MICINN); A SCAR Fellowship; South African National Research Foundation [SNA14072378763]; Spanish Research Ministry [CTM2013-43006]; ICREA Funding Source: Custom</t>
  </si>
  <si>
    <t>Spanish Ministerio de Ciencia e Innovacion (MICINN)(Spanish Government); A SCAR Fellowship; South African National Research Foundation(National Research Foundation - South Africa); Spanish Research Ministry(Spanish Government); ICREA(ICREA)</t>
  </si>
  <si>
    <t>S.F. and C.H. thank the Spanish Ministerio de Ciencia e Innovacion (MICINN) for Juan de la Cierva fellowships. A SCAR Fellowship 2010/2011 is acknowledged for financially supporting the scientific stay of S.L.H. at the Universitat Autonoma de Barcelona. S.F. acknowledges support from South African National Research Foundation (grant number SNA14072378763). A.R.M. acknowledges support from the Spanish Research Ministry (CTM2013-43006). The authors thank R. Roux, Stellenbosch University, for re-analysis of some of the sample sets. We also thank two anonymous reviewers for constructive comments.</t>
  </si>
  <si>
    <t>0146-6380</t>
  </si>
  <si>
    <t>1873-5290</t>
  </si>
  <si>
    <t>ORG GEOCHEM</t>
  </si>
  <si>
    <t>Org. Geochem.</t>
  </si>
  <si>
    <t>10.1016/j.orggeochem.2016.10.003</t>
  </si>
  <si>
    <t>EI5KY</t>
  </si>
  <si>
    <t>WOS:000392534300009</t>
  </si>
  <si>
    <t>Gottschalk, J; Riveiros, NV; Waelbroeck, C; Skinner, LC; Michel, E; Duplessy, JC; Hodell, D; Mackensen, A</t>
  </si>
  <si>
    <t>Gottschalk, Julia; Riveiros, Natalia Vazquez; Waelbroeck, Claire; Skinner, Luke C.; Michel, Elisabeth; Duplessy, Jean-Claude; Hodell, David; Mackensen, Andreas</t>
  </si>
  <si>
    <t>Carbon isotope offsets between benthic foraminifer species of the genus Cibicides (Cibicidoides) in the glacial sub-Antarctic Atlantic</t>
  </si>
  <si>
    <t>DEEP-WATER CIRCULATION; MILLENNIAL-SCALE CHANGES; SOUTHERN-OCEAN; ATMOSPHERIC CO2; STABLE CARBON; MICROHABITAT PREFERENCES; PLANKTONIC-FORAMINIFERA; WUELLERSTORFI SCHWAGER; COMMUNITY STRUCTURE; METHANE SEEPS</t>
  </si>
  <si>
    <t>Epibenthic foraminifer delta C-13 measurements are valuable for reconstructing past bottom water dissolved inorganic carbon d13C (delta C-13(DIC)), which are used to infer global ocean circulation patterns. Epibenthic delta C-13, however, may also reflect the influence of C-13-depleted phytodetritus, microhabitat changes, and/or variations in carbonate ion concentrations. Here we compare the delta C-13 of two benthic foraminifer species, Cibicides kullenbergi and Cibicides wuellerstorfi, and their morphotypes, in three sub-Antarctic Atlantic sediment cores over several glacial-interglacial transitions. These species are commonly assumed to be epibenthic, living above or directly below the sediment-water interface. While this might be consistent with the small delta C-13 offset that we observe between these species during late Pleistocene interglacial periods (Delta delta C-13=-0.19 +/- 0.31%, N=63), it is more difficult to reconcile with the significant delta C-13 offset that is found between these species during glacial periods (Delta delta C-13=-0.76 +/- 0.44%, N=44). We test possible scenarios by analyzing Uvigerina spp delta C-13 and benthic foraminifer abundances: (1) C. kullenbergi delta C-13 is biased to light values either due to microhabitat shifts or phytodetritus effects and (2) C. wuellerstorfi delta C-13 is biased to heavy values, relative to long-term average conditions, for instance by recording the sporadic occurrence of less depleted deepwater delta C-13(DIC). Neither of these scenarios can be ruled out unequivocally. However, our findings emphasize that supposedly epibenthic foraminifer delta C-13 in the sub-Antarctic Atlantic may reflect several factors rather than being solely a function of bottom water delta C-13(DIC). This could have a direct bearing on the interpretation of extremely light South Atlantic delta C-13 values at the Last Glacial Maximum.</t>
  </si>
  <si>
    <t>[Gottschalk, Julia; Riveiros, Natalia Vazquez; Skinner, Luke C.; Hodell, David] Univ Cambridge, Dept Earth Sci, Godwin Lab Palaeoclimate Res, Cambridge, England; [Gottschalk, Julia] Univ Bern, Inst Geol Sci, Bern, Switzerland; [Gottschalk, Julia] Univ Bern, Oeschger Ctr Climate Change Res, Bern, Switzerland; [Riveiros, Natalia Vazquez; Waelbroeck, Claire; Michel, Elisabeth; Duplessy, Jean-Claude] Univ Paris Saclay, CNRS CEA UVSQ, Lab Sci Climat &amp; Environm, LSCE IPSL, Gif Sur Yvette, France; [Mackensen, Andreas] Alfred Wegener Inst Polar &amp; Marine Res, Bremerhaven, Germany</t>
  </si>
  <si>
    <t>University of Cambridge; University of Bern; University of Bern; Universite Paris Cite; CEA; Centre National de la Recherche Scientifique (CNRS); Universite Paris Saclay; Helmholtz Association; Alfred Wegener Institute, Helmholtz Centre for Polar &amp; Marine Research</t>
  </si>
  <si>
    <t>Gottschalk, J (corresponding author), Univ Cambridge, Dept Earth Sci, Godwin Lab Palaeoclimate Res, Cambridge, England.;Gottschalk, J (corresponding author), Univ Bern, Inst Geol Sci, Bern, Switzerland.;Gottschalk, J (corresponding author), Univ Bern, Oeschger Ctr Climate Change Res, Bern, Switzerland.</t>
  </si>
  <si>
    <t>julia.gottschalk@geo.unibe.ch</t>
  </si>
  <si>
    <t>Vazquez Riveiros, Natalia/C-1100-2012; Mackensen, Andreas/J-8600-2013</t>
  </si>
  <si>
    <t>Vazquez Riveiros, Natalia/0000-0001-7513-153X; Hodell, David/0000-0001-8537-1588; Mackensen, Andreas/0000-0002-5024-4455; Michel, Elisabeth/0000-0001-7810-8888; Gottschalk, Julia/0000-0002-0403-3059; waelbroeck, claire/0000-0002-7256-5727</t>
  </si>
  <si>
    <t>Gates Cambridge Trust; Royal Society; NERC grant [NE/J010545/1]; European Union [243908]; European Research Council [ACCLIMATE 339108]; FP6RTN [NICE 36127]; AXA Research Fund Postdoctoral Fellowship; Natural Environment Research Council [NE/G006105/2] Funding Source: researchfish; NERC [NE/G006105/2, NE/J010545/1] Funding Source: UKRI</t>
  </si>
  <si>
    <t>Gates Cambridge Trust; Royal Society(Royal Society); NERC grant(UK Research &amp; Innovation (UKRI)Natural Environment Research Council (NERC)); European Union(European Union (EU)); European Research Council(European Research Council (ERC)); FP6RTN; AXA Research Fund Postdoctoral Fellowship(AXA Research Fund); Natural Environment Research Council(UK Research &amp; Innovation (UKRI)Natural Environment Research Council (NERC)); NERC(UK Research &amp; Innovation (UKRI)Natural Environment Research Council (NERC))</t>
  </si>
  <si>
    <t>This study was supported by the Gates Cambridge Trust (via a PhD scholarship awarded to J.G.), the Royal Society, NERC grant NE/J010545/1 (awarded to L.C.S.), the European Union's Seventh Framework Programme under grant agreement 243908 Past4Future. Climate change-Learning from the past climate (C.W., L.C.S., and E.M.), European Research Council grant ACCLIMATE 339108 (awarded to C.W.), FP6RTN NICE 36127, and AXA Research Fund Postdoctoral Fellowship (awarded to N.V.R.). We thank Gema Martinez-Mendez for the fruitful discussions and comments on an earlier version of this manuscript Harry Elderfield and Linda Booth for allowing access to a digital microscope for photographic purposes. This study greatly benefitted from discussions with Lloyd Keigwin and participants of the first meeting of the international Ocean Circulation and Carbon Cycling (OC3) project in Bern, Switzerland, in September 2014, which gave the inspiration for this paper. We are grateful to comments from three reviewers and the Editor Ellen Thomas that helped to improve the manuscript. This is LSCE contribution 5597. All data accompanying this study are available from PANGAEA (doi.pangaea.de/10.1594/PANGAEA.861823).</t>
  </si>
  <si>
    <t>10.1002/2016PA003029</t>
  </si>
  <si>
    <t>EJ4FT</t>
  </si>
  <si>
    <t>WOS:000393173000005</t>
  </si>
  <si>
    <t>Peck, LS; Heiser, S; Clark, MS</t>
  </si>
  <si>
    <t>Peck, Lloyd S.; Heiser, Sabrina; Clark, Melody S.</t>
  </si>
  <si>
    <t>Very slow embryonic and larval development in the Antarctic limpet Nacella polaris</t>
  </si>
  <si>
    <t>Polar; Low temperature; Concinna; Ecology; Mollusc; Reproduction</t>
  </si>
  <si>
    <t>GASTROPOD CREPIDULA-FORNICATA; PATINIGERA CONCINNA STREBEL; CLAM LATERNULA-ELLIPTICA; MARINE ECTOTHERMS; LOTTIA-DIGITALIS; LIFE-HISTORIES; GROWTH; REPRODUCTION; TEMPERATURE; COLD</t>
  </si>
  <si>
    <t>Cold polar marine species have very slow embryonic and larval development rates. Antarctic echinoids, bivalve molluscs and brooding gastropods develop up to 12 times slower than temperate and tropical species, departing from Arrhenius relationships and outside the normal Q (10) of 2-3 associated with 10 A degrees C reductions in biochemical reaction rates. The slowing of development at temperatures around 0 A degrees C has been reported previously to be much greater than for other parts of the global marine temperature range. Here we spawned and reared embryos and larvae of the Antarctic limpet Nacella polaris at 0.6 A degrees C to the post-torsional veliger stage. Spawned eggs were 221 A mu m in diameter. Development rates were three times slower than any previously reported for patellogastropod limpets, with first division at 2.5 h post-fertilisation, the gastrula stage being reached after 55 h, hatching occurring after 70-75 h and the trochophore stage being reached after around 100 h. The marked slowing of development around 0 A degrees C matches that previously reported for other polar taxa. This supports the hypothesis that there is a cold marine physiological transition to markedly slower physiological rates at temperatures near 0 A degrees C. The transition is especially apparent here for development, but has also been reported for growth, both of which involve significant protein synthesis.</t>
  </si>
  <si>
    <t>[Peck, Lloyd S.; Heiser, Sabrina; Clark, Melody S.] British Antarctic Survey, Nat Environm Res Council, High Cross,Madingley Rd, Cambridge CB3 0ET, England</t>
  </si>
  <si>
    <t>Peck, LS (corresponding author), British Antarctic Survey, Nat Environm Res Council, High Cross,Madingley Rd, Cambridge CB3 0ET, England.</t>
  </si>
  <si>
    <t>l.peck@bas.ac.uk</t>
  </si>
  <si>
    <t>Heiser, Sabrina/HJH-9098-2023; Clark, Melody/D-7371-2014</t>
  </si>
  <si>
    <t>Heiser, Sabrina/0000-0003-3307-3233; Clark, Melody/0000-0002-3442-3824</t>
  </si>
  <si>
    <t>Natural Environment Research Council of the UK; NERC [bas0100036, dml011000] Funding Source: UKRI; Natural Environment Research Council [bas0100036, dml011000] Funding Source: researchfish</t>
  </si>
  <si>
    <t>Natural Environment Research Council of the UK(UK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</si>
  <si>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British Antarctic Survey dive team, and boatmen at Rothera station for support in animal collection and Ali Massey for assistance with laboratory equipment. We also thank Mairi Fenton for assistance in maintaining embryonic and larval cultures in 2012. The work was supported by core funding from the Natural Environment Research Council of the UK.</t>
  </si>
  <si>
    <t>10.1007/s00300-016-1894-1</t>
  </si>
  <si>
    <t>WOS:000390068600006</t>
  </si>
  <si>
    <t>Jurajda, P; Roche, K; Sedlácek, I; Vseticková, L</t>
  </si>
  <si>
    <t>Jurajda, P.; Roche, K.; Sedlacek, I.; Vsetickova, L.</t>
  </si>
  <si>
    <t>Assemblage characteristics and diet of fish in the shallow coastal waters of James Ross Island, Antarctica</t>
  </si>
  <si>
    <t>Antarctic Peninsula; Fish assemblage structure; Notothenioidei; Shallow coastal waters; Ice pack; Czech Antarctic Station</t>
  </si>
  <si>
    <t>SOUTH SHETLAND ISLANDS; TERRA-NOVA BAY; NOTOTHENIOID FISHES; WEDDELL SEA; TROPHIC ECOLOGY; DEMERSAL FISH; PENINSULA; FAUNA; EVOLUTION; INSHORE</t>
  </si>
  <si>
    <t>This study presents data on fish assemblage structure for the relatively pristine and understudied Antarctic coastal zone (5-25 m). A total of 545 Notothenioidei and Bathydraconidae fish (eight species) were caught in the Prince Gustav Channel (James Ross Island, eastern Antarctic Peninsula) using Nordic multi-mesh benthic gill nets between January and February 2014. Trematomus hansoni dominated at 5 m and Trematomus bernacchii at 15 m, with Gobionotothen gibberifrons and Trematomus newnesi subdominant. Dominance at 25 m resembled that at 15 m. Despite relatively low numbers, species richness, abundance and biomass appeared to increase with depth. While T. bernacchii, T. hansoni, G. gibberifrons and Notothenia coriiceps all displayed multiple size (and probably age) groups, most T. newnesi ranged between 10 and 15 cm. Subsamples of G. gibberifrons and T. bernacchii showed a 1:1 adult/immature ratio, with minimum adult and maximum immature length/weight overlapping. Females outnumbered males, with a ratio of 2.8:1 for G. gibberifrons and 4.8:1 for T. bernacchii. The diet comprised mostly benthic taxa (isopods, gammarids, gastropods, polychaete worms). While G. gibberifrons appeared opportunistic, T. bernacchii specialised more on isopods. Our results highlight the possible importance of the Antarctic inshore zone as feeding habitat, despite frequent ice cover/scouring. We suggest that recent prolonged summer ice cover over the eastern side of the Antarctic Peninsula could have important impacts on inshore fish communities and food webs, though further in-depth studies are needed to confirm our results.</t>
  </si>
  <si>
    <t>[Jurajda, P.; Roche, K.; Vsetickova, L.] Acad Sci Czech Republic, Inst Vertebrate Biol, Kvetna 8, CS-60365 Brno, Czech Republic; [Sedlacek, I.] Masaryk Univ, Fac Sci, Czech Collect Microorganisms, Kamenice 5, Brno 62500, Czech Republic</t>
  </si>
  <si>
    <t>Czech Academy of Sciences; Institute of Vertebrate Biology of the Czech Academy of Sciences; Masaryk University Brno</t>
  </si>
  <si>
    <t>Roche, K (corresponding author), Acad Sci Czech Republic, Inst Vertebrate Biol, Kvetna 8, CS-60365 Brno, Czech Republic.</t>
  </si>
  <si>
    <t>kevin.roche@hotmail.co.uk</t>
  </si>
  <si>
    <t>Vsetickova, Lucie/G-7113-2014; Jurajda, Pavel/F-9647-2014; Sedlacek, Ivo/IWU-8828-2023; Roche, Kevin F/A-2816-2015</t>
  </si>
  <si>
    <t>Vsetickova, Lucie/0000-0001-5857-9199; Roche, Kevin F/0000-0002-3221-0139</t>
  </si>
  <si>
    <t>Grant Agency of the Czech Republic (ECIP Project) [P505/12/G112]</t>
  </si>
  <si>
    <t>Grant Agency of the Czech Republic (ECIP Project)(Grant Agency of the Czech Republic)</t>
  </si>
  <si>
    <t>This study was made possible thanks to financial support from the Grant Agency of the Czech Republic (ECIP Project No. P505/12/G112). We would like to express our thanks for permission to use the J.G. Mendel Czech Antarctic Station on James Ross Island in 2014 and to all our expedition colleagues for technical help while stationed there. We would also like to thank A. Bryjova and J. Bryja of the Institute of Vertebrate Biology, Czech Academy of Sciences, for their help in analysing the DNA samples.</t>
  </si>
  <si>
    <t>10.1007/s00300-016-1896-z</t>
  </si>
  <si>
    <t>WOS:000390068600008</t>
  </si>
  <si>
    <t>Engelen, A; Convey, P; Popa, O; Ott, S</t>
  </si>
  <si>
    <t>Engelen, Andreas; Convey, Peter; Popa, Ovidiu; Ott, Sieglinde</t>
  </si>
  <si>
    <t>Lichen photobiont diversity and selectivity at the southern limit of the maritime Antarctic region (Coal Nunatak, Alexander Island)</t>
  </si>
  <si>
    <t>Inland site; Extreme environment; Symbiotic association; Community; Genetic diversity; Photobiont haplotypes</t>
  </si>
  <si>
    <t>INLAND SITE; ALGAL; COMMUNITY; CHLOROPHYTA; SPECIFICITY; SYMBIONTS; PARTNERS; VALLEYS</t>
  </si>
  <si>
    <t>Antarctic ice-free inland sites provide a unique perspective on the strategies coevolving organisms have developed for survival at the limits of life. Here, we provide the first combined description of the ecological and genetic diversity of lichen photobionts colonising an isolated Antarctic inland site, Coal Nunatak, on south-east Alexander Island (Antarctic Peninsula). Photobionts of 14 lichen species (42 samples), all belonging to the group of coccal green algae, representing the entire lichen community of Coal Nunatak were investigated using the internal transcribed spacer region (ITS) of the nuclear ribosomal DNA. The study attempted to address the hypothesis that mycobiont selectivity for the photobiont partner is lower in more extreme environments. This hypothesis did not appear to hold true for the entire lichen community except one species. Another aspect focuses on the relevance of the reproduction modus concerning the distribution of photobiont haplotypes in the lichen community.</t>
  </si>
  <si>
    <t>[Engelen, Andreas; Ott, Sieglinde] Heinrich Heine Univers, Inst Bot, Univ Str 1, D-40225 Dusseldorf, Germany; [Convey, Peter] British Antarctic Survey, Nat Environm Res Council, High Cross,Madingley Rd, Cambridge CB3 0ET, England; [Popa, Ovidiu] Heinrich Heine Univers, Inst Quantitat &amp; Theoret Biol, Univ Str 1, D-40225 Dusseldorf, Germany</t>
  </si>
  <si>
    <t>Ott, S (corresponding author), Heinrich Heine Univers, Inst Bot, Univ Str 1, D-40225 Dusseldorf, Germany.</t>
  </si>
  <si>
    <t>otts@hhu.de</t>
  </si>
  <si>
    <t>Deutsche Forschungsgemeinschaft (DFG) [Ot96/10-1/2]; Duesseldorf Enterpreneurs Foundation; NERC; [SPP 1158]; Natural Environment Research Council [bas0100036] Funding Source: researchfish; NERC [bas0100036] Funding Source: UKRI</t>
  </si>
  <si>
    <t>Deutsche Forschungsgemeinschaft (DFG)(German Research Foundation (DFG)); Duesseldorf Enterpreneurs Foundation; NERC(UK Research &amp; Innovation (UKRI)Natural Environment Research Council (NERC)); ; Natural Environment Research Council(UK Research &amp; Innovation (UKRI)Natural Environment Research Council (NERC)); NERC(UK Research &amp; Innovation (UKRI)Natural Environment Research Council (NERC))</t>
  </si>
  <si>
    <t>We thank the British Antarctic Survey for logistic support allowing access to the study sites on Alexander Island and its staff at Rothera Research Station for their support. We are especially thankful to the BAS field assistants Neil Stevenson and Robin Jarvis for their kind and invaluable technical support in the field. Thanks are due to Nora Wirtz, Dag Ovstedal and Hannes Hertel for determination of the lichen species. This project was funded by a Grant of the Deutsche Forschungsgemeinschaft (DFG) to SO (Ot96/10-1/2) as part of the priority program SPP 1158 and the Duesseldorf Enterpreneurs Foundation. PC is supported by NERC core funding to the BAS Ecosystems programme. This paper also forms an output of the SCAR AntEco and AnT-ERA scientific programmes.</t>
  </si>
  <si>
    <t>10.1007/s00300-016-1915-0</t>
  </si>
  <si>
    <t>WOS:000390068600016</t>
  </si>
  <si>
    <t>Sakaeva, A; Sokol, ER; Kohler, TJ; Stanish, LF; Spaulding, SA; Howkins, A; Welch, KA; Lyons, WB; Barrett, JE; McKnight, DM</t>
  </si>
  <si>
    <t>Sakaeva, A.; Sokol, E. R.; Kohler, T. J.; Stanish, L. F.; Spaulding, S. A.; Howkins, A.; Welch, K. A.; Lyons, W. B.; Barrett, J. E.; McKnight, D. M.</t>
  </si>
  <si>
    <t>Evidence for dispersal and habitat controls on pond diatom communities from the McMurdo Sound Region of Antarctica</t>
  </si>
  <si>
    <t>Metacommunity; Beta-diversity; Cape Royds; Species sorting; Dry Valley; Distance effect</t>
  </si>
  <si>
    <t>DRY VALLEYS; TAYLOR VALLEY; FRESH-WATER; MICROBIAL DIVERSITY; LIVINGSTON ISLAND; BYERS PENINSULA; CLIMATE; LAKES; PATTERNS; ASSEMBLAGES</t>
  </si>
  <si>
    <t>Microbial life flourishes in the ponds of the McMurdo Sound Region, which includes the McMurdo Dry Valleys (MDV) and the exposed coastal areas of Ross Island, Antarctica. Diatoms live within resident microbial mats, and because of the simplified trophic structure and limited dispersal vectors, the McMurdo Sound Region is an ideal locality to investigate diatom community assembly processes. Wind is hypothesized to transport microbiota between habitats, and following the species-sorting perspective, local conditions should act as an environmental filter. However, the role of spatial scale versus habitat characteristics on diatom community structure has not been investigated. To gain insight into these processes, we sampled microbial mats from 25 ponds and used variation partitioning to assess the spatial scales at which diatoms were influenced by chemistry and physical variables. We found substantial spatial structure in diatom communities, and spatial scale explained more variability than environmental variables. No diatoms were exclusive to Ross Island, but some species were only found in the MDVs. Furthermore, diatom communities were more likely to resemble those from other nearby ponds rather than distant ones, regardless of environmental conditions. Of the environmental variables, bromide and chloride (both indicators of marine influence) were among the most important. These results suggest that geography, dispersal, and historical environmental conditions play a major role in structuring diatom communities at large spatial scales, and chemistry may be more important within regions. These results help explain the biogeography of diatoms here and elsewhere and expand our knowledge of mechanisms influencing microbial metacommunity structure.</t>
  </si>
  <si>
    <t>[Sakaeva, A.; Sokol, E. R.; Stanish, L. F.; Spaulding, S. A.; McKnight, D. M.] Univ Colorado, Inst Arctic &amp; Alpine Res, 1560 30th St, Boulder, CO 80303 USA; [Kohler, T. J.] Charles Univ Prague, Fac Sci, Dept Ecol, Vinicna 7, CR-12844 Prague 2, Czech Republic; [Howkins, A.] Colorado State Univ, Dept Hist, 1372 Campus Delivery, Ft Collins, CO 80523 USA; [Welch, K. A.; Lyons, W. B.] Ohio State Univ, Byrd Polar Res Ctr, 1090 Carmack Rd,108 Scott Hall, Columbus, OH 43210 USA; [Barrett, J. E.] Virginia Tech, Dept Biol Sci, 1405 Perry St, Blacksburg, VA 24061 USA</t>
  </si>
  <si>
    <t>University of Colorado System; University of Colorado Boulder; Charles University Prague; Colorado State University; University System of Ohio; Ohio State University; Virginia Polytechnic Institute &amp; State University</t>
  </si>
  <si>
    <t>Kohler, TJ (corresponding author), Charles Univ Prague, Fac Sci, Dept Ecol, Vinicna 7, CR-12844 Prague 2, Czech Republic.</t>
  </si>
  <si>
    <t>tyler.j.kohler@gmail.com; diane.mcknight@colorado.edu</t>
  </si>
  <si>
    <t>Sokol, Eric R./HZL-4014-2023; Spaulding, Sarah Ann/AEZ-7757-2022; Kohler, Tyler Joe/IUO-5352-2023; Sokol, Eric R/D-3956-2011; Barrett, John E/D-5851-2016</t>
  </si>
  <si>
    <t>Sokol, Eric R./0000-0001-5923-0917; Spaulding, Sarah Ann/0000-0002-9787-7743; Kohler, Tyler Joe/0000-0001-5137-4844; Cox, Aneliya/0000-0003-2206-4809</t>
  </si>
  <si>
    <t>MCMLTER [OPP-1115245]; National Science Foundation Antarctic Organisms and Ecosystems Program [0839020]; Directorate For Geosciences; Office of Polar Programs (OPP) [1115245] Funding Source: National Science Foundation; Division Of Ocean Sciences; Directorate For Geosciences [0839020] Funding Source: National Science Foundation</t>
  </si>
  <si>
    <t>MCMLTER; National Science Foundation Antarctic Organisms and Ecosystems Program(National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t>
  </si>
  <si>
    <t>We thank Chris Jaros, Rae Spain, Holly Hughes, Katerina Kopalova, Steven Crisp, Jean Pennycook, and Amy Chiuchiolo for field and laboratory assistance. Dieter Piepenburg, Manuel Toro, and two anonymous reviewers provided useful comments that greatly improved the manuscript. PHI helicopters provided logistic support. Funding was provided by the MCMLTER (OPP-1115245) and National Science Foundation Antarctic Organisms and Ecosystems Program Award #0839020.</t>
  </si>
  <si>
    <t>10.1007/s00300-016-1901-6</t>
  </si>
  <si>
    <t>WOS:000390068600019</t>
  </si>
  <si>
    <t>Matsuno, K; Abe, Y; Yamaguchi, A; Kikuchi, T</t>
  </si>
  <si>
    <t>Matsuno, Kohei; Abe, Yoshiyuki; Yamaguchi, Atsushi; Kikuchi, Takashi</t>
  </si>
  <si>
    <t>Regional patterns and controlling factors on summer population structure of Calanus glacialis in the western Arctic Ocean</t>
  </si>
  <si>
    <t>Calanus glacialis; Western Arctic Ocean; Structural equation model (SEM)</t>
  </si>
  <si>
    <t>CHUKCHI SEA; BARENTS SEA; ZOOPLANKTON; LIFE; ABUNDANCE; FINMARCHICUS; COMMUNITIES; VARIABILITY; WATER</t>
  </si>
  <si>
    <t>In the Arctic Ocean, Calanus glacialis is the most dominant species in zooplankton biomass. While important, little information is available concerning the factors controlling their population. In this study, we evaluated regional patterns and environmental factors controlling the population structure of C. glacialis in the western Arctic Ocean in summer months (July-October) in 1991, 1992, 2007, 2008, 2010, 2012, 2013 and 2014. To evaluate regional patterns, environmental parameters (temperature, salinity and chlorophyll a) and C. glacialis population parameters (abundance, biomass, mean copepodid stage and lipid accumulation) were divided into three latitudinal regions. In all three regions from July to October, chlorophyll a decreased, while the mean copepodid stage increased. These results suggest phytoplankton blooms occurred early in the sampling period, and C. glacialis grew during the period. From Structural Equation Model (SEM) analysis, the controlling factors on the C. glacialis population were evaluated. The results of the SEM analysis indicated positive correlations between abundance and biomass; Julian day and mean copepodid stage; and temperature and mean copepodid stage. Additionally, a negative correlation between abundance and mean copepodid stage was observed. (C) 2016 Elsevier B.V. and NIPR. All rights reserved.</t>
  </si>
  <si>
    <t>[Matsuno, Kohei] Australian Antarctic Div, 203 Channel Highway, Kingston, Tas 7050, Australia; [Abe, Yoshiyuki; Yamaguchi, Atsushi] Hokkaido Univ, Grad Sch Fisheries Sci, Marine Biol Lab, 3-1-1 Minato Cho, Hakodate, Hokkaido 0418611, Japan; [Kikuchi, Takashi] Japan Agcy Marine Earth Sci &amp; Technol, 2-15 Natsushima Cho, Yokosuka, Kanagawa 2370061, Japan</t>
  </si>
  <si>
    <t>Australian Antarctic Division; Hokkaido University; Japan Agency for Marine-Earth Science &amp; Technology (JAMSTEC)</t>
  </si>
  <si>
    <t>Matsuno, K (corresponding author), Australian Antarctic Div, 203 Channel Highway, Kingston, Tas 7050, Australia.</t>
  </si>
  <si>
    <t>kohei.matsuno@utas.edu.au</t>
  </si>
  <si>
    <t>Green Network of Excellence Program's (GRENE Program) Arctic Climate Change Research Project: 'Rapid Change of the Arctic Climate System and its Global Influences'; Arctic Challenge for Sustainability (ArCS) Project; [24248032]; [16H02947]; [24110005]; Grants-in-Aid for Scientific Research [16H02947, 24110005] Funding Source: KAKEN</t>
  </si>
  <si>
    <t>Green Network of Excellence Program's (GRENE Program) Arctic Climate Change Research Project: 'Rapid Change of the Arctic Climate System and its Global Influences'; Arctic Challenge for Sustainability (ArCS) Project; ; ; ; Grants-in-Aid for Scientific Research(Ministry of Education, Culture, Sports, Science and Technology, Japan (MEXT)Japan Society for the Promotion of ScienceGrants-in-Aid for Scientific Research (KAKENHI))</t>
  </si>
  <si>
    <t>We are grateful to the captain, officers and crew of the T.S. Oshoro-Maru (Hokkaido University), R.V. Mirai (JAMSTEC) and the Canadian Coast Guard icebreaker Amundsen for their help during the field-sample collections. This study was supported by the Green Network of Excellence Program's (GRENE Program) Arctic Climate Change Research Project: 'Rapid Change of the Arctic Climate System and its Global Influences' and the Arctic Challenge for Sustainability (ArCS) Project. This study was partially supported by a Grant-in-Aid for Scientific Research (A) (24248032) and (B) (16H02947) to AY, a Grant-in-Aid for Scientific Research on Innovative Areas (24110005) to AY and a Grant-in-Aid for JSPS Postdoctoral Fellowships for Research Abroad to KM.</t>
  </si>
  <si>
    <t>10.1016/j.polar.2016.09.001</t>
  </si>
  <si>
    <t>WOS:000388510000005</t>
  </si>
  <si>
    <t>Zoccarato, L; Pallavicini, A; Cerino, F; Umani, SF; Celussi, M</t>
  </si>
  <si>
    <t>Zoccarato, Luca; Pallavicini, Alberto; Cerino, Federica; Umani, Serena Fonda; Celussi, Mauro</t>
  </si>
  <si>
    <t>Water mass dynamics shape Ross Sea protist communities in mesopelagic and bathypelagic layers</t>
  </si>
  <si>
    <t>PROGRESS IN OCEANOGRAPHY</t>
  </si>
  <si>
    <t>Protists community composition; 18S rDNA Metabarcoding; Mesopelagic and bathypelagic realms; Antarctica, Ross Sea; Biogeography</t>
  </si>
  <si>
    <t>SOUTHERN-OCEAN; DIVERSITY; PLANKTON; EXPORT; DINOFLAGELLATE; OCEANOGRAPHY; SEQUENCES; ABUNDANCE; DIATOMS; NOV</t>
  </si>
  <si>
    <t>Deep-sea environments host the largest pool of microbes and represent the last largely unexplored and poorly known ecosystems on Earth. The Ross Sea is characterized by unique oceanographic dynamics and harbors several water masses deeply involved in cooling and ventilation of deep oceans. In this study the V9 region of the 18S rDNA was targeted and sequenced with the Ion Torrent high-throughput sequencing technology to unveil differences in protist communities (&gt;2 mu m) correlated with biogeochemical properties of the water masses. The analyzed samples were significantly different in terms of environmental parameters and community composition outlining significant structuring effects of temperature and salinity. Overall, Alveolata (especially Dinophyta), Stramenopiles and Excavata groups dominated mesopelagic and bathypelagic layers, and protist communities were shaped according to the biogeochemistry of the water masses (advection effect and mixing events). Newly-formed High Salinity Shelf Water (HSSW) was characterized by high relative abundance of phototrophic organisms that bloom at the surface during the austral summer. Oxygen-depleted Circumpolar Deep Water (CDW) showed higher abundance of Excavata, common bacterivores in deep water masses. At the shelf-break, Antarctic Bottom Water (AABW), formed by the entrainment of shelf waters in CDW, maintained the eukaryotic genetic signature typical of both parental water masses. (C) 2016 Elsevier Ltd. All rights reserved.</t>
  </si>
  <si>
    <t>[Zoccarato, Luca; Pallavicini, Alberto; Umani, Serena Fonda] Univ Trieste, Dept Life Sci, Marine Ecol Lab, Via Giorgieri 10, I-34127 Trieste, Italy; [Cerino, Federica; Celussi, Mauro] OGS Ist Nazl Oceanog &amp; Geofis Sperimentale, Div Oceanog, Via Piccard 54, I-34010 Trieste, Italy</t>
  </si>
  <si>
    <t>University of Trieste; Istituto Nazionale di Oceanografia e di Geofisica Sperimentale</t>
  </si>
  <si>
    <t>Zoccarato, L (corresponding author), Univ Trieste, Dept Life Sci, Marine Ecol Lab, Via Giorgieri 10, I-34127 Trieste, Italy.</t>
  </si>
  <si>
    <t>luca.zoccarato.88@gmail.com</t>
  </si>
  <si>
    <t>Pallavicini, Alberto/H-9281-2019; Pallavicini, Alberto/J-4158-2012</t>
  </si>
  <si>
    <t>Pallavicini, Alberto/0000-0001-7174-4603; Celussi, Mauro/0000-0002-5660-6832; Cerino, Federica/0000-0002-9191-9957; Zoccarato, Luca/0000-0001-8914-6396</t>
  </si>
  <si>
    <t>Italian Ministry of Education, University and Research (MIUR) [PNRA 2013/AN1.01]</t>
  </si>
  <si>
    <t>Italian Ministry of Education, University and Research (MIUR)(Ministry of Education, Universities and Research (MIUR))</t>
  </si>
  <si>
    <t>This study was supported by the Italian Ministry of Education, University and Research (MIUR; project PNRA 2013/AN1.01). We are grateful to G. De Carolis (CNR), R. Geletti (OGS) and the crew of R/V Italica for their help during sampling. M. Kralj (OGS) provided nutrient data. The precious comments of A. Bergamasco (CNR-ISMAR) and G. Budillon (Univ. Parthenope) helped in water masses identification. We are grateful to H. Russell for the review of the English grammar. The constructive comments of the anonymous reviewers helped to improve the manuscript.</t>
  </si>
  <si>
    <t>0079-6611</t>
  </si>
  <si>
    <t>PROG OCEANOGR</t>
  </si>
  <si>
    <t>Prog. Oceanogr.</t>
  </si>
  <si>
    <t>10.1016/j.pocean.2016.10.003</t>
  </si>
  <si>
    <t>EG0LB</t>
  </si>
  <si>
    <t>WOS:000390723200002</t>
  </si>
  <si>
    <t>Hunt, GL; Drinkwater, KF; Arrigo, K; Berge, J; Daly, KL; Danielson, S; Daase, M; Hop, H; Isla, E; Karnovsky, N; Laidre, K; Mueter, FJ; Murphy, EJ; Renaud, PE; Smith, WO; Trathan, P; Turner, J; Wolf-Gladrow, D</t>
  </si>
  <si>
    <t>Hunt, George L., Jr.; Drinkwater, Kenneth F.; Arrigo, Kevin; Berge, Jorgen; Daly, Kendra L.; Danielson, Seth; Daase, Malin; Hop, Haakon; Isla, Enrique; Karnovsky, Nina; Laidre, Kristin; Mueter, Franz J.; Murphy, Eugene J.; Renaud, Paul E.; Smith, Walker O., Jr.; Trathan, Philip; Turner, John; Wolf-Gladrow, Dieter</t>
  </si>
  <si>
    <t>Advection in polar and sub-polar environments: Impacts on high latitude marine ecosystems</t>
  </si>
  <si>
    <t>Advection; Climate change; Polar and sub-polar biota; Polar marine ecosystems; Sea ice</t>
  </si>
  <si>
    <t>ANTARCTIC SEA-ICE; KRILL EUPHAUSIA-SUPERBA; PRINCE EDWARD ISLANDS; EASTERN BERING-SEA; CIRCUMPOLAR DEEP-WATER; CAPELIN MALLOTUS-VILLOSUS; WESTERN BARENTS SEA; ICEFISH CHAMPSOCEPHALUS-GUNNARI; FLATFISH RECRUITMENT RESPONSE; DOWNWARD PARTICLE FLUXES</t>
  </si>
  <si>
    <t>We compare and contrast the ecological impacts of atmospheric and oceanic circulation patterns on polar and sub-polar marine ecosystems. Circulation patterns differ strikingly between the north and south. Meridional circulation in the north provides connections between the sub-Arctic and Arctic despite the presence of encircling continental landmasses, whereas annular circulation patterns in the south tend to isolate Antarctic surface waters from those in the north. These differences influence fundamental aspects of the polar ecosystems from the amount, thickness and duration of sea ice, to the types of organisms, and the ecology of zooplankton, fish, seabirds and marine mammals. Meridional flows in both the North Pacific and the North Atlantic oceans transport heat, nutrients, and plankton northward into the Chukchi Sea, the Barents Sea, and the seas off the west coast of Greenland. In the North Atlantic, the advected heat warms the waters of the southern Barents Sea and, with advected nutrients and plankton, supports immense biomasses of fish, seabirds and marine mammals. On the Pacific side of the Arctic, cold waters flowing northward across the northern Bering and Chukchi seas during winter and spring limit the ability of boreal fish species to take advantage of high seasonal production there. Southward flow of cold Arctic waters into sub-Arctic regions of the North Atlantic occurs mainly through Fram Strait with less through the Barents Sea and the Canadian Archipelago. In the Pacific, the transport of Arctic waters and plankton southward through Bering Strait is minimal. In the Southern Ocean, the Antarctic Circumpolar Current and its associated fronts are barriers to the southward dispersal of plankton and pelagic fishes from sub-Antarctic waters, with the consequent evolution of Antarctic zooplankton and fish species largely occurring in isolation from those to the north. The Antarctic Circumpolar Current also disperses biota throughout the Southern Ocean, and as a result, the biota tends to be similar within a given broad latitudinal band. South of the Southern Boundary of the ACC, there is a large-scale divergence that brings nutrient-rich water to the surface. This divergence, along with more localized upwelling regions and deep vertical convection in winter, generates elevated nutrient levels throughout the Antarctic at the end of austral winter. However, such elevated nutrient levels do not support elevated phytoplankton productivity through the entire Southern Ocean, as iron concentrations are rapidly removed to limiting levels by spring blooms in deep waters. However, coastal regions, with the upward mixing of iron, maintain greatly enhanced rates of production, especially in coastal polynyas. In these coastal areas, elevated primary production supports large biomasses of zoo plankton, fish, seabirds, and mammals. As climate warming affects these advective processes and their heat content, there will likely be major changes in the distribution and abundance of polar biota, in particular the biota dependent on sea ice. (C) 2016 Elsevier Ltd. All rights reserved.</t>
  </si>
  <si>
    <t>[Hunt, George L., Jr.; Laidre, Kristin] Univ Washington, Sch Aquat &amp; Fishery Sci, Seattle, WA 98195 USA; [Drinkwater, Kenneth F.] Inst Marine Res, Box 1870 Nordnes, N-5817 Bergen, Norway; [Arrigo, Kevin] Stanford Univ, Dept Earth Syst Sci, Stanford, CA 94305 USA; [Berge, Jorgen; Daase, Malin; Hop, Haakon] UIT Arctic Univ Norway, Dept Arctic &amp; Marine Biol, N-9037 Tromso, Norway; [Daly, Kendra L.; Mueter, Franz J.] Univ S Florida, Coll Marine Sci, St Petersburg, FL 33620 USA; [Danielson, Seth] Univ Alaska Fairbanks, Sch Fisheries &amp; Ocean Sci, Fairbanks, AK 99775 USA; [Daase, Malin; Hop, Haakon] Norwegian Polar Res Inst, Fram Ctr, N-9296 Tromso, Norway; [Isla, Enrique] Inst Ciencies Mar CSIC, Passeig Maritim Barceloneta 37-49, Barcelona 08003, Spain; [Karnovsky, Nina] Pomona Coll, Dept Biol, Claremont, CA 91711 USA; [Laidre, Kristin] Univ Washington, Appl Phys Lab, Polar Sci Ctr, Seattle, WA 98105 USA; [Murphy, Eugene J.; Trathan, Philip; Turner, John] British Antarctic Survey, Madingley Rd, Cambridge CB3 0ET, England; [Renaud, Paul E.] Akvaplan Niva, Fram Ctr, N-9296 Tromso, Norway; [Smith, Walker O., Jr.] Coll William &amp; Mary, Virginia Inst Marine Sci, Gloucester Point, VA 23062 USA; [Wolf-Gladrow, Dieter] Helmholtz Ctr Polar &amp; Marine Res, Alfred Wegener Inst, D-27515 Bremerhaven, Germany</t>
  </si>
  <si>
    <t>University of Washington; University of Washington Seattle; Institute of Marine Research - Norway; Stanford University; UiT The Arctic University of Tromso; State University System of Florida; University of South Florida; University of Alaska System; University of Alaska Fairbanks; Norwegian Polar Institute; Consejo Superior de Investigaciones Cientificas (CSIC); CSIC - Centro Mediterraneo de Investigaciones Marinas y Ambientales (CMIMA); CSIC - Instituto de Ciencias del Mar (ICM); Claremont Colleges; Pomona College; University of Washington; University of Washington Seattle; UK Research &amp; Innovation (UKRI); Natural Environment Research Council (NERC); NERC British Antarctic Survey; Akvaplan-niva; William &amp; Mary; Virginia Institute of Marine Science; Helmholtz Association; Alfred Wegener Institute, Helmholtz Centre for Polar &amp; Marine Research</t>
  </si>
  <si>
    <t>Hunt, GL (corresponding author), Univ Washington, Sch Aquat &amp; Fishery Sci, Seattle, WA 98195 USA.</t>
  </si>
  <si>
    <t>glhunt@uci.edu</t>
  </si>
  <si>
    <t>Hunt, George/V-9423-2019; Renaud, Paul E/C-7191-2008; Danielson, Seth/AAY-4384-2020; murphy, eugene/GZL-1620-2022; Berge, Jorgen/E-7544-2015</t>
  </si>
  <si>
    <t>Isla, Enrique/0000-0003-4959-6936; Arrigo, Kevin/0000-0002-7364-876X; Daase, Malin/0000-0001-8413-3924; Berge, Jorgen/0000-0003-0900-5679</t>
  </si>
  <si>
    <t>PICES; ICES; ESSAS; ICED; Directorate For Geosciences; Office of Polar Programs (OPP) [1443258] Funding Source: National Science Foundation; NERC [bas0100035] Funding Source: UKRI; Natural Environment Research Council [bas0100035] Funding Source: researchfish</t>
  </si>
  <si>
    <t>PICES; ICES; ESSAS; ICED;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</si>
  <si>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The seeds for this paper were sown in May 2012, when the IMBER regional programs, ESSAS (Ecosystem Studies of Sub Arctic and Arctic Seas) and ICED (Integrating Climate Ecosystem Dynamics), which focuses on the Antarctic, held a workshop on Polar Comparisons: the effects of climate change on advective fluxes in high latitude regions in Yeosu, Korea. The authors thank both PICES and ICES for support of the workshop. GLH's travel was supported by ESSAS, and EJM's, DWG's and WOS's by ICED.</t>
  </si>
  <si>
    <t>1873-4472</t>
  </si>
  <si>
    <t>10.1016/j.pocean.2016.10.004</t>
  </si>
  <si>
    <t>WOS:000390723200004</t>
  </si>
  <si>
    <t>Patton, H; Hubbard, A; Andreassen, K; Winsborrow, M; Stroeven, AP</t>
  </si>
  <si>
    <t>Patton, Henry; Hubbard, Alun; Andreassen, Karin; Winsborrow, Monica; Stroeven, Arjen P.</t>
  </si>
  <si>
    <t>The build-up, configuration, and dynamical sensitivity of the Eurasian ice-sheet complex to Late Weichselian climatic and oceanic forcing</t>
  </si>
  <si>
    <t>Ice-sheet modelling; Eurasian ice sheet complex; Late Weichselian; Palaeo ice-sheet reconstruction; Dynamic ice behaviour; Palaeo climate; Landscape evolution; Subglacial erosion; Barents Sea ice sheet; Fennoscandian ice sheet</t>
  </si>
  <si>
    <t>LAST GLACIAL MAXIMUM; NORTHERN-HEMISPHERE CLIMATE; HIGH-RESOLUTION RECORD; BE-10 EXPOSURE AGES; MASS-BALANCE; SEA-ICE; BARENTS SEA; LATE QUATERNARY; KARA SEA; NUMERICAL RECONSTRUCTIONS</t>
  </si>
  <si>
    <t>The Eurasian ice-sheet complex (EISC) was the third largest ice mass during the Last Glacial Maximum (LGM), after the Antarctic and North American ice sheets. Despite its global significance, a comprehensive account of its evolution from independent nucleation centres to its maximum extent is conspicuously lacking. Here, a first-order, thermomechanical model, robustly constrained by empirical evidence, is used to investigate the dynamics of the EISC throughout its build-up to its maximum configuration. The ice flow model is coupled to a reference climate and applied at 10 km spatial resolution across a domain that includes the three main spreading centres of the Celtic, Fennoscandian and Barents Sea ice sheets. The model is forced with the NGRIP palaeo-isotope curve from 37 ka BP onwards and model skill is assessed against collated flowsets, marginal moraines, exposure ages and relative sea level history. The evolution of the EISC to its LGM configuration was complex and asynchronous; the western, maritime margins of the Fennoscandian and Celtic ice sheets responded rapidly and advanced across their continental shelves by 29 ka BP, yet the maximum aerial extent (5.48 x 10(6) km(2)) and volume (7.18 x 10(6) km(3)) of the ice complex was attained some 6 ka later at c. 22.7 ka BP. This maximum stand was short-lived as the North Sea and Atlantic margins were already in retreat whilst eastern margins were still advancing up until c. 20 ka BR High rates of basal erosion are modelled beneath ice streams and outlet glaciers draining the Celtic and Fennoscandian ice sheets with extensive preservation elsewhere due to frozen subglacial conditions, including much of the Barents and Kara seas. Here, and elsewhere across the Norwegian shelf and. North Sea, high pressure subglacial conditions would have promoted localised gas hydrate formation. (C) 2016 The Authors. Published by Elsevier Ltd. This is an open access article under the CC BY-NC-ND license.</t>
  </si>
  <si>
    <t>[Patton, Henry; Hubbard, Alun; Andreassen, Karin; Winsborrow, Monica] UiT Arctic Univ Norway, Dept Geol, CAGE Ctr Arctic Gas Hydrate Environm &amp; Climate, N-9037 Tromso, Norway; [Stroeven, Arjen P.] Stockholm Univ, Dept Phys Geog, Geomorphol &amp; Glaciol, Stockholm, Sweden; [Stroeven, Arjen P.] Stockholm Univ, Bolin Ctr Climate Res, Stockholm, Sweden</t>
  </si>
  <si>
    <t>UiT The Arctic University of Tromso; Stockholm University</t>
  </si>
  <si>
    <t>Patton, H (corresponding author), UiT Arctic Univ Norway, Dept Geol, CAGE Ctr Arctic Gas Hydrate Environm &amp; Climate, N-9037 Tromso, Norway.</t>
  </si>
  <si>
    <t>henry.patton@uit.no</t>
  </si>
  <si>
    <t>Patton, Henry/H-7525-2019; Hubbard, Alun/R-5085-2017; Stroeven, Arjen/I-7330-2013</t>
  </si>
  <si>
    <t>Patton, Henry/0000-0001-9670-611X; Hubbard, Alun/0000-0002-0503-3915; Stroeven, Arjen/0000-0001-8812-2253; Andreassen, Karin/0000-0002-9407-526X; Winsborrow, Monica/0000-0001-5950-1254</t>
  </si>
  <si>
    <t>Research Council of Norway through its Centres of Excellence [223259]; PetroMaks project Glaciations in the Barents Sea area (GlaciBar) [200672]; Stockholm Uni SUCLIM</t>
  </si>
  <si>
    <t>Research Council of Norway through its Centres of Excellence(Research Council of Norway); PetroMaks project Glaciations in the Barents Sea area (GlaciBar); Stockholm Uni SUCLIM</t>
  </si>
  <si>
    <t>The research is part of the Centre for Arctic Gas Hydrate, Environment and Climate, and was supported by the Research Council of Norway through its Centres of Excellence funding scheme (grant 223259), the PetroMaks project Glaciations in the Barents Sea area (GlaciBar) (grant 200672), and a Stockholm Uni SUCLIM consortium grant (to Stroeven) that supported Hubbard in the early development of the model code. We thank Adrian Hall for helpful comments on the manuscript. We also thank Caroline Clason and the editor Neil Glasser for their constructive feedback during the peer review process.</t>
  </si>
  <si>
    <t>10.1016/j.quascirev.2016.10.009</t>
  </si>
  <si>
    <t>WOS:000389116000008</t>
  </si>
  <si>
    <t>García, M; Dowdeswell, JA; Noormets, R; Hogan, KA; Evans, J; Cofaigh, CO; Larter, RD</t>
  </si>
  <si>
    <t>Garcia, Marga; Dowdeswell, J. A.; Noormets, R.; Hogan, K. A.; Evans, J.; Cofaigh, C. O.; Larter, R. D.</t>
  </si>
  <si>
    <t>Geomorphic and shallow-acoustic investigation of an Antarctic Peninsula fjord system using high-resolution ROV and shipboard geophysical observations: Ice dynamics and behaviour since the Last Glacial Maximum</t>
  </si>
  <si>
    <t>Antarctic Peninsula; Fjord systems; Last Glacial Maximum; Glacial sedimentary processes; Geomorphology; ROV-Derived bathymetry</t>
  </si>
  <si>
    <t>SOUTH SHETLAND ISLANDS; JAMES-ROSS-ISLAND; MARGUERITE BAY; CONTINENTAL-SLOPE; SEDIMENTARY PROCESSES; OCEANOGRAPHIC VARIABILITY; SUBMARINE LANDFORMS; HOLOCENE CLIMATE; STREAM RETREAT; WEST GREENLAND</t>
  </si>
  <si>
    <t>Detailed bathymetric and sub-bottom acoustic observations in Bourgeois Fjord (Marguerite Bay, Antarctic Peninsula) provide evidence on sedimentary processes and glacier dynamics during the last glacial cycle. Submarine landforms observed in the 50 km-long fjord, from the margins of modern tidewater glaciers to the now ice-distal Marguerite Bay, are described and interpreted. The landforms are grouped into four morpho-sedimentary systems: (i) glacial advance and full-glacial; (ii) subglacial and ice marginal meltwater; (iii) glacial retreat and neoglaciation; and (iv) Holocene mass-wasting. These morpho-sedimentary systems have been integrated with morphological studies of the Marguerite Bay continental shelf and analysed in terms of the specific sedimentary processes and/or stages of the glacial cycle. They demonstrate the action of an ice-sheet outlet glacier that produced drumlins and crag-and tail features in the main and outer fjord. Meltwater processes eroded bedrock channels and ponds infilled by fine-grained sediments. Following the last deglaciation of the fjord at about 9000 yr BP, subsequent Holocene neoglacial activity involved minor readvances of a tidewater glacier terminus in Blind Bay. Recent stillstands and/or minor readvances are inferred from the presence of a major transverse moraine that indicates grounded ice stabilization, probably during the Little Ice Age, and a series of smaller landforms that reveal intermittent minor readvances. Mass-wasting processes also affected the walls of the fjord and produced scars and fan-shaped deposits during the Holocene. Glacier-terminus changes during the last six decades, derived from satellite images and aerial photographs, reveal variable behaviour of adjacent tidewater glaciers. The smaller glaciers show the most marked recent retreat, influenced by regional physiography and catchment-area size. Crown Copyright (C) 2016 Published by Elsevier Ltd. All rights reserved.</t>
  </si>
  <si>
    <t>[Garcia, Marga; Hogan, K. A.] Univ Granada, CSIC, Inst Andaluz Ciencias Tierra, Avda Palmeras 4, Armilla 18100, Spain; [Garcia, Marga; Dowdeswell, J. A.] Univ Cambridge, Scott Polar Res Inst, Lensfield Rd, Cambridge CB2 1ER, England; [Noormets, R.] Univ Ctr Svalbard, Dept Arctic Geol, N-9170 Longyearbyen, Norway; [Noormets, R.] Univ Ctr Svalbard, Dept Arctic Geophys, N-9170 Longyearbyen, Norway; [Hogan, K. A.; Larter, R. D.] British Antarctic Survey, Nat Environm Res Council, Madingley Rd, Cambridge CB3 0ET, England; [Evans, J.] Univ Loughborough, Dept Geog, Loughborough LE11 3TU, Leics, England; [Cofaigh, C. O.] Univ Durham, Dept Geog, Durham DH1 3LE, England</t>
  </si>
  <si>
    <t>Consejo Superior de Investigaciones Cientificas (CSIC); CSIC - Instituto Andaluz de Ciencias de la Tierra (IACT); University of Granada; University of Cambridge; University Centre Svalbard (UNIS); University Centre Svalbard (UNIS); UK Research &amp; Innovation (UKRI); Natural Environment Research Council (NERC); NERC British Antarctic Survey; Loughborough University; Durham University</t>
  </si>
  <si>
    <t>García, M (corresponding author), Univ Granada, CSIC, Inst Andaluz Ciencias Tierra, Avda Palmeras 4, Armilla 18100, Spain.</t>
  </si>
  <si>
    <t>m.garcia@csic.es</t>
  </si>
  <si>
    <t>Garcia, Marga/L-7410-2014</t>
  </si>
  <si>
    <t>Garcia, Marga/0000-0003-2632-6132; Noormets, Riko/0000-0002-2832-386X; Dowdeswell, Julian/0000-0003-1369-9482</t>
  </si>
  <si>
    <t>UK Natural Environment Research Council grant [AFI06/14 (NE/C506372/1)]; EU Marie Curie Fellowship [PIEF-GA-2009-236526-CLIFORM]; NERC [bas0100030] Funding Source: UKRI; Natural Environment Research Council [bas0100030, NER/T/S/2000/01415, NE/C506372/1] Funding Source: researchfish</t>
  </si>
  <si>
    <t>UK Natural Environment Research Council grant(UK Research &amp; Innovation (UKRI)Natural Environment Research Council (NERC)); EU Marie Curie Fellowship(European Union (EU)); NERC(UK Research &amp; Innovation (UKRI)Natural Environment Research Council (NERC)); Natural Environment Research Council(UK Research &amp; Innovation (UKRI)Natural Environment Research Council (NERC))</t>
  </si>
  <si>
    <t>We thank the officers and crew of the RRS James Clark Ross and the Isis ROV team from the National Oceanography Center, Southampton, for their help with data acquisition. The research was funded by a UK Natural Environment Research Council grant AFI06/14 (NE/C506372/1) to J.A. Dowdeswell, R.D. Larter and G. Griffiths. M. Garcia's work at the Scott Polar Research Institute, University of Cambridge, was funded by an EU Marie Curie Fellowship (PIEF-GA-2009-236526-CLIFORM). We thank the Editor, Prof. John B. Anderson and another anonymous reviewer for their helpful comments and constructive suggestions to improve the original manuscript.</t>
  </si>
  <si>
    <t>10.1016/j.quascirev.2016.10.014</t>
  </si>
  <si>
    <t>WOS:000389116000009</t>
  </si>
  <si>
    <t>Palmer, JG; Turney, CSM; Cook, ER; Fenwick, P; Thomas, Z; Helle, G; Jones, R; Clement, A; Hogg, A; Southon, J; Ramsey, CB; Staff, R; Muscheler, R; Corrège, T; Hua, Q</t>
  </si>
  <si>
    <t>Palmer, Jonathan G.; Turney, Chris S. M.; Cook, Edward R.; Fenwick, Pavla; Thomas, Zoe; Helle, Gerhard; Jones, Richard; Clement, Amy; Hogg, Alan; Southon, John; Ramsey, Christopher Bronk; Staff, Richard; Muscheler, Raimund; Correge, Thierry; Hua, Quan</t>
  </si>
  <si>
    <t>Changes in El Nino - Southern Oscillation (ENSO) conditions during the Greenland Stadial 1 (GS-1) chronozone revealed by NeW Zealand tree-rings</t>
  </si>
  <si>
    <t>Dendrochronology; Kauri (Agathis australis); Abrupt climate change; Bipolar seesaw; Younger Dryas (YD); Antarctic Cold Reversal (ACR); Last Termination</t>
  </si>
  <si>
    <t>KAURI AGATHIS-AUSTRALIS; ABRUPT CLIMATE-CHANGE; INTERDECADAL PACIFIC OSCILLATION; EARLY WARNING SIGNAL; GRIP ICE-CORE; YOUNGER DRYAS; NORTH-ATLANTIC; TROPICAL PACIFIC; TIPPING POINTS; COLD REVERSAL</t>
  </si>
  <si>
    <t>The warming trend at the end of the last glacial was disrupted by rapid cooling clearly identified in Greenland (Greenland Stadial 1 or GS-1) and Europe (Younger Dryas Stadial or YD). This reversal to glacial-like conditions is one of the best known examples of abrupt change but the exact timing and global spatial extent remain uncertain. Whilst the wider Atlantic region has a network of high-resolution proxy records spanning GS-1, the Pacific Ocean suffers from a scarcity of sub-decadally resolved sequences. Here we report the results from an investigation into a tree-ring chronology from northern New Zealand aimed at addressing the paucity of data. The conifer tree species kauri (Agathis australis) is known from contemporary studies to be sensitive to regional climate changes. An analysis of a 'historic' 452-year kauri chronology confirms a tropical-Pacific teleconnection via the El Nino Southern Oscillation (ENSO). We then focus our study on a 1010-year sub-fossil kauri chronology that has been precisely dated by comprehensive radiocarbon dating and contains a striking ring-width downturn between 12,500 and 12,380 cal BP within GS-1. Wavelet analysis shows a marked increase in ENSO-like periodicities occurring after the downturn event. Comparison to low-and mid-latitude Pacific records suggests a coherency with ENSO and Southern Hemisphere atmospheric circulation change during this period. The driver(s) for this climate event remain unclear but may be related to solar changes that subsequently led to establishment and/or increased expression of ENSO across the mid-latitudes of the Pacific, seemingly independent of the Atlantic and polar regions. (C) 2016 Elsevier Ltd. All rights reserved.</t>
  </si>
  <si>
    <t>[Palmer, Jonathan G.; Turney, Chris S. M.; Thomas, Zoe] Univ New South Wales, Sch Biol Earth &amp; Environm Sci, Climate Change Res Ctr, Sydney, NSW, Australia; [Cook, Edward R.] Columbia Univ, Lamont Doherty Earth Observ, Palisades, NY 10964 USA; [Fenwick, Pavla] Gondwana Tree Ring Lab, POB 14, Canterbury 7546, New Zealand; [Helle, Gerhard] GFZ German Research Ctr GeoSci, Sect 5-2, D-14473 Potsdam, Germany; [Jones, Richard] Univ Exeter, Dept Geog, Exeter EX4 4RJ, Devon, England; [Clement, Amy] Univ Miami, Rosenstiel Sch Marine &amp; Atmospher Sci, 4600 Rickenbacker, Miami, FL 33149 USA; [Hogg, Alan] Univ Waikato, Waikato Radiocarbon Lab, Private Bag 3105, Hamilton, New Zealand; [Southon, John] Univ Calif Irvine, Dept Earth Syst Sci, Irvine, CA 92697 USA; [Ramsey, Christopher Bronk; Staff, Richard] Univ Oxford, Res Lab Archaeol &amp; Hist Art, Dyson Perrins Bldg,South Parks Rd, Oxford OX1 3QY, England; [Muscheler, Raimund] Lund Univ, Dept Geol Quaternary Sci, S-22362 Lund, Sweden; [Correge, Thierry] Univ Bordeaux, EPOC OASU, UMR CNRS 5805, F-33615 Pessac, France; [Hua, Quan] Australian Nucl Sci &amp; Technol Org, Locked Bag 2001, Kirrawee Dc, NSW 2232, Australia</t>
  </si>
  <si>
    <t>University of New South Wales Sydney; Columbia University; Helmholtz Association; Helmholtz-Center Potsdam GFZ German Research Center for Geosciences; University of Exeter; University of Miami; University of Waikato; University of California System; University of California Irvine; University of Oxford; Lund University; Centre National de la Recherche Scientifique (CNRS); CNRS - National Institute for Earth Sciences &amp; Astronomy (INSU); Universite de Bordeaux; Australian Nuclear Science &amp; Technology Organisation</t>
  </si>
  <si>
    <t>Palmer, JG (corresponding author), Univ New South Wales, Sch Biol Earth &amp; Environm Sci, Climate Change Res Ctr, Sydney, NSW, Australia.</t>
  </si>
  <si>
    <t>j.palmer@unsw.edu.au</t>
  </si>
  <si>
    <t>Helle, Gerd/G-5380-2013; Ramsey, Christopher Bronk/AAQ-2227-2021; Hogg, Alan G/M-8427-2014; Hua, Quan/F-9593-2014; Palmer, Jonathan/J-7834-2012; Thomas, Zoe/D-1656-2016; Turney, Chris/P-8701-2018</t>
  </si>
  <si>
    <t>Ramsey, Christopher Bronk/0000-0002-8641-9309; Palmer, Jonathan/0000-0002-6665-4483; Helle, Gerhard/0000-0001-9988-6638; Staff, Richard/0000-0002-8634-014X; Thomas, Zoe/0000-0002-2323-4366; Turney, Chris/0000-0001-6733-0993; Muscheler, Raimund/0000-0003-2772-3631</t>
  </si>
  <si>
    <t>Australian Research Council [FL100100195, LP120100310, DP130104156]; UK Natural Environment Research Council [NE/H009922/1, NE/I007660/1]; Eva-Mayr-Stihl Foundation, Waiblingen, Germany; Deutsche Forschungsgemeinschaft DFG [HE3089/9-1]; Federal Ministry of Education and Research [01DR12097]; Natural Environment Research Council [NE/H009922/1, NE/H007865/1, NE/I007660/1] Funding Source: researchfish; Australian Research Council [LP120100310] Funding Source: Australian Research Council; NERC [NE/H007865/1, NE/H009922/1, NE/I007660/1] Funding Source: UKRI</t>
  </si>
  <si>
    <t>Australian Research Council(Australian Research Council); UK Natural Environment Research Council(UK Research &amp; Innovation (UKRI)Natural Environment Research Council (NERC)); Eva-Mayr-Stihl Foundation, Waiblingen, Germany; Deutsche Forschungsgemeinschaft DFG(German Research Foundation (DFG)); Federal Ministry of Education and Research(Federal Ministry of Education &amp; Research (BMBF)); Natural Environment Research Council(UK Research &amp; Innovation (UKRI)Natural Environment Research Council (NERC)); Australian Research Council(Australian Research Council); NERC(UK Research &amp; Innovation (UKRI)Natural Environment Research Council (NERC))</t>
  </si>
  <si>
    <t>We thank Mr Alan Crawford who owns Towai Farm for access to the site and Mr Nelson Parker for providing the kauri wood samples. Support was provided by the Australian Research Council (grants FL100100195, LP120100310 and DP130104156), the UK Natural Environment Research Council (grants NE/H009922/1 and NE/I007660/1) and GH was supported by Eva-Mayr-Stihl Foundation, Waiblingen, Germany, Deutsche Forschungsgemeinschaft DFG (HE3089/9-1) and the Federal Ministry of Education and Research (01DR12097). Lamont-Doherty Earth Observatory contribution number 8064. We also wish to thank Dr Gretel Boswijk for an assessment of the Towai tree-ring measurements and Dr Andrew Lorrey for his comments on an earlier version of the manuscript.</t>
  </si>
  <si>
    <t>10.1016/j.quascirev.2016.10.003</t>
  </si>
  <si>
    <t>WOS:000389116000010</t>
  </si>
  <si>
    <t>Seo, M; Kim, HC; Huh, M; Yeom, JM; Lee, CS; Lee, KS; Choi, S; Han, KS</t>
  </si>
  <si>
    <t>Seo, Minji; Kim, Hyun-Cheol; Huh, Morang; Yeom, Jong-Min; Lee, Chang Suk; Lee, Kyeong-Sang; Choi, Sungwon; Han, Kyung-Soo</t>
  </si>
  <si>
    <t>Long-Term Variability of Surface Albedo and Its Correlation with Climatic Variables over Antarctica</t>
  </si>
  <si>
    <t>Antarctica; ice sheet albedo; Antarctic oscillation index; in situ temperature</t>
  </si>
  <si>
    <t>SEA-ICE CONCENTRATION; TRENDS; TEMPERATURES; RESOLUTION; SHEET</t>
  </si>
  <si>
    <t>The cryosphere is an essential part of the earth system for understanding climate change. Components of the cryosphere, such as ice sheets and sea ice, are generally decreasing over time. However, previous studies have indicated differing trends between the Antarctic and the Arctic. The South Pole also shows internal differences in trends. These phenomena indicate the importance of continuous observation of the Polar Regions. Albedo is a main indicator for analyzing Antarctic climate change and is an important variable with regard to the radiation budget because it can provide positive feedback on polar warming and is related to net radiation and atmospheric heating in the mainly snow- and ice-covered Antarctic. Therefore, in this study, we analyzed long-term temporal and spatial variability of albedo and investigated the interrelationships between albedo and climatic variables over Antarctica. We used broadband surface albedo data from the Satellite Application Facility on Climate Monitoring and data for several climatic variables such as temperature and Antarctic oscillation index (AAO) during the period of 1983 to 2009. Time series analysis and correlation analysis were performed through linear regression using albedo and climatic variables. The results of this research indicated that albedo shows two trends, west trend and an east trend, over Antarctica. Most of the western side of Antarctica showed a negative trend of albedo (about -0.0007 to -0.0015 year(-1)), but the other side showed a positive trend (about 0.0006 year(-1)). In addition, albedo and surface temperature had a negative correlation, but this relationship was weaker in west Antarctica than in east Antarctica. The correlation between albedo and AAO revealed different relationships in the two regions; west Antarctica had a negative correlation and east Antarctica showed a positive correlation. In addition, the correlation between albedo and AAO was weaker in the west. This suggests that the eastern area is influenced by the atmosphere, but that the western area is influenced more strongly by other factors.</t>
  </si>
  <si>
    <t>[Seo, Minji; Huh, Morang; Lee, Kyeong-Sang; Choi, Sungwon; Han, Kyung-Soo] Pukyong Natl Univ, Div Earth Environm Syst Sci, Spatial Informat Engn, Busan 48513, South Korea; [Kim, Hyun-Cheol] Korea Polar Res Inst, Inchon 21990, South Korea; [Yeom, Jong-Min] Korea Aerosp Res Inst, Daejeon 34133, South Korea; [Lee, Chang Suk] Natl Meteorol Satellite Ctr, Jincheon Gun 27803, South Korea</t>
  </si>
  <si>
    <t>Pukyong National University; Korea Polar Research Institute (KOPRI); Korea Aerospace Research Institute (KARI)</t>
  </si>
  <si>
    <t>Han, KS (corresponding author), Pukyong Natl Univ, Div Earth Environm Syst Sci, Spatial Informat Engn, Busan 48513, South Korea.</t>
  </si>
  <si>
    <t>seo.minji0@gmail.com; kimhc@kopri.re.kr; morangher@gmail.com; yeamjm@kari.re.kr; leecs00@korea.kr; lee.kyeongsang@gmail.com; choi.sungwon94@gmail.com; kyung-soo.han@pknu.ac.kr</t>
  </si>
  <si>
    <t>염, 종민/AGX-9286-2022; Kim, Hyun-Cheol/AAP-1250-2020</t>
  </si>
  <si>
    <t>Kim, Hyun-Cheol/0000-0002-6831-9291; Seo, Minji/0000-0001-8413-6930; Yeom, Jong-min/0000-0003-2321-731X; Lee, Chang Suk/0000-0002-4049-5779</t>
  </si>
  <si>
    <t>Korea Polar Research Institute's project of Satellite Remote Sensing on the West Antarctic Ocean Research (KOPRI) [PE16040]</t>
  </si>
  <si>
    <t>Korea Polar Research Institute's project of Satellite Remote Sensing on the West Antarctic Ocean Research (KOPRI)(Korea Polar Research Institute of Marine Research Placement (KOPRI))</t>
  </si>
  <si>
    <t>This study was supported by Korea Polar Research Institute's project of Satellite Remote Sensing on the West Antarctic Ocean Research (KOPRI, PE16040). We would like to thank to anonymous reviewers for providing valuable comments on this study.</t>
  </si>
  <si>
    <t>10.3390/rs8120981</t>
  </si>
  <si>
    <t>WOS:000392489400010</t>
  </si>
  <si>
    <t>Morash, AJ; Alter, K</t>
  </si>
  <si>
    <t>Morash, Andrea J.; Alter, Katharina</t>
  </si>
  <si>
    <t>Effects of environmental and farm stress on abalone physiology: perspectives for abalone aquaculture in the face of global climate change</t>
  </si>
  <si>
    <t>REVIEWS IN AQUACULTURE</t>
  </si>
  <si>
    <t>abalone; aquaculture; Australia; climate change; metabolism; physiology</t>
  </si>
  <si>
    <t>HALIOTIS-DISCUS-HANNAI; SOUTH-AFRICAN ABALONE; NEW-ZEALAND ABALONE; JUVENILE GREENLIP ABALONE; LYSOSOMAL MEMBRANE STABILITY; AMMONIA-N EXCRETION; LIFE-HISTORY STAGES; MYTILUS-EDULIS-L; RED ABALONE; OCEAN ACIDIFICATION</t>
  </si>
  <si>
    <t>Many abalone farms are reliant on coastal water inputs which are subject to fluctuations in environmental variables such as temperature, oxygen, CO2 and salinity. Near future climate change scenarios predict that there will be more frequent extreme weather events which can exacerbate these fluctuations and potentially be deleterious to farmed abalone where these variables remain largely uncontrolled. In this review, we have taken an in depth examination of current literature on the effects of environmental stress on abalone physiology and metabolism and how this affects their health and growth. In conjunction, we have also reviewed the effects of farm-specific stressors such as ammonia, stocking density, handling, nutrition and disease and the synergistic effects of these and environmental stressors on abalone physiology. We have identified currents gaps in our knowledge of this under-studied species and have made predictions on the effects of climate change on future abalone production with suggestions for future research. In summary, it is expected that abalone will show reduced growth rates as more energy is invested in combating stresses rather than growth. Furthermore, disease outbreaks may become more frequent with greater fluctuations in temperature and salinity, both of which have large-scale effects on immunity. The current body of knowledge is mainly on whole animal effects of stresses, but we know very little of their mechanistic foundation. Research in this area as well as investments in infrastructure will be pivotal in identifying and implementing strategic interventions to maintain a sustainable abalone industry in Australia.</t>
  </si>
  <si>
    <t>[Morash, Andrea J.] Univ Tasmania, Inst Marine &amp; Antarctic Studies, Hobart, Tas 7001, Australia; CSIRO Agr Flagship, Hobart, Tas, Australia</t>
  </si>
  <si>
    <t>University of Tasmania; Commonwealth Scientific &amp; Industrial Research Organisation (CSIRO)</t>
  </si>
  <si>
    <t>Morash, AJ (corresponding author), Univ Tasmania, Inst Marine &amp; Antarctic Studies, Hobart, Tas 7001, Australia.</t>
  </si>
  <si>
    <t>andrea.morash@utas.edu.au</t>
  </si>
  <si>
    <t>Alter, Katharina/AAA-6902-2019</t>
  </si>
  <si>
    <t>University of Tasmania; CSIRO; Sense-T</t>
  </si>
  <si>
    <t>University of Tasmania; CSIRO(Commonwealth Scientific &amp; Industrial Research Organisation (CSIRO)); Sense-T</t>
  </si>
  <si>
    <t>The authors would like to thank Nick Elliott (CSIRO), Peter Frappell (University of Tasmania) and Sarah Andrewartha (CSIRO) for constructive comments and editorial assistance during the development of this manuscript. Furthermore, we wish to thank the many abalone farmers (especially those of our industry partner Jade Tiger Abalone) for insights and conversations on the future of abalone research. Andrea Morash and Katharina Alter are supported by the University of Tasmania, CSIRO and Sense-T.</t>
  </si>
  <si>
    <t>1753-5123</t>
  </si>
  <si>
    <t>1753-5131</t>
  </si>
  <si>
    <t>REV AQUACULT</t>
  </si>
  <si>
    <t>Rev. Aquac.</t>
  </si>
  <si>
    <t>10.1111/raq.12097</t>
  </si>
  <si>
    <t>EF9XY</t>
  </si>
  <si>
    <t>WOS:000390686000002</t>
  </si>
  <si>
    <t>Rougier, J; Zammit-Mangion, A</t>
  </si>
  <si>
    <t>Rougier, Jonathan; Zammit-Mangion, Andrew</t>
  </si>
  <si>
    <t>Visualization for Large-scale Gaussian Updates</t>
  </si>
  <si>
    <t>SCANDINAVIAN JOURNAL OF STATISTICS</t>
  </si>
  <si>
    <t>medal plot; spatial statistics; variance bound; variance update</t>
  </si>
  <si>
    <t>In geostatistics and also in other applications in science and engineering, it is now common to perform updates on Gaussian process models with many thousands or even millions of components. These large-scale inferences involve modelling, representational and computational challenges. We describe a visualization tool for large-scale Gaussian updates, the medal plot'. The medal plot shows the updated uncertainty at each observation location and also summarizes the sharing of information across observations, as a proxy for the sharing of information across the state vector (or latent process). As such, it reflects characteristics of both the observations and the statistical model. We illustrate with an application to assess mass trends in the Antarctic Ice Sheet, for which there are strong constraints from the observations and the physics.</t>
  </si>
  <si>
    <t>[Rougier, Jonathan; Zammit-Mangion, Andrew] Univ Bristol, Sch Math, Univ Walk, Bristol BS8 1TW, Avon, England; [Zammit-Mangion, Andrew] Univ Wollongong, NIASRA, Sch Math Appl Stat, Wollongong, NSW, Australia</t>
  </si>
  <si>
    <t>University of Bristol; University of Wollongong</t>
  </si>
  <si>
    <t>Rougier, J (corresponding author), Univ Bristol, Sch Math, Univ Walk, Bristol BS8 1TW, Avon, England.</t>
  </si>
  <si>
    <t>j.c.rougier@bristol.ac.uk</t>
  </si>
  <si>
    <t>Zammit-Mangion, Andrew/I-5356-2016</t>
  </si>
  <si>
    <t>Zammit-Mangion, Andrew/0000-0002-4164-6866; Rougier, Jonathan/0000-0003-3072-7043</t>
  </si>
  <si>
    <t>Natural Environment Research Council (NERC) [NE/I027401/1]; NERC [NE/I027401/1] Funding Source: UKRI; Natural Environment Research Council [NE/I027401/1]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</si>
  <si>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</si>
  <si>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Nana Schon for collating and preparing the data for the application and reviewing an early draft of this article, and two reviewers for very helpful comments, which improved the clarity of the paper. This work was supported by the Natural Environment Research Council (NERC) funded RATES project, grant NE/I027401/1.</t>
  </si>
  <si>
    <t>0303-6898</t>
  </si>
  <si>
    <t>1467-9469</t>
  </si>
  <si>
    <t>SCAND J STAT</t>
  </si>
  <si>
    <t>Scand. J. Stat.</t>
  </si>
  <si>
    <t>10.1111/sjos.12234</t>
  </si>
  <si>
    <t>EB5YM</t>
  </si>
  <si>
    <t>WOS:000387456900014</t>
  </si>
  <si>
    <t>Rintoul, SR; Silvano, A; Pena-Molino, B; van Wijk, E; Rosenberg, M; Greenbaum, JS; Blankenship, DD</t>
  </si>
  <si>
    <t>Rintoul, Stephen Rich; Silvano, Alessandro; Pena-Molino, Beatriz; van Wijk, Esmee; Rosenberg, Mark; Greenbaum, Jamin Stevens; Blankenship, Donald D.</t>
  </si>
  <si>
    <t>Ocean heat drives rapid basal melt of the Totten Ice Shelf</t>
  </si>
  <si>
    <t>DOPPLER CURRENT PROFILERS; SEA-LEVEL RISE; SHEET; GLACIER; ANTARCTICA; RETREAT; RATES; TIDE; BED</t>
  </si>
  <si>
    <t>Mass loss from the West Antarctic ice shelves and glaciers has been linked to basal melt by ocean heat flux. The Totten Ice Shelf in East Antarctica, which buttresses a marine-based ice sheet with a volume equivalent to at least 3.5 m of global sea-level rise, also experiences rapid basal melt, but the role of ocean forcing was not known because of a lack of observations near the ice shelf. Observations from the Totten calving front confirm that (0.22 +/- 0.07) x 10(6) m(3) s(-1) of warm water enters the cavity through a newly discovered deep channel. The ocean heat transport into the cavity is sufficient to support the large basal melt rates inferred from glaciological observations. Change in ocean heat flux is a plausible physical mechanism to explain past and projected changes in this sector of the East Antarctic Ice Sheet and its contribution to sea level.</t>
  </si>
  <si>
    <t>[Rintoul, Stephen Rich; Pena-Molino, Beatriz; Rosenberg, Mark] Univ Tasmania, Antarctic Climate &amp; Ecosyst Cooperat Res Ctr, Hobart, Tas, Australia; [Rintoul, Stephen Rich; Silvano, Alessandro; van Wijk, Esmee] CSIRO, Oceans &amp; Atmosphere, Hobart, Tas, Australia; [Silvano, Alessandro] Univ Tasmania, Inst Marine &amp; Antarctic Studies, Hobart, Tas, Australia; [Greenbaum, Jamin Stevens; Blankenship, Donald D.] Univ Texas Austin, Inst Geophys, Austin, TX 78758 USA</t>
  </si>
  <si>
    <t>Antarctic Climate &amp; Ecosystems Cooperative Research Centre (ACE CRC); University of Tasmania; Commonwealth Scientific &amp; Industrial Research Organisation (CSIRO); University of Tasmania; University of Texas System; University of Texas Austin</t>
  </si>
  <si>
    <t>Rintoul, SR (corresponding author), Univ Tasmania, Antarctic Climate &amp; Ecosyst Cooperat Res Ctr, Hobart, Tas, Australia.;Rintoul, SR (corresponding author), CSIRO, Oceans &amp; Atmosphere, Hobart, Tas, Australia.</t>
  </si>
  <si>
    <t>steve.rintoul@csiro.au</t>
  </si>
  <si>
    <t>Rintoul, Stephen R/A-1471-2012; Blankenship, Donald D./G-5935-2010; van Wijk, Esmee/AAB-2451-2020; Pena-Molino, Beatriz/IYK-0313-2023</t>
  </si>
  <si>
    <t>Rintoul, Stephen R/0000-0002-7055-9876; van Wijk, Esmee/0000-0002-9375-4383; Pena-Molino, Beatriz/0000-0003-1587-1696; Silvano, Alessandro/0000-0002-6441-1496; Greenbaum, Jamin Stevens/0000-0002-0745-7113</t>
  </si>
  <si>
    <t>Australian Antarctic Research Program; Australian Research Council's Special Research Initiative for the Antarctic Gateway Partnership; Australian Climate Change Science Program; Australia's Integrated Marine Observing System; Australian Government's Cooperative Research Centre program through the Antarctic Climate and Ecosystems Cooperative Research Centre; Commonwealth Scientific and Industrial Research Organization (CSIRO); Australian Government; CSIRO; University of Tasmania; NSF [PLR-0733025, PLR-1143843]; NASA [NNG10HPO6C, NNX11AD33G]; Australian Antarctic Division [3013, 4077]; G. Unger Vetlesen Foundation; Jackson School of Geosciences; NASA [148741, NNX11AD33G] Funding Source: Federal RePORTER</t>
  </si>
  <si>
    <t>Australian Antarctic Research Program; Australian Research Council's Special Research Initiative for the Antarctic Gateway Partnership(Australian Research Council); Australian Climate Change Science Program; Australia's Integrated Marine Observing System; Australian Government's Cooperative Research Centre program through the Antarctic Climate and Ecosystems Cooperative Research Centre(Australian GovernmentDepartment of Industry, Innovation and ScienceCooperative Research Centres (CRC) Programme); Commonwealth Scientific and Industrial Research Organization (CSIRO)(Commonwealth Scientific &amp; Industrial Research Organisation (CSIRO)); Australian Government(Australian Government); CSIRO(Commonwealth Scientific &amp; Industrial Research Organisation (CSIRO)); University of Tasmania; NSF(National Science Foundation (NSF)); NASA(National Aeronautics &amp; Space Administration (NASA)); Australian Antarctic Division; G. Unger Vetlesen Foundation; Jackson School of Geosciences; NASA(National Aeronautics &amp; Space Administration (NASA))</t>
  </si>
  <si>
    <t>This research was supported by the Australian Antarctic Research Program, the Australian Research Council's Special Research Initiative for the Antarctic Gateway Partnership, the Australian Climate Change Science Program, and Australia's Integrated Marine Observing System. S.R.R., B.P.-M., and M.R. acknowledge support from the Australian Government's Cooperative Research Centre program through the Antarctic Climate and Ecosystems Cooperative Research Centre. This project is jointly funded through Commonwealth Scientific and Industrial Research Organization (CSIRO) and the Australian Government's National Environmental Science Programme. A.S. is supported by the Australian Government through the Australian Postgraduate Awards and the International Postgraduate Research Scholarships and by CSIRO and University of Tasmania through the Quantitative Marine Science PhD program. J.S.G. and D.D.B. acknowledge support from NSF grants PLR-0733025 and PLR-1143843, NASA grants NNG10HPO6C and NNX11AD33G (Operation Ice Bridge and the American Recovery and Reinvestment Act), Australian Antarctic Division projects 3013 and 4077, the G. Unger Vetlesen Foundation, and the Jackson School of Geosciences.</t>
  </si>
  <si>
    <t>e1601610</t>
  </si>
  <si>
    <t>10.1126/sciadv.1601610</t>
  </si>
  <si>
    <t>EG7XC</t>
  </si>
  <si>
    <t>Green Accepted, gold, Green Submitted, Green Published</t>
  </si>
  <si>
    <t>WOS:000391268800018</t>
  </si>
  <si>
    <t>de Scally, SZ; Makhalanyane, TP; Frossard, A; Hogg, ID; Cowan, DA</t>
  </si>
  <si>
    <t>de Scally, S. Z.; Makhalanyane, T. P.; Frossard, A.; Hogg, I. D.; Cowan, D. A.</t>
  </si>
  <si>
    <t>Antarctic microbial communities are functionally redundant, adapted and resistant to short term temperature perturbations</t>
  </si>
  <si>
    <t>SOIL BIOLOGY &amp; BIOCHEMISTRY</t>
  </si>
  <si>
    <t>Antarctica; Climate change; Ecosystem processes; Microcosm; Microbial diversity</t>
  </si>
  <si>
    <t>VICTORIA LAND; ENVIRONMENTAL-CHANGE; BACTERIAL COMMUNITY; TAYLOR VALLEY; SOIL; DIVERSITY; NITROGEN; RESPONSES; RESPIRATION; MICROCOSM</t>
  </si>
  <si>
    <t>Climate change has the potential to induce dramatic shifts in the biodiversity and functionality of soil microorganisms in polar hyperarid ecosystems. In these depauperate soil ecosystems, microbial communities are vital as they represent the dominant input sources of essential nutrients. However, the effects of changing climate on extreme edaphic environments, such as the McMurdo Dry Valleys of Antarctica, remain poorly understood. To better understand these effects, we constructed soil microcosms and simulated temperature shifts over a 40-day period. Soil physicochemical analysis revealed low levels of key nutrients, with mean organic carbon and nitrogen contents of &lt;0.1% and 11.55 ppm, respectively. We also applied 16S rRNA gene amplicon sequencing to determine taxonomic composition and enzyme assays to measure in situ activity. Our data showed a prevalence of ubiquitous soil taxa (Actinobacteria, Chloroflexi and Deinococcus-Thermus), with a smaller proportion of autotrophic phyla (i.e. Cyanobacteria). None of the major phyla showed relative abundance changes in response to temperature. We found very low extracellular enzyme activity levels across all samples and observed no significant differences among temperature treatments. Functional predictions (using PICRUSt) revealed the putative presence of key genes implicated in the cycling of carbon (ppc, rbcl) and nitrogen (nifH, nirK), in stress response and in DNA repair throughout all treatments. Overall, our results suggest that shortterm temperature fluctuations do not alter microbial biodiversity and functionality in Antarctic soils. This study provides the first evidence that microbial communities within this edaphic extreme environment may be functionally redundant, adapted and resistant to short term climatic perturbations. (C) 2016 Elsevier Ltd. All rights reserved.</t>
  </si>
  <si>
    <t>[de Scally, S. Z.; Makhalanyane, T. P.; Frossard, A.; Cowan, D. A.] Univ Pretoria, Dept Genet, CMEG, Nat Sci 2, Private Bag X20, ZA-0028 Pretoria, South Africa; [Hogg, I. D.] Univ Waikato, Sch Sci, Hamilton 3240, New Zealand; [Frossard, A.] Swiss Fed Inst Forest Snow &amp; Landscape Res WSL, Birmensdorf, Switzerland</t>
  </si>
  <si>
    <t>University of Pretoria; University of Waikato; Swiss Federal Institutes of Technology Domain; Swiss Federal Institute for Forest, Snow &amp; Landscape Research</t>
  </si>
  <si>
    <t>Makhalanyane, TP (corresponding author), Univ Pretoria, Dept Genet, CMEG, Nat Sci 2, Private Bag X20, ZA-0028 Pretoria, South Africa.</t>
  </si>
  <si>
    <t>thulani.makhalanyane@up.ac.za</t>
  </si>
  <si>
    <t>Frossard, Aline/AAD-6783-2022; Makhalanyane, Thulani P./C-6815-2012; Cowan, Donald A/E-3991-2012; Hogg, Ian D./HNS-7393-2023</t>
  </si>
  <si>
    <t>Frossard, Aline/0000-0003-1699-6220; Makhalanyane, Thulani P./0000-0002-8173-1678; Cowan, Donald A/0000-0001-8059-861X; Hogg, Ian D./0000-0002-6685-0089</t>
  </si>
  <si>
    <t>National Research Foundation (NRF) [100052, 99320, 93074]; South African National Antarctic Programme (SANAP) [SNA14070974748]; University of Pretoria (Genomics Research Institute); University of Pretoria (Research Development Program); New Zealand Antarctic Research Institute (NZARI)</t>
  </si>
  <si>
    <t>National Research Foundation (NRF); South African National Antarctic Programme (SANAP); University of Pretoria (Genomics Research Institute); University of Pretoria (Research Development Program); New Zealand Antarctic Research Institute (NZARI)</t>
  </si>
  <si>
    <t>We are grateful to the National Research Foundation (NRF) (Grant ID 100052 SZdS, 99320 TPM, 93074 for DAC), the South African National Antarctic Programme (SANAP - Grant ID SNA14070974748), and the University of Pretoria (Genomics Research Institute and the Research Development Program) for funding. We also thank the New Zealand Antarctic Research Institute (NZARI) for funding and Antarctica New Zealand for field and logistics support. We wish to acknowledge Mr. M. Van Goethem, Mr. R. Johnson and Dr. S. Vikram for continued laboratory and bioinformatic support.</t>
  </si>
  <si>
    <t>0038-0717</t>
  </si>
  <si>
    <t>1879-3428</t>
  </si>
  <si>
    <t>SOIL BIOL BIOCHEM</t>
  </si>
  <si>
    <t>Soil Biol. Biochem.</t>
  </si>
  <si>
    <t>10.1016/j.soilbio.2016.08.013</t>
  </si>
  <si>
    <t>ED3VA</t>
  </si>
  <si>
    <t>WOS:000388775400016</t>
  </si>
  <si>
    <t>Kaczmarek, L; Goldyn, B; Mcinnes, SJ; Michalczyk, L</t>
  </si>
  <si>
    <t>Kaczmarek, Lukasz; Goldyn, Bartlomiej; Mcinnes, Sandra J.; Michalczyk, Lukasz</t>
  </si>
  <si>
    <t>Diversity of limno-terrestrial tardigrades of the Americas in relation to the Great American Biotic Interchange hypothesis (GABI)</t>
  </si>
  <si>
    <t>ZOOLOGICAL JOURNAL OF THE LINNEAN SOCIETY</t>
  </si>
  <si>
    <t>13th International Symposium on Tardigrada</t>
  </si>
  <si>
    <t>JUN 23-26, 2015</t>
  </si>
  <si>
    <t>Univ Modena &amp; Reggio Emilia, Modena, ITALY</t>
  </si>
  <si>
    <t>Univ Modena &amp; Reggio Emilia</t>
  </si>
  <si>
    <t>Central America; North America; South America; Tardigrada; water bears; zoogeography</t>
  </si>
  <si>
    <t>MEXICAN TRANSITION ZONE; FRESH-WATER TARDIGRADES; MOUNTAINS-NATIONAL-PARK; BIOGEOGRAPHICAL AFFINITIES; NEOTROPICAL REGION; SPECIES RICHNESS; TRACK ANALYSIS; COLEOPTERA; REVISION; DIVERSIFICATION</t>
  </si>
  <si>
    <t>Zoogeographical studies on Tardigrada are limited by the extent of our knowledge on tardigrade taxonomy and faunistics. In this paper we analyse the relationships between the tardigrade fauna of North, Central and South America (Nearctic and Neotropical regions) and provide the first test of whether the tardigrade fauna of the Americas has undergone the great American interchange. Our analyses were based on 384 tardigrade species records obtained for 1702 localities in North, South and Central America. We found that (1) some tardigrade species are distributed, as predicted by the Great American Biotic Interchange (GABI) hypothesis, on both sides of the Panama Isthmus; (2) the Central American tardigrade fauna is specific and different from both the South and the North American faunas, although it is closer to the tropical areas of South America; (3) either the tardigrade fauna of South and North America appear to be more similar to each other than to that of Central America, or there is a Nearctic-Neotropic division of the faunas; and (4) endemism in Central America suggests a more complex biogeographical process than predicted by the connection of two continents.</t>
  </si>
  <si>
    <t>[Kaczmarek, Lukasz] Adam Mickiewicz Univ, Dept Anim Taxon &amp; Ecol, Fac Biol, Umultowska 89, PL-61614 Poznan, Poland; [Kaczmarek, Lukasz; Goldyn, Bartlomiej] Univ Estatal Amazon, Lab Ecol Nat &amp; Aplicada Invertebrados, Campus Principal Km 2.1-2 Via Napo Paso Latera, Puyo, Pastaza, Ecuador; [Goldyn, Bartlomiej] Adam Mickiewicz Univ, Dept Gen Zool, Fac Biol, Collegium Biologicum, Umultowska 89, PL-61614 Poznan, Poland; [Mcinnes, Sandra J.] British Antarctic Survey, Madingley Rd, Cambridge CB3 0ET, England; [Michalczyk, Lukasz] Jagiellonian Univ, Dept Entomol, Inst Zool, Gronostajowa 9, PL-30387 Krakow, Poland</t>
  </si>
  <si>
    <t>Adam Mickiewicz University; Adam Mickiewicz University; UK Research &amp; Innovation (UKRI); Natural Environment Research Council (NERC); NERC British Antarctic Survey; Jagiellonian University</t>
  </si>
  <si>
    <t>Kaczmarek, L (corresponding author), Adam Mickiewicz Univ, Dept Anim Taxon &amp; Ecol, Fac Biol, Umultowska 89, PL-61614 Poznan, Poland.;Kaczmarek, L (corresponding author), Univ Estatal Amazon, Lab Ecol Nat &amp; Aplicada Invertebrados, Campus Principal Km 2.1-2 Via Napo Paso Latera, Puyo, Pastaza, Ecuador.</t>
  </si>
  <si>
    <t>kaczmar@amu.edu.pl</t>
  </si>
  <si>
    <t>McInnes, Sandra/AAN-4773-2020; Kaczmarek, Lukasz/A-2000-2008; Gołdyn, Bartłomiej/A-6166-2011; Michalczyk, Lukasz/D-1362-2009</t>
  </si>
  <si>
    <t>McInnes, Sandra/0000-0003-3403-9379; Gołdyn, Bartłomiej/0000-0002-5470-6709; Michalczyk, Lukasz/0000-0002-2912-4870</t>
  </si>
  <si>
    <t>Natural Environment Research Council [bas010011] Funding Source: researchfish; NERC [bas010011] Funding Source: UKRI</t>
  </si>
  <si>
    <t>0024-4082</t>
  </si>
  <si>
    <t>1096-3642</t>
  </si>
  <si>
    <t>ZOOL J LINN SOC-LOND</t>
  </si>
  <si>
    <t>Zool. J. Linn. Soc.</t>
  </si>
  <si>
    <t>10.1111/zoj.12422</t>
  </si>
  <si>
    <t>ED1RO</t>
  </si>
  <si>
    <t>WOS:000388622800003</t>
  </si>
  <si>
    <t>Amoroso, G; Cobcroft, JM; Adams, MB; Ventura, T; Carter, CG</t>
  </si>
  <si>
    <t>Amoroso, G.; Cobcroft, J. M.; Adams, M. B.; Ventura, T.; Carter, C. G.</t>
  </si>
  <si>
    <t>Concurrence of lower jaw skeletal anomalies in triploid Atlantic salmon (Salmo salar L.) and the effect on growth in freshwater</t>
  </si>
  <si>
    <t>JOURNAL OF FISH DISEASES</t>
  </si>
  <si>
    <t>Atlantic salmon; lower jaw; operculum; skeletal anomaly; triploid</t>
  </si>
  <si>
    <t>DEFORMITY PREVALENCE; DIETARY PHOSPHORUS; PERFORMANCE; MALFORMATIONS; BROILERS; RECOVERY; BEHAVIOR; DISEASE; PLOIDY; SMOLTS</t>
  </si>
  <si>
    <t>Triploid Atlantic salmon populations are associated with higher prevalence of lower jaw skeletal anomalies affecting fish performance, welfare and value deleteriously. Anomalous lower jaw can be curved downward (LJD), shortened (SJ) or misaligned (MA). Two separate groups of triploid Atlantic salmon (similar to 12g) with either normal lower jaw (NOR) or SJ were visually assessed four times over three months for presence and concurrence of jaw anomalies (with severity classified) and opercular shortening to understand the relatedness of these anomalous developmental processes. The prevalence of jaw anomalies increased in both groups over time (NOR group - SJ, LJD and MA combined 0-24.5%; SJ group - LJD and MA combined 17-31%). SJ and LJD occurred both independently and concurrently whereas MA exclusively concurred with them. All three anomalies could be concurrent. Severity of both LJD and SJ increased in the SJ group only. Opercular shortening recovery was observed in both groups but at a slower rate in the SJ group. The SJ group specific growth rate (SGR) was significantly (P&lt;0.05) lower than the NOR group. This study demonstrated the concurrence of SJ, LJD and MA and showed possible deleterious consequences deriving from the conditions.</t>
  </si>
  <si>
    <t>[Amoroso, G.; Cobcroft, J. M.; Adams, M. B.; Carter, C. G.] Univ Tasmania, IMAS, Hobart, Tas, Australia; [Cobcroft, J. M.; Ventura, T.] Univ Sunshine Coast, Genecol Res Ctr, Sch Sci &amp; Engn, Maroochydore, Qld, Australia</t>
  </si>
  <si>
    <t>Amoroso, G (corresponding author), Univ Tasmania, IMAS, Private Bag 1370, Launceston, Tas 7250, Australia.</t>
  </si>
  <si>
    <t>Gianluca.Amoroso@utas.edu.au</t>
  </si>
  <si>
    <t>Adams, Mark/P-7598-2019; Cobcroft, Jennifer/E-3331-2013; Ventura, T./H-9832-2019; Carter, Chris Guy/A-3438-2008; Amoroso, Gianluca/J-3911-2019</t>
  </si>
  <si>
    <t>Adams, Mark/0000-0002-5737-5474; Cobcroft, Jennifer/0000-0002-2398-9267; Ventura, T./0000-0002-0777-2367; Carter, Chris Guy/0000-0001-5210-1282; Amoroso, Gianluca/0000-0003-2985-4205</t>
  </si>
  <si>
    <t>Commonwealth Government's Collaborative Research Network (CRN) Program; Institute for Marine and Antarctic Studies (IMAS); University of Tasmania; IMAS 'Tasmania Graduate Research Scholarship'; University of the Sunshine Coast CRN Research Fellowship</t>
  </si>
  <si>
    <t>This research was supported by the Commonwealth Government's Collaborative Research Network (CRN) Program funding and the Institute for Marine and Antarctic Studies (IMAS). The technical team of the Fisheries and Aquaculture Centre of the Institute for Marine and Antarctic Studies (Taroona) is thanked for their assistance during the experiment and samplings. GA was supported by a University of Tasmania and IMAS 'Tasmania Graduate Research Scholarship', and JC was supported by a University of the Sunshine Coast CRN Research Fellowship.</t>
  </si>
  <si>
    <t>0140-7775</t>
  </si>
  <si>
    <t>1365-2761</t>
  </si>
  <si>
    <t>J FISH DIS</t>
  </si>
  <si>
    <t>J. Fish Dis.</t>
  </si>
  <si>
    <t>10.1111/jfd.12492</t>
  </si>
  <si>
    <t>Fisheries; Marine &amp; Freshwater Biology; Veterinary Sciences</t>
  </si>
  <si>
    <t>EB1KM</t>
  </si>
  <si>
    <t>WOS:000387110200010</t>
  </si>
  <si>
    <t>Voigt, I; Chiessi, CM; Piola, AR; Henrich, R</t>
  </si>
  <si>
    <t>Voigt, Ines; Chiessi, Cristiano M.; Piola, Alberto R.; Henrich, Ruediger</t>
  </si>
  <si>
    <t>Holocene changes in Antarctic Intermediate Water flow strength in the Southwest Atlantic</t>
  </si>
  <si>
    <t>Antarctic Intermediate Water (AAIW); Southwest Atlantic; Holocene; North Atlantic Deep Water (NADW); AAIW-NADW see-saw; Sortable silt</t>
  </si>
  <si>
    <t>CALCIUM-CARBONATE PRESERVATION; MILLENNIAL-SCALE CHANGES; NORTH-ATLANTIC; TROPICAL ATLANTIC; SOUTHERN-OCEAN; CLIMATE; CIRCULATION; LATITUDE; VARIABILITY; WESTERLIES</t>
  </si>
  <si>
    <t>Antarctic Intermediate Water (AAIW) is an essential component of the Atlantic meridional overturning circulation (AMOC) contributing to balance the southward flow of North Atlantic Deep Water (NADW). However, the role of AAIW in Holocene abrupt climate changes remains poorly understood. Here we reconstruct changes in the flow strength of AAIW based on a high temporal resolution paleocurrent record from the Southwest Atlantic. Superimposed on a slight increase in AAIW strength at similar to 7 ka BP, a succession of millennial-scale AAIW variations is recognized in our paleocurrent records indicating a highly variable intermediate water circulation throughout the Holocene. Although variations in the strength and position of the Southern Westerlies Winds (SWW) are proposed to greatly influence the formation and circulation of AAIW, we cannot confirm such a potential SWW-AAIW linkage since our records of AAIW flow strength do not correlate to Holocene shifts of the SWW across the Atlantic. However, our data shows a good correspondence with abrupt variations in the AMOC with enhanced (reduced) northward advection of AAIW during periods of reduced (enhanced) NADW circulation. These results provide evidence for a Holocene AAIW-NADW see-saw. Thus, although the exact forcing mechanism remains unresolved, we suggest that Holocene perturbations in AAIW exerted a significant impact on the AMOC. (C) 2016 Elsevier B.V. All rights reserved.</t>
  </si>
  <si>
    <t>[Voigt, Ines; Henrich, Ruediger] Univ Bremen, MARUM, Ctr Marine Environm Sci, D-28359 Bremen, Germany; [Voigt, Ines; Henrich, Ruediger] Univ Bremen, Fac Geosci, D-28359 Bremen, Germany; [Chiessi, Cristiano M.] Univ Sao Paulo, Sch Arts Sci &amp; Humanities, Sao Paulo, Brazil; [Piola, Alberto R.] Univ Buenos Aires, Serv Hidrog Naval, Buenos Aires, DF, Argentina; [Piola, Alberto R.] Univ Buenos Aires, UMI IFAECI, Buenos Aires, DF, Argentina</t>
  </si>
  <si>
    <t>University of Bremen; University of Bremen; Universidade de Sao Paulo; Servicio de Hidrografia Naval; University of Buenos Aires; University of Buenos Aires</t>
  </si>
  <si>
    <t>Voigt, I (corresponding author), Univ Bremen, MARUM, Ctr Marine Environm Sci, D-28359 Bremen, Germany.;Voigt, I (corresponding author), Univ Bremen, Fac Geosci, D-28359 Bremen, Germany.</t>
  </si>
  <si>
    <t>ivoigt@marum.de; chiessi@usp.br; apiola@hidro.gov.ar; henrich@uni-bremen.de</t>
  </si>
  <si>
    <t>Chiessi, Cristiano Mazur/E-1916-2012; Piola, Alberto R/O-2280-2013; Piola, Alberto/HZI-5475-2023; Chiessi, Cristiano Mazur/JAZ-0806-2023</t>
  </si>
  <si>
    <t>Chiessi, Cristiano Mazur/0000-0003-3318-8022; Chiessi, Cristiano Mazur/0000-0003-3318-8022</t>
  </si>
  <si>
    <t>DFG-Research Center/Cluster of Excellence The Ocean in the Earth System; GLOMAR - Bremen International Graduate School for Marine Sciences; FAPESP [2012/17517-3]; CAPES [1976/2014, 564/2015]; Inter-American Institute for Global Change Research (US NSF) [CRN3070, GEO-1128040]; ICER; Directorate For Geosciences [1128040] Funding Source: National Science Foundation; ICER; Directorate For Geosciences [1459322] Funding Source: National Science Foundation</t>
  </si>
  <si>
    <t>DFG-Research Center/Cluster of Excellence The Ocean in the Earth System(German Research Foundation (DFG)); GLOMAR - Bremen International Graduate School for Marine Sciences; FAPESP(Fundacao de Amparo a Pesquisa do Estado de Sao Paulo (FAPESP)); CAPES(Coordenacao de Aperfeicoamento de Pessoal de Nivel Superior (CAPES)); Inter-American Institute for Global Change Research (US NSF); ICER; Directorate For Geosciences(National Science Foundation (NSF)NSF - Directorate for Geosciences (GEO)); ICER; Directorate For Geosciences(National Science Foundation (NSF)NSF - Directorate for Geosciences (GEO))</t>
  </si>
  <si>
    <t>We thank the two Reviewers for their thorough and constructive comments that improved the manuscript. We thank T. Topfer who kindly agreed to contribute unpublished BDX data derived from his unpublished BSc thesis performed under supervision of R. Henrich. We also thank G. Martinez Mendez and J. Groeneveld for comments and discussion. This study was funded through the DFG-Research Center/Cluster of Excellence The Ocean in the Earth System and was supported by GLOMAR - Bremen International Graduate School for Marine Sciences. CMC acknowledges the support from FAPESP (grant 2012/17517-3) and CAPES (grants 1976/2014 and 564/2015). ARP acknowledges the support of grant CRN3070 from the Inter-American Institute for Global Change Research (US NSF grant GEO-1128040). The data of this study are available in the PANGAEA database.</t>
  </si>
  <si>
    <t>10.1016/j.palaeo.2016.09.018</t>
  </si>
  <si>
    <t>EB6WJ</t>
  </si>
  <si>
    <t>WOS:000387526000005</t>
  </si>
  <si>
    <t>Wang, J; Zhang, PY; Liu, SH; Cong, BL; Chen, KS</t>
  </si>
  <si>
    <t>Wang, Jing; Zhang, Pengying; Liu, Shenghao; Cong, Bailin; Chen, Kaoshan</t>
  </si>
  <si>
    <t>A Leucine-Rich Repeat Receptor-like Kinase from the Antarctic Moss Pohlia nutans Confers Salinity and ABA Stress Tolerance</t>
  </si>
  <si>
    <t>PLANT MOLECULAR BIOLOGY REPORTER</t>
  </si>
  <si>
    <t>Abiotic stress; Pohlia nutans; Leucine-rich repeats receptor-like kinase; Phenotype</t>
  </si>
  <si>
    <t>ABSCISIC-ACID; SALT TOLERANCE; PROTEIN-KINASE; SIGNAL-TRANSDUCTION; GENE-EXPRESSION; ARABIDOPSIS; FAMILY; DROUGHT; ROOTS; MECHANISMS</t>
  </si>
  <si>
    <t>Plant leucine-rich repeats receptor-like kinases (LRR-RLKs) play key roles in plant growth, development, and responses to environmental stresses. However, the functions of LRR-RLKs in bryophytes are still not well documented. Here, a putative LRR-RLK gene, PnLRR-RLK, was cloned and characterized from the Antarctic moss Pohlia nutans. Phylogenetic analysis revealed that PnLRR-RLK protein was clustered with the Arabidopsis thaliana LRR XI family proteins. Subcellular localization analysis of PnLRR-RLK revealed that it was mainly localized on plasma membrane. The expression of PnLRR-RLK was induced by mock high salinity, cold, drought, and exogenously supplied abscisic acid (ABA) and methyl jasmonate (MeJA). Meanwhile, the overexpression of PnLRR-RLK showed an increased tolerance of transgenic Arabidopsis to salt and ABA stresses than that of the wild type (WT) plants. Furthermore, the expression levels of several salt tolerance genes (AtHKT1, AtSOS3, AtP5CS1, and AtADH1) and an ABA negatively regulating gene AtABI1 were significantly increased in transgenic plants. Meanwhile, the expression levels of ABA biosynthesis genes (AtNCED3, AtABA1, and AtAAO3) and ABA early response genes (AtMYB2, AtRD22, AtRD29A, and AtDREB2A) were decreased in transgenic Arabidopsis after salt stress treatment. Therefore, these results suggested that PnLRR-RLK might involve in regulating salt stress-related and ABA-dependent signaling pathway, thereby contribute to the salinity tolerance of the Antarctic moss P. nutans.</t>
  </si>
  <si>
    <t>[Wang, Jing; Zhang, Pengying; Chen, Kaoshan] Shandong Univ, Natl Glycoengn Res Ctr, Jinan 250100, Peoples R China; [Wang, Jing; Zhang, Pengying; Chen, Kaoshan] Shandong Univ, Coll Life Sci, Jinan 250100, Peoples R China; [Liu, Shenghao; Cong, Bailin] State Ocean Adm, Inst Oceanog 1, Marine Ecol Res Ctr, Qingdao 266061, Peoples R China</t>
  </si>
  <si>
    <t>Shandong University; Shandong University; First Institute of Oceanography, Ministry of Natural Resources</t>
  </si>
  <si>
    <t>Zhang, PY (corresponding author), Shandong Univ, Natl Glycoengn Res Ctr, Jinan 250100, Peoples R China.;Zhang, PY (corresponding author), Shandong Univ, Coll Life Sci, Jinan 250100, Peoples R China.</t>
  </si>
  <si>
    <t>zhangpy80@sdu.edu.cn</t>
  </si>
  <si>
    <t>jing, wang/KCZ-2144-2024; Liu, Shenghao/ISU-3076-2023</t>
  </si>
  <si>
    <t>Liu, Shenghao/0000-0002-1449-3526</t>
  </si>
  <si>
    <t>National Natural Science Foundation of China [41206176, 41476174]; Basic Scientific Fund for National Public Research Institutes of China [2014T04]; Natural Science Foundation of Shandong Province [ZR2014DQ012]</t>
  </si>
  <si>
    <t>National Natural Science Foundation of China(National Natural Science Foundation of China (NSFC)); Basic Scientific Fund for National Public Research Institutes of China; Natural Science Foundation of Shandong Province(Natural Science Foundation of Shandong Province)</t>
  </si>
  <si>
    <t>This work was supported by the National Natural Science Foundation of China (41206176 and 41476174), Basic Scientific Fund for National Public Research Institutes of China (2014T04), Natural Science Foundation of Shandong Province (ZR2014DQ012).</t>
  </si>
  <si>
    <t>0735-9640</t>
  </si>
  <si>
    <t>1572-9818</t>
  </si>
  <si>
    <t>PLANT MOL BIOL REP</t>
  </si>
  <si>
    <t>Plant Mol. Biol. Rep.</t>
  </si>
  <si>
    <t>10.1007/s11105-016-0994-y</t>
  </si>
  <si>
    <t>Biochemical Research Methods; Plant Sciences</t>
  </si>
  <si>
    <t>Biochemistry &amp; Molecular Biology; Plant Sciences</t>
  </si>
  <si>
    <t>EB7QY</t>
  </si>
  <si>
    <t>WOS:000387585900008</t>
  </si>
  <si>
    <t>Abrams, PA; Ainley, DG; Blight, LK; Dayton, PK; Eastman, JT; Jacquet, JL</t>
  </si>
  <si>
    <t>Abrams, Peter A.; Ainley, David G.; Blight, Louise K.; Dayton, Paul K.; Eastman, Joseph T.; Jacquet, Jennifer L.</t>
  </si>
  <si>
    <t>Necessary elements of precautionary management: implications for the Antarctic toothfish</t>
  </si>
  <si>
    <t>Dissostichus mawsoni; precautionary approach; reference point; Ross Sea; stock-recruitment relationship; uncertainty</t>
  </si>
  <si>
    <t>ROSS SEA REGION; MARK-RECAPTURE DATA; FISHERIES MANAGEMENT; DISSOSTICHUS-MAWSONI; STOCK ASSESSMENT; SOUTHERN-OCEAN; CLIMATE-CHANGE; LIFE-HISTORY; REFERENCE POINTS; MANAGING FISHERIES</t>
  </si>
  <si>
    <t>We review the precautionary approach to fisheries management, propose a framework that will allow a systematic assessment of insufficient precaution and provide an illustration using an Antarctic fishery. For a single-species fishery, our framework includes five attributes: (1) limit reference points that recognize gaps in our understanding of the dynamics of the species; (2) accurate measures of population size; (3) ability to detect population changes quickly enough to arrest unwanted declines; (4) adequate understanding of ecosystem dynamics to avoid adverse indirect effects; and (5) assessment of the first four elements by a sufficiently impartial group of scientists. We argue that one or more of these elements frequently fail to be present in the management of many fisheries. Structural uncertainties, which characterize almost all fisheries models, call for higher limit points than those commonly used. A detailed look into the five elements and associated uncertainties is presented for the fishery on the Antarctic toothfish in the Ross Sea (FAO/CCAMLR Area 88.1, 88.2), for which management was recently described as highly precautionary'. In spite of having features that make the Ross Sea fishery ideal for the application of the precautionary approach, gaps in our knowledge and failure to acknowledge these gaps mean that current regulation falls short of being sufficiently precautionary. We propose some possible remedies.</t>
  </si>
  <si>
    <t>[Abrams, Peter A.] Univ Toronto, Dept Ecol &amp; Evolutionary Biol, 25 Harbord St, Toronto, ON M5S 3G5, Canada; [Ainley, David G.] HT Harvey &amp; Associates, 983 Univ Ave, Los Gatos, CA 95032 USA; [Blight, Louise K.] Procellaria Res &amp; Consulting, 944 Dunsmuir Rd, Victoria, BC V9A 5C3, Canada; [Dayton, Paul K.] Scripps Inst Oceanog, Mail Code 0227, La Jolla, CA 92037 USA; [Eastman, Joseph T.] Ohio Univ, Dept Biomed Sci, Athens, OH 45701 USA; [Jacquet, Jennifer L.] NYU, Dept Environm Studies, 285 Mercer St, New York, NY 10003 USA</t>
  </si>
  <si>
    <t>University of Toronto; University of California System; University of California San Diego; Scripps Institution of Oceanography; University System of Ohio; Ohio University; New York University</t>
  </si>
  <si>
    <t>Abrams, PA (corresponding author), Univ Toronto, Dept Ecol &amp; Evolutionary Biol, 25 Harbord St, Toronto, ON M5S 3G5, Canada.</t>
  </si>
  <si>
    <t>peter.abrams@utoronto.ca</t>
  </si>
  <si>
    <t>Eastman, Joseph T./O-6150-2019; Abrams, Peter A/A-5240-2008</t>
  </si>
  <si>
    <t>Eastman, Joseph T./0000-0003-3868-261X;</t>
  </si>
  <si>
    <t>NSERC Canada; NSF [Ant-0944411]; Alfred P. Sloan Research Fellowship; Office of Polar Programs (OPP); Directorate For Geosciences [0944411] Funding Source: National Science Foundation</t>
  </si>
  <si>
    <t>NSERC Canada(Natural Sciences and Engineering Research Council of Canada (NSERC)); NSF(National Science Foundation (NSF)); Alfred P. Sloan Research Fellowship(Alfred P. Sloan Foundation); Office of Polar Programs (OPP); Directorate For Geosciences(National Science Foundation (NSF)NSF - Directorate for Geosciences (GEO))</t>
  </si>
  <si>
    <t>We thank R. Hofman, M. Burgess, H. Giacomini, J. Hutchings and C. Clark and the anonymous reviewers for comments on earlier drafts. PAA was supported by a Discovery Grant from NSERC Canada; DGA's efforts were supported by NSF grant Ant-0944411. Jennifer L. Jacquet was supported by an Alfred P. Sloan Research Fellowship.</t>
  </si>
  <si>
    <t>10.1111/faf.12162</t>
  </si>
  <si>
    <t>WOS:000386938900011</t>
  </si>
  <si>
    <t>Beltran, C; Ohneiser, C; Hageman, KJ; Scanlan, E</t>
  </si>
  <si>
    <t>Beltran, C.; Ohneiser, C.; Hageman, K. J.; Scanlan, E.</t>
  </si>
  <si>
    <t>Evolution of the southwestern Pacific surface waters during the early Pleistocene</t>
  </si>
  <si>
    <t>Alkenone-derived sea surface temperatures; Early Pleistocene; Mid-Pleistocene transition; New Zealand; Tasmania sector of the Southern Ocean; Subtropical Front; subantarctic zone</t>
  </si>
  <si>
    <t>EAST AUSTRALIAN CURRENT; SOUTHERN INDIAN-OCEAN; SUBTROPICAL FRONT; NEW-ZEALAND; SW PACIFIC; CHATHAM RISE; MIDPLEISTOCENE REVOLUTION; CALCAREOUS NANNOPLANKTON; PHYSICAL OCEANOGRAPHY; TEMPERATURE-CHANGES</t>
  </si>
  <si>
    <t>We present alkenone-derived sea surface temperature (SST) records from the New Zealand/Tasmania sector of the Southern Ocean (ODP Sites 1171 and 1125) during the Early Pleistocene (c.1.7 to 0.7Ma). Our data show that the subantarctic surface waters (ODP Site 1171) cooled by c.4 degrees C and reached near modern conditions after 0.88Ma, indicating a long-term northward migration of the Southern Ocean fronts. This long-term cooling occurred in two major steps between 1.25-1.1Ma and 0.95-0.88Ma, which correlate with significant increases in Antarctic ice volume and global circulation changes. The comparison between the subantarctic and subtropical SST trends tends to indicate that the Subtropical Front was unstable during the Early Pleistocene with significant southward incursions of subtropical waters during warm interglacials (1.07Ma and 0.95Ma identified as MIS31, MIS25).</t>
  </si>
  <si>
    <t>[Beltran, C.] Univ Otago, Dept Marine Sci, Dunedin, New Zealand; [Ohneiser, C.] Univ Otago, Dept Geol, Dunedin, New Zealand; [Hageman, K. J.; Scanlan, E.] Univ Otago, Dept Chem, Dunedin, New Zealand</t>
  </si>
  <si>
    <t>Beltran, C (corresponding author), Univ Otago, Dept Marine Sci, Dunedin, New Zealand.</t>
  </si>
  <si>
    <t>catherine.beltran@otago.ac.nz</t>
  </si>
  <si>
    <t>Ohneiser, Christian/B-5797-2018</t>
  </si>
  <si>
    <t>Scanlan, Emma/0000-0001-8058-9318; Ohneiser, Christian/0000-0002-2781-2522</t>
  </si>
  <si>
    <t>10.1080/00288306.2016.1195756</t>
  </si>
  <si>
    <t>EB0LW</t>
  </si>
  <si>
    <t>WOS:000387036300003</t>
  </si>
  <si>
    <t>McHuron, EA; Robinson, PW; Simmons, SE; Kuhn, CE; Fowler, M; Costa, DP</t>
  </si>
  <si>
    <t>McHuron, E. A.; Robinson, P. W.; Simmons, S. E.; Kuhn, C. E.; Fowler, M.; Costa, D. P.</t>
  </si>
  <si>
    <t>Foraging strategies of a generalist marine predator inhabiting a dynamic environment</t>
  </si>
  <si>
    <t>OECOLOGIA</t>
  </si>
  <si>
    <t>Individual variability; Dive behavior; Sea lion; Zalophus californianus; California Current</t>
  </si>
  <si>
    <t>CALIFORNIA SEA LIONS; ANTARCTIC FUR SEALS; ARCTOCEPHALUS-PUSILLUS-DORIFERUS; ZALOPHUS-CALIFORNIANUS; INDIVIDUAL SPECIALIZATION; RESOURCE USE; INTRASPECIFIC COMPETITION; ATTENDANCE PATTERNS; DIET SPECIALIZATION; DIVING PATTERNS</t>
  </si>
  <si>
    <t>Intraspecific variability is increasingly recognized as an important component of foraging behavior that can have implications for both population and community dynamics. We used an individual-level approach to describe the foraging behavior of an abundant, generalist predator that inhabits a dynamic marine ecosystem, focusing specifically on the different foraging strategies used by individuals in the same demographic group. We collected data on movements and diving behavior of adult female California sea lions (Zalophus californianus) across multiple foraging trips to sea. Sea lions (n = 35) used one of three foraging strategies that primarily differed in their oceanic zone and dive depth: a shallow, epipelagic strategy, a mixed epipelagic/benthic strategy, and a deep-diving strategy. Individuals varied in their degree of fidelity to a given strategy, with 66 % of sea lions using only one strategy on all or most of their foraging trips across the two-month tracking period. All foraging strategies were present in each of the sampling years, but there were inter-annual differences in the population-level importance of each strategy that may reflect changes in prey availability. Deep-diving sea lions traveled shorter distances and spent a greater proportion of time at the rookery than sea lions using the other two strategies, which may have energetic and reproductive implications. These results highlight the importance of an individual-based approach in describing the foraging behavior of female California sea lions and understanding how they respond to the seasonal and annual changes in prey availability that characterize the California Current System.</t>
  </si>
  <si>
    <t>[McHuron, E. A.; Robinson, P. W.; Costa, D. P.] Univ Calif Santa Cruz, Dept Ecol &amp; Evolutionary Biol, Santa Cruz, CA 95064 USA; [Simmons, S. E.] Marine Mammal Commiss, Bethesda, MD 20814 USA; [Kuhn, C. E.] NOAA, Natl Marine Mammal Lab, Alaska Fisheries Sci Ctr, Seattle, WA 98115 USA; [Fowler, M.] Springfield Coll, Springfield, MA 01109 USA</t>
  </si>
  <si>
    <t>University of California System; University of California Santa Cruz; National Oceanic Atmospheric Admin (NOAA) - USA; Springfield College</t>
  </si>
  <si>
    <t>McHuron, EA (corresponding author), Univ Calif Santa Cruz, Dept Ecol &amp; Evolutionary Biol, Santa Cruz, CA 95064 USA.</t>
  </si>
  <si>
    <t>emchuron@ucsc.edu</t>
  </si>
  <si>
    <t>; Costa, Daniel Paul/E-2616-2013</t>
  </si>
  <si>
    <t>Simmons, Samantha/0000-0003-0326-6990; Costa, Daniel Paul/0000-0002-0233-5782; Kuhn, Carey/0000-0002-6835-9744</t>
  </si>
  <si>
    <t>California Sea Grant Program; National Oceanographic Partnership Program; Office of Naval Research; Sloan Foundations; E &amp; P Sound and Marine Life Joint Industry Programme [22 07-23]; Moore, Packard</t>
  </si>
  <si>
    <t>California Sea Grant Program; National Oceanographic Partnership Program; Office of Naval Research(Office of Naval Research); Sloan Foundations; E &amp; P Sound and Marine Life Joint Industry Programme; Moore, Packard</t>
  </si>
  <si>
    <t>We thank Seth Newsome for helpful suggestions that improved the quality of this manuscript, the US. Navy for logistical support, and all of the field volunteers, without which this research would not have been possible. Data collection was part of the Tagging of Pelagic Predators (TOPP) project, and funded by the California Sea Grant Program, National Oceanographic Partnership Program, the Office of Naval Research, and the Moore, Packard, and Sloan Foundations. EAM was supported on a grant from the E &amp; P Sound and Marine Life Joint Industry Programme (#22 07-23). Animal handling was permitted under NMFS permit #87-1593, 1851 and approved by the University of California Santa Cruz Institutional Animal Care and Use Committee.</t>
  </si>
  <si>
    <t>0029-8549</t>
  </si>
  <si>
    <t>1432-1939</t>
  </si>
  <si>
    <t>Oecologia</t>
  </si>
  <si>
    <t>10.1007/s00442-016-3732-0</t>
  </si>
  <si>
    <t>DZ7TV</t>
  </si>
  <si>
    <t>WOS:000386070800007</t>
  </si>
  <si>
    <t>Siewert, MB; Hugelius, G; Heim, B; Faucherre, S</t>
  </si>
  <si>
    <t>Siewert, Matthias Benjamin; Hugelius, Gustaf; Heim, Birgit; Faucherre, Samuel</t>
  </si>
  <si>
    <t>Landscape controls and vertical variability of soil organic carbon storage in permafrost-affected soils of the Lena River Delta</t>
  </si>
  <si>
    <t>Soil organic carbon; Soil taxonomy; Permafrost; Thematic mapping; Deltas</t>
  </si>
  <si>
    <t>CLIMATE-CHANGE; TUNDRA; STOCKS; MATTER; HISTORY; REGIONS; POOLS; DEPTH</t>
  </si>
  <si>
    <t>To project the future development of the soil organic carbon (SOC) storage in permafrost environments, the spatial and vertical distribution of key soil properties and their landscape controls needs to be understood. This article reports findings from the Arctic Lena River Delta where we sampled 50 soil pedons. These were classified according to the U.S.D.A. Soil Taxonomy and fall mostly into the Gelisol soil order used for permafrost-affected soils. Soil profiles have been sampled for the active layer (mean depth 58 +/- 10 cm) and the upper permafrost to one meter depth. We analyze SOC stocks and key soil properties, i.e. C%, N%, C/N, bulk density, visible ice and water content. These are compared for different landscape groupings of pedons according to geomorphology, soil and land cover and for different vertical depth increments. High vertical resolution plots are used to understand soil development. These show that SOC storage can be highly variable with depth. We recommend the treatment of permafrost-affected soils according to subdivisions into: the surface organic layer, mineral subsoil in the active layer, organic enriched cryoturbated or buried horizons and the mineral subsoil in the permafrost. The major geomorphological units of a subregion of the Lena River Delta were mapped with a land form classification using a data-fusion approach of optical satellite imagery and digital elevation data to upscale SOC storage. Landscape mean SOC storage is estimated to 19.2 +/- 2.0 kg C m(-2). Our results show that the geomorphological setting explains more soil variability than soil taxonomy classes or vegetation cover. The soils from the oldest, Pleistocene aged, unit of the delta store the highest amount of SOC per m(2) followed by the Holocene river terrace. The Pleistocene terrace affected by thermal-degradation, the recent floodplain and bare alluvial sediments store considerably less SOC in descending order. (C) 2016 Elsevier B.V. All rights reserved.</t>
  </si>
  <si>
    <t>[Siewert, Matthias Benjamin; Hugelius, Gustaf] Stockholm Univ, Dept Phys Geog, SE-10691 Stockholm, Sweden; [Heim, Birgit] Helmholtz Ctr Polar &amp; Marine Res, Alfred Wegener Inst, Telegrafenberg A43, D-14473 Potsdam, Germany; [Faucherre, Samuel] Univ Copenhagen, Ctr Permafrost CENPERM, DK-1350 Copenhagen, Denmark</t>
  </si>
  <si>
    <t>Stockholm University; Helmholtz Association; Alfred Wegener Institute, Helmholtz Centre for Polar &amp; Marine Research; University of Copenhagen</t>
  </si>
  <si>
    <t>Siewert, MB (corresponding author), Stockholm Univ, Dept Phys Geog, SE-10691 Stockholm, Sweden.</t>
  </si>
  <si>
    <t>matthias.siewert@natgeo.su.se; gustat.hugelius@natgeo.su.se; birgit.heim@awi.de; samuel.faucherre@ign.ku.dk</t>
  </si>
  <si>
    <t>Siewert, Matthias Benjamin/Q-4378-2016; Hugelius, Gustaf/C-9759-2011; Heim, Birgit/B-2815-2017</t>
  </si>
  <si>
    <t>Siewert, Matthias Benjamin/0000-0003-2890-8873; Hugelius, Gustaf/0000-0002-8096-1594; Faucherre, Samuel/0000-0002-2464-4260; Jokat, Wilfried/0000-0002-7793-5854; Heim, Birgit/0000-0003-2614-9391</t>
  </si>
  <si>
    <t>European Union Seventh Framework Programme ENVIRONMENT project PAGE21 [282700]; EU FP7 INTERACT Transnational Access grant; AWI (Germany); Arctic and Antarctic Research Institute, AARI (Russia); AWI logistics</t>
  </si>
  <si>
    <t>European Union Seventh Framework Programme ENVIRONMENT project PAGE21; EU FP7 INTERACT Transnational Access grant; AWI (Germany); Arctic and Antarctic Research Institute, AARI (Russia); AWI logistics</t>
  </si>
  <si>
    <t>This study was funded by the European Union Seventh Framework Programme ENVIRONMENT project PAGE21 (grant agreement no. 282700). The fieldwork was supported by an EU FP7 INTERACT Transnational Access grant. The Lena 2013 expedition was supported and organized by AWI (Germany) and the Arctic and Antarctic Research Institute, AARI (Russia). We thank the Samoylov station manager and the station team and the AWI logistics for their support. We are in debt to Frank Gunther, AWI, who orthorectified the RapidEye image with ground control points that he and colleagues took in the field on previous AWI-AARI expeditions. Frank Gunther also processed the atmospherical correction. The RapidEye and DEM data are provided by the ESA DUE Permafrost project (2009-2012). We would like to thank Johannes Petrone and Christian Juncker Jorgensen for their participation in the fieldwork and their contribution to the laboratory analysis of the samples. We would like to thank two anonymous reviewers who provided useful and insightful comments.</t>
  </si>
  <si>
    <t>10.1016/j.catena.2016.07.048</t>
  </si>
  <si>
    <t>DZ1LB</t>
  </si>
  <si>
    <t>WOS:000385598800069</t>
  </si>
  <si>
    <t>Rudraswami, NG; Prasad, MS; Jones, RH; Nagashima, K</t>
  </si>
  <si>
    <t>Rudraswami, N. G.; Prasad, M. Shyam; Jones, R. H.; Nagashima, K.</t>
  </si>
  <si>
    <t>In situ oxygen isotope compositions in olivines of different types of cosmic spherules: An assessment of relationships to chondritic particles</t>
  </si>
  <si>
    <t>Micrometeorites; Oxygen isotope; Carbonaceous chondrites; Deep sea sediments</t>
  </si>
  <si>
    <t>ACCRETION RATE; ANTARCTIC MICROMETEORITES; ELEMENTAL COMPOSITION; CHEMICAL-COMPOSITIONS; CHONDRULES; ENTRY; METEORITE; DUST; CLASSIFICATION; CONSTRAINTS</t>
  </si>
  <si>
    <t>Cosmic spherules collected from deep sea sediments of the Indian Ocean having different textures such as scoriaceous (4), relict-bearing (16), porphyritic (35) and barred olivine (2) were investigated for petrography, as well as high precision oxygen isotopic studies on olivine grains using secondary ion mass spectrometry (SIMS). The oxide FeO/MgO ratios of large olivines (&gt;20 mu m) in cosmic spherules have low values similar to those seen in the olivines of carbonaceous chondrite chondrules, rather than matching the compositions of matrix. The oxygen isotope compositions of olivines in cosmic spherules have a wide range of delta O-18, delta O-17 and Delta O-17 values as follows: -9 to 40%, -13 to 22% and -11 to 6%. Our results suggest that the oxygen isotope compositions of the scoriaceous, relict-bearing, porphyritic and barred spherules show provenance related to the carbonaceous (CM, CV, CO and CR) chondrites. The different types of spherules that has experienced varied atmospheric heating during entry has not significantly altered the Delta O-17 values. However, one of the relict-bearing spherules with a large relict grain has Delta O-17 = 5.7%, suggesting that it is derived from O-16-poor material that is not recognized in the meteorite record. A majority of the spherules have Delta O-17 ranging from -4 to -2%, similar to values in chondrules from carbonaceous chondrites, signifying that chondrules of carbonaceous chondrites are the major contributors to the flux of micrometeorites, with an insignificant fraction derived from ordinary chondrites. Furthermore, barred spherule data shows that during atmospheric entry an increase in similar to 10% of delta O-18 value surges Delta O-17 value by similar to 1%. (C) 2016 Elsevier Ltd. All rights reserved.</t>
  </si>
  <si>
    <t>[Rudraswami, N. G.; Prasad, M. Shyam] CSIR, Natl Inst Oceanog, Panaji 403004, Goa, India; [Jones, R. H.] Univ Manchester, Sch Earth Atmospher &amp; Environm Sci, Oxford Rd, Manchester M13 9PL, Lancs, England; [Nagashima, K.] Univ Hawaii Manoa, Hawaii Inst Geophys &amp; Planetol, 1680 East West Rd, Honolulu, HI 96822 USA</t>
  </si>
  <si>
    <t>Council of Scientific &amp; Industrial Research (CSIR) - India; CSIR - National Institute of Oceanography (NIO); University of Manchester; University of Hawaii System; University of Hawaii Manoa</t>
  </si>
  <si>
    <t>Rudraswami, NG (corresponding author), CSIR, Natl Inst Oceanog, Panaji 403004, Goa, India.</t>
  </si>
  <si>
    <t>rudra@nio.org</t>
  </si>
  <si>
    <t>Jones, Rhian/ABI-6612-2020</t>
  </si>
  <si>
    <t>Nagashima, Kazuhide/0000-0002-9322-3187</t>
  </si>
  <si>
    <t>Indo-US Science and Technology Forum (IUSSTF)</t>
  </si>
  <si>
    <t>NGR and MSP are grateful to the GEOSINKS (Council of Scientific and Industrial Research XII Plan) and PLANEX (Physical Research Laboratory, Ahmedabad) project, under which this work has been carried out. We also thank Vijay Khedekar for his assistance and support during the electron microprobe work. NGR thanks Indo-US Science and Technology Forum (IUSSTF) for providing the fellowship and support to carry out this research work. This is NIO contribution No. 5938.</t>
  </si>
  <si>
    <t>10.1016/j.gca.2016.08.024</t>
  </si>
  <si>
    <t>DZ0EH</t>
  </si>
  <si>
    <t>WOS:000385509800001</t>
  </si>
  <si>
    <t>Abreu, NM</t>
  </si>
  <si>
    <t>Abreu, Neyda M.</t>
  </si>
  <si>
    <t>Why is it so difficult to classify Renazzo-type (CR) carbonaceous chondrites? - Implications from TEM observations of matrices for the sequences of aqueous alteration</t>
  </si>
  <si>
    <t>Carbonaceous chondrites; CR chondrites; Hydrated meteorites; Asteroids; Phyllosilicates; Amorphous silicates; Aqueous alteration; Thermal metamorphism</t>
  </si>
  <si>
    <t>FINE-GRAINED RIMS; PARENT BODY; METEORITICAL BULLETIN; CM CHONDRITE; CHONDRULES; MINERALOGY; ORIGIN; METAL; CLASSIFICATION; CARBONATES</t>
  </si>
  <si>
    <t>A number of different classifications have been proposed for the CR chondrites; this study aims at reconciling these different schemes. Mineralogy-based classification has proved particularly challenging for weakly to moderately altered CRs because incipient mineral replacement and elemental mobilization arising from aqueous alteration only affected the most susceptible primary phases, which are generally located in the matrix. Secondary matrix phases are extremely fine-grained (generally sub-micron) and heterogeneously mixed with primary nebular materials. Compositional and isotopic classification parameters are fraught with confounding factors, such as terrestrial weathering, impact processes, and variable abundance of clasts from different regions of the CR parent body or from altogether different planetary bodies. Here, detailed TEM observations from eighteen FIB sections retrieved from the matrices of nine Antarctic CR chondrites (EET 96259, GRA 95229, GRO 95577, GRO 03116, LAP 02342, LAP 04516, LAP 04720, MIL 07525, and MIL 090001) are presented, representing a range of petrologic types. Amorphous Fe-Mg silicates are found to be the dominant phase in all but the most altered CR chondrite matrices, which still retain significant amounts of these amorphous materials. Amorphous Fe-Mg silicates are mixed with phyllosilicates at the nanometer scale. The ratio of amorphous Fe-Mg silicates to phyllosilicates decreases as: (1) the size of phyllosilicates, (2) abundance of magnetite, and (3) replacement of Fe-Ni sulfides increase. Carbonates are only abundant in the most altered CR chondrite, GRO 95577. Nanophase Fe-Ni metal and tochilinite are present small abundances in most CR matrices. Based on the presence, abundance and size of phyllosilicates with respect to amorphous Fe-Mg silicates, the sub-micron features of CR chondrites have been linked to existing classification sequences, and possible reasons for inconsistencies among classification schemes are discussed. (C) 2016 Elsevier Ltd. All rights reserved.</t>
  </si>
  <si>
    <t>[Abreu, Neyda M.] Penn State Univ, Earth Sci Program, Du Bois Campus, Du Bois, PA 15801 USA</t>
  </si>
  <si>
    <t>Pennsylvania Commonwealth System of Higher Education (PCSHE); Pennsylvania State University</t>
  </si>
  <si>
    <t>Abreu, NM (corresponding author), Penn State Univ, Earth Sci Program, Du Bois Campus, Du Bois, PA 15801 USA.</t>
  </si>
  <si>
    <t>abreu@psu.edu</t>
  </si>
  <si>
    <t>[NNX11AH10G]</t>
  </si>
  <si>
    <t>Funded by NNX11AH10G grant to NMA. Scanning electron microscopy and TEM conducted at the MRI- Penn State. EMPA was conducted at Penn State and Yale University. Dr. Christopher Herd (AE), Dr. Michael Zolensky, Dr. Sarah Russell, and an anonymous reviewer are thanked for their thorough and thoughtful comments, which significantly improved the quality of this manuscript. Thanks for electron microscopy and FIB technical assistance to Mr. J. Maier, Dr. T. Clark, Dr. K. Wang, and Dr. K. Crispin at Penn State and Dr. J. Eckert at Yale University. Dr. L. Keller, Dr. C. Alexander, and Dr. K. Howard are thanked for many enlightening conversations. Samples provided by the Johnson Space Center Antarctic Meteorite Collection. Special thanks to C. Satterwhite, K. Righter, and MWG members.</t>
  </si>
  <si>
    <t>10.1016/j.gca.2016.08.031</t>
  </si>
  <si>
    <t>WOS:000385509800006</t>
  </si>
  <si>
    <t>Barrat, JA; Jambon, A; Yamaguchi, A; Bischoff, A; Rouget, ML; Liorzou, C</t>
  </si>
  <si>
    <t>Barrat, Jean-Alix; Jambon, Albert; Yamaguchi, Akira; Bischoff, Addi; Rouget, Marie-Laure; Liorzou, Celine</t>
  </si>
  <si>
    <t>Partial melting of a C-rich asteroid: Lithophile trace elements in ureilites</t>
  </si>
  <si>
    <t>Trace elements; Achondrite; Ureilite; Partial melting</t>
  </si>
  <si>
    <t>EARLY SOLAR-SYSTEM; PRESSURE-TEMPERATURE RELATIONSHIPS; RARE-EARTH ELEMENTS; PARENT BODY; MAGNETIC-SUSCEPTIBILITY; ANTARCTIC UREILITES; OXYGEN FUGACITY; CHONDRITES; METEORITES; PETROGENESIS</t>
  </si>
  <si>
    <t>Ureilites are among the most common achondrites and are widely believed to sample the mantle of a single, now-disrupted, C-rich body. We analyzed 17 ureilite samples, mostly Antarctic finds, and determined their incompatible trace element abundances. In order to remove or reduce the terrestrial contamination, which is marked among Antarctic ureilites by light-REE enrichment, we leached the powdered samples with nitric acid. The residues display consistent abundances, which strongly resemble those of the pristine rocks. All the analyzed samples display light-REE depletions, negative Eu anomalies, low (Sr/Eu*)(n), and (Zr/Eu*)(n) ratios which are correlated. Two groups of ureilites (groups A and B) are defined. Compared to group A, group B ureilites, which are the less numerous, tend to be richer in heavy REEs, more light-REE depleted, and display among the deepest Eu anomalies. In addition, olivine cores in group B ureilites tend to be more forsteritic (Mg# = 81.9-95.2) than in group A ureilites (Mg# = 74.7-86.1). Incompatible trace element systematics supports the view that ureilites are mantle restites. REE modeling suggests that their precursors were rather REE-rich (ca. 1.8-2 x CI) and contained a phosphate phase, possibly merrillite. The REE abundances in ureilites can be explained if at least two distinct types of magmas were removed successively from their precursors: aluminous and alkali-rich melts as exemplified by the Almahata Sitta trachyandesite (ALM-A), and Al and alkali-poor melts produced after the exhaustion of plagioclase from the source. Partial melting was near fractional (group B ureilites, which are probably among the least residual samples) to dynamic with melt porosities that did not exceed a couple of percent (group A ureilites). The ureilite parent body (UPB) was almost certainly covered by a crust formed chiefly from the extrusion products of the aluminous and alkali-rich magmas. It is currently uncertain whether the Al and alkali-poor melts produced during the second phase of melting reached the surface of the body. The fact that initial silicate melting of ureilitic precursors would have produced relatively low density liquids capable of forming an external crust to the UPB casts doubt on models that invoke chondritic outer layers to achondritic asteroids. (C) 2016 Elsevier Ltd. All rights reserved.</t>
  </si>
  <si>
    <t>[Barrat, Jean-Alix; Liorzou, Celine] Univ Bretagne Occidentale, Inst Univ Europeen Mer, CNRS UMR 6538, Pl Nicolas Copernic, F-29280 Plouzane, France; [Jambon, Albert] Univ Paris 06, Sorbonne Univ, UMR 7193, Inst Sci Terre Paris iSTeP, F-75005 Paris, France; [Yamaguchi, Akira] Natl Inst Polar Res, Tachikawa, Tokyo 1908518, Japan; [Yamaguchi, Akira] Grad Univ Adv Sci, Sch Multidisciplinary Sci, Dept Polar Sci, Tachikawa, Tokyo 1908518, Japan; [Bischoff, Addi] Univ Munster, Inst Planetol, D-48149 Munster, Germany; [Rouget, Marie-Laure] Univ Bretagne Occidentale, Inst Univ Europeen Mer, CNRS UMS 3113, Pl Nicolas Copernic, F-29280 Plouzane, France</t>
  </si>
  <si>
    <t>Universite de Bretagne Occidentale; Institut Universitaire Europeen de la Mer (IUEM); Centre National de la Recherche Scientifique (CNRS); CNRS - National Institute for Earth Sciences &amp; Astronomy (INSU); Centre National de la Recherche Scientifique (CNRS); CNRS - National Institute for Earth Sciences &amp; Astronomy (INSU); Sorbonne Universite; Research Organization of Information &amp; Systems (ROIS); National Institute of Polar Research (NIPR) - Japan; University of Munster; Universite de Bretagne Occidentale; Institut Universitaire Europeen de la Mer (IUEM); Centre National de la Recherche Scientifique (CNRS); CNRS - National Institute for Earth Sciences &amp; Astronomy (INSU)</t>
  </si>
  <si>
    <t>Barrat, JA (corresponding author), Univ Bretagne Occidentale, Inst Univ Europeen Mer, CNRS UMR 6538, Pl Nicolas Copernic, F-29280 Plouzane, France.</t>
  </si>
  <si>
    <t>barrat@univ-brest.fr</t>
  </si>
  <si>
    <t>Rouget, Marie-Laure/AAA-4464-2021; Barrat, Jean Alix/C-8416-2017</t>
  </si>
  <si>
    <t>Barrat, Jean Alix/0000-0003-3158-3109</t>
  </si>
  <si>
    <t>NSF; NASA; Programme National de Planetologie (CNRS-INSU)</t>
  </si>
  <si>
    <t>NSF(National Science Foundation (NSF)); NASA(National Aeronautics &amp; Space Administration (NASA)); Programme National de Planetologie (CNRS-INSU)(Centre National de la Recherche Scientifique (CNRS))</t>
  </si>
  <si>
    <t>The ureilites from Antarctica were kindly provided by the Meteorite Working Group (NASA) and the National Institute of Polar Research, Tokyo.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A dozen Saharan ureilites were generously provided by Bruno and Carine Fectay and Peter Marmet but the analyses were not integrated to this work because of their too-strong hot-desert flavors. The support of and discussions with Richard Greenwood are greatly acknowledged. We thank Christian Koeberl for the editorial handling, Hilary Downes and an anonymous reviewer for constructive comments, and Pascale Barrat for her help. This work was funded by grants from the Programme National de Planetologie (CNRS-INSU) to the first author. JAB dedicates this work to the memory of Guy Barrat, his father, who died in the spring of 2016.</t>
  </si>
  <si>
    <t>10.1016/j.gca.2016.08.042</t>
  </si>
  <si>
    <t>WOS:000385509800010</t>
  </si>
  <si>
    <t>Richard, G; Cox, SL; Picard, B; Vacquié-Garcia, J; Guinet, C</t>
  </si>
  <si>
    <t>Richard, Gaetan; Cox, Samantha L.; Picard, Baptiste; Vacquie-Garcia, Jade; Guinet, Christophe</t>
  </si>
  <si>
    <t>Southern Elephant Seals Replenish Their Lipid Reserves at Different Rates According to Foraging Habitat</t>
  </si>
  <si>
    <t>ANTARCTIC CIRCUMPOLAR CURRENT; ACCELERATION DATA LOGGERS; MIROUNGA-LEONINA; ENERGY-EXPENDITURE; STROKING PATTERNS; STABLE-ISOTOPES; MARINE PREDATOR; BODY CONDITION; OCEAN; BEHAVIOR</t>
  </si>
  <si>
    <t>Assessing energy gain and expenditure in free ranging marine predators is difficult. However, such measurements are critical if we are to understand how variation in foraging efficiency, and in turn individual body condition, is impacted by environmentally driven changes in prey abundance and/or accessibility. To investigate the influence of oceanographic habitat type on foraging efficiency, ten post-breeding female southern elephant seals Mirounga leonina (SES) were equipped and tracked with bio-loggers to give continuous information of prey catch attempts, body density and body activity. Variations in these indices of foraging efficiency were then compared between three different oceanographic habitats, delineated by the main frontal structures of the Southern Ocean. Results show that changes in body density are related not only to the number of previous prey catch attempts and to the body activity (at a 6 day lag), but also foraging habitat type. For example, despite a lower daily prey catch attempt rate, SESs foraging north of the sub-Antarctic front improve their body density at a higher rate than individuals foraging south of the sub-Antarctic and polar fronts, suggesting that they may forage on easier to catch and/or more energetically rich prey in this area. Our study highlights a need to understand the influence of habitat type on top predator foraging behaviour and efficiency when attempting a better comprehension of marine ecosystems.</t>
  </si>
  <si>
    <t>[Richard, Gaetan; Cox, Samantha L.; Picard, Baptiste; Vacquie-Garcia, Jade; Guinet, Christophe] CEBC CNRS, Villiers En Bois, France</t>
  </si>
  <si>
    <t>Centre National de la Recherche Scientifique (CNRS)</t>
  </si>
  <si>
    <t>Richard, G; Guinet, C (corresponding author), CEBC CNRS, Villiers En Bois, France.</t>
  </si>
  <si>
    <t>gaetan-gs.richard@laposte.net; christophe.guinet@cebc.cnrs.fr</t>
  </si>
  <si>
    <t>Cox, S L/ABD-5059-2021; Cox, S L/AEX-9613-2022; Guinet, Christophe/AAR-8457-2020</t>
  </si>
  <si>
    <t>Cox, S L/0000-0002-5409-4458; Cox, S L/0000-0002-5409-4458; Richard, Gaetan/0000-0003-3709-2909; Baptiste, Picard/0000-0001-9565-9446; VACQUIE GARCIA, Jade/0000-0002-3126-3423</t>
  </si>
  <si>
    <t>IPEV program [109]; Total Foundation</t>
  </si>
  <si>
    <t>IPEV program; Total Foundation(Total SA)</t>
  </si>
  <si>
    <t>This study is part of Institut Paul Emile Victor; IPEV program no. 109 led by H. Weimerskirch and the national observatory Mammiferes Explorateurs du Milieu Oceanique, MEMO SOERE CTD 02. This work was carried out in the framework of the ANR Blanc MYCTO-3D-MAP and ANR VMC 07: IPSOS-SEAL programs and CNES-TOSCA program (Elephants de mer oceanographes'). The funder, Total Foundation, had no role in study design, data collection and analysis, decision to publish, or preparation of the manuscript.; The authors thank all the Kerguelen fieldworkers involved in data collection. We are also grateful to Dr. Martin Biuw and two anonymous reviewers for their insightful comments. This study is part of the Institut Paul Emile Victor; IPEV program no. 109 led by H. Weimerskirch and the national observatory Mammiferes Explorateurs du Milieu Oceanique, MEMO SOERE CTD 02). This work was carried out in the framework of the ANR Blanc MYCTO-3D-MAP and ANR VMC 07: IPSOS-SEAL programs and CNES-TOSCA program ('Elephants de mer oceanographes'). The authors wish to additionally thank the Total Foundation for financial support.</t>
  </si>
  <si>
    <t>NOV 30</t>
  </si>
  <si>
    <t>e0166747</t>
  </si>
  <si>
    <t>10.1371/journal.pone.0166747</t>
  </si>
  <si>
    <t>EE3FV</t>
  </si>
  <si>
    <t>WOS:000389474100037</t>
  </si>
  <si>
    <t>Kleinen, T; Brovkin, V; Munhoven, G</t>
  </si>
  <si>
    <t>Kleinen, Thomas; Brovkin, Victor; Munhoven, Guy</t>
  </si>
  <si>
    <t>Modelled interglacial carbon cycle dynamics during the Holocene, the Eemian and Marine Isotope Stage (MIS) 11</t>
  </si>
  <si>
    <t>ATMOSPHERIC CO2; SEA-LEVEL; INTERMEDIATE COMPLEXITY; GLACIAL MAXIMUM; ANTARCTIC ICE; SYSTEM MODEL; TAYLOR-DOME; PART II; CLIMATE; VARIABILITY</t>
  </si>
  <si>
    <t>Trends in the atmospheric concentration of CO2 during three recent interglacials - the Holocene, the Eemian and Marine Isotope Stage (MIS) 11 - are investigated using an earth system model of intermediate complexity, which we extended with process-based modules to consider two slow carbon cycle processes - peat accumulation and shallow-water CaCO3 sedimentation (coral reef formation). For all three interglacials, model simulations considering peat accumulation and shallow-water CaCO3 sedimentation substantially improve the agreement between model results and ice core CO2 reconstructions in comparison to a carbon cycle set-up neglecting these processes. This enables us to model the trends in atmospheric CO2, with modelled trends similar to the ice core data, forcing the model only with orbital and sea level changes. During the Holocene, anthropogenic CO2 emissions are required to match the observed rise in atmospheric CO2 after 3 ka BP but are not relevant before this time. Our model experiments show a considerable improvement in the modelled CO2 trends by the inclusion of the slow carbon cycle processes, allowing us to explain the CO2 evolution during the Holocene and two recent interglacials consistently using an identical model set-up.</t>
  </si>
  <si>
    <t>[Kleinen, Thomas; Brovkin, Victor] Max Planck Inst Meteorol, Bundesstr 53, D-20146 Hamburg, Germany; [Munhoven, Guy] Univ Liege, Inst Astrophys &amp; Geophys, LPAP, Liege, Belgium</t>
  </si>
  <si>
    <t>Max Planck Society; University of Liege</t>
  </si>
  <si>
    <t>Kleinen, T (corresponding author), Max Planck Inst Meteorol, Bundesstr 53, D-20146 Hamburg, Germany.</t>
  </si>
  <si>
    <t>thomas.kleinen@mpimet.mpg.de</t>
  </si>
  <si>
    <t>Brovkin, Victor/C-2803-2016; Kleinen, Thomas/G-5666-2018</t>
  </si>
  <si>
    <t>Brovkin, Victor/0000-0001-6420-3198; Kleinen, Thomas/0000-0001-9550-5164</t>
  </si>
  <si>
    <t>DFG (Deutsche Forschungsgemeinschaft) priority research program INTERDYNAMIK</t>
  </si>
  <si>
    <t>DFG (Deutsche Forschungsgemeinschaft) priority research program INTERDYNAMIK(German Research Foundation (DFG))</t>
  </si>
  <si>
    <t>Thomas Kleinen acknowledges support through the DFG (Deutsche Forschungsgemeinschaft) priority research program INTERDYNAMIK. Guy Munhoven is a Research Associate with the Belgian Fonds de la Recherche Scientifique - FNRS. We thank Andrey Ganopolski for providing the sea level forcing and Katharina Six for providing valuable comments on an earlier version of this paper. We also thank Dallas Murphy and Jochem Marotzke, as well as the participants of the scientific writing workshop at the MPI for Meteorology, whose comments on style led to substantial improvements of the present text. We finally thank two anonymous reviewers for their constructive input.</t>
  </si>
  <si>
    <t>NOV 29</t>
  </si>
  <si>
    <t>10.5194/cp-12-2145-2016</t>
  </si>
  <si>
    <t>EF2GL</t>
  </si>
  <si>
    <t>WOS:000390142700001</t>
  </si>
  <si>
    <t>Krumhansl, KA; Okamoto, DK; Rassweiler, A; Novak, M; Bolton, JJ; Cavanaugh, KC; Connell, SD; Johnson, CR; Konar, B; Ling, SD; Micheli, F; Norderhaug, KM; Pérez-Matus, A; Sousa-Pintol, I; Reed, DC; Salomon, AK; Shears, NT; Wernberg, T; Anderson, RJ; Barrett, NS; Buschmanns, AH; Carr, MH; Caselle, JE; Derrien-Courtel, S; Edgar, GJ; Edwards, M; Estes, JA; Goodwin, C; Kenner, MC; Kushner, DJ; Moy, FE; Nunn, J; Stenecka, RS; Vsquezb, J; Watsonc, J; Witmand, JD; Byrnese, JEK</t>
  </si>
  <si>
    <t>Krumhansl, Kira A.; Okamoto, Daniel K.; Rassweiler, Andrew; Novak, Mark; Bolton, John J.; Cavanaugh, Kyle C.; Connell, Sean D.; Johnson, Craig R.; Konar, Brenda; Ling, Scott D.; Micheli, Fiorenza; Norderhaug, Kjell M.; Perez-Matus, Alejandro; Sousa-Pintol, Isabel; Reed, Daniel C.; Salomon, Anne K.; Shears, Nick T.; Wernberg, Thomas; Anderson, Robert J.; Barrett, Nevell S.; Buschmanns, Alejandro H.; Carr, Mark H.; Caselle, Jennifer E.; Derrien-Courtel, Sandrine; Edgar, Graham J.; Edwards, Matt; Estes, James A.; Goodwin, Claire; Kenner, Michael C.; Kushner, David J.; Moy, Frithjof E.; Nunn, Julia; Stenecka, Robert S.; Vsquezb, Julio; Watsonc, Jane; Witmand, Jon D.; Byrnese, Jarrett E. K.</t>
  </si>
  <si>
    <t>Global patterns of kelp forest change over the past half-century</t>
  </si>
  <si>
    <t>kelp forest; Laminariales; global change; climate change; coastal ecosystems</t>
  </si>
  <si>
    <t>ECONOMIC VALUATION; ECOSYSTEM SERVICES; CLIMATE-CHANGE; PHASE-SHIFTS; WEST-COAST; RESILIENCE; STABILITY; COMMUNITIES; DISTURBANCE; STRESSORS</t>
  </si>
  <si>
    <t>Kelp forests (Order Laminariales) form key biogenic habitats in coastal regions of temperate and Arctic seas worldwide, providing ecosystem services valued in the range of billions of dollars annually. Although local evidence suggests that kelp forests are increasingly threatened by a variety of stressors, no comprehensive global analysis of change in kelp abundances currently exists. Here, we build and analyze a global database of kelp time series spanning the past half-century to assess regional and global trends in kelp abundances. We detected a high degree of geographic variation in trends, with regional variability in the direction and magnitude of change far exceeding a small global average decline (instantaneous rate of change = -0.018 y(-1)). Our analysis identified declines in 38% of ecoregions for which there are data (-0.015 to -0.18 y(-1)), increases in 27% of ecoregions (0.015 to 0.11 y(-1)), and no detectable change in 35% of ecoregions. These spatially variable trajectories reflected regional differences in the drivers of change, uncertainty in some regions owing to poor spatial and temporal data coverage, and the dynamic nature of kelp populations. We conclude that although global drivers could be affecting kelp forests at multiple scales, local stressors and regional variation in the effects of these drivers dominate kelp dynamics, in contrast to many other marine and terrestrial foundation species.</t>
  </si>
  <si>
    <t>[Krumhansl, Kira A.; Okamoto, Daniel K.; Salomon, Anne K.] Simon Fraser Univ, Hakai Inst, Sch Resource &amp; Environm Management, Burnaby, BC V5A 1S6, Canada; [Rassweiler, Andrew] Florida State Univ, Dept Biol Sci, B-157, Tallahassee, FL 32306 USA; [Novak, Mark] Oregon State Univ, Dept Integrat Biol, Corvallis, OR 97331 USA; [Bolton, John J.] Univ Cape Town, Dept Biol Sci, ZA-7701 Rondebosch, South Africa; [Bolton, John J.] Univ Cape Town, Marine Res Inst, ZA-7701 Rondebosch, South Africa; [Cavanaugh, Kyle C.] Univ Calif Los Angeles, Dept Geog, Los Angeles, CA 90095 USA; [Connell, Sean D.] Univ Adelaide, Inst Environm, Southern Seas Ecol Labs, Adelaide, SA 5005, Australia; [Johnson, Craig R.; Ling, Scott D.; Barrett, Nevell S.; Edgar, Graham J.] Univ Tasmania, Inst Marine &amp; Antarctic Studies, Hobart, Tas 7001, Australia; [Konar, Brenda] Univ Alaska, Coll Fisheries &amp; Ocean Sci, Fairbanks, AK 99775 USA; [Micheli, Fiorenza] Stanford Univ, Hopkins Marine Stn, Pacific Grove, CA 93950 USA; [Norderhaug, Kjell M.] Norwegian Inst Water Res, N-0349 Oslo, Norway; [Perez-Matus, Alejandro] Pontificia Univ Catolica Chile, Fac Ciencias Biol, Subtidal Ecol Lab, Estn Costera Invest Marinas, Santiago, Chile; [Perez-Matus, Alejandro] Pontificia Univ Catolica Chile, Fac Ciencias Biol, Marine Conservat Ctr, Estn Costera Invest Marinas, Santiago, Chile; [Sousa-Pintol, Isabel] Interdisciplinary Ctr Marine &amp; Environm Res, P-4450208 Matosinhos, Portugal; [Sousa-Pintol, Isabel] Univ Porto, Dept Biol, Fac Sci, P-4169007 Porto, Portugal; [Reed, Daniel C.; Caselle, Jennifer E.] Univ Calif Santa Barbara, Marine Sci Inst, Santa Barbara, CA 93106 USA; [Shears, Nick T.] Univ Auckland, Inst Marine Sci, Leigh Marine Lab, Auckland 0941, New Zealand; [Wernberg, Thomas] Univ Western Australia, Oceans Inst, Perth, WA 6009, Australia; [Wernberg, Thomas] Univ Western Australia, Sch Biol Sci, Perth, WA 6009, Australia; [Anderson, Robert J.] Dept Agr Forestry &amp; Fisheries, ZA-8012 Cape Town, South Africa; [Buschmanns, Alejandro H.] Univ Los Lagos, Ctr Invest &amp; Desarrollo Recursos &amp; Ambientes Cost, PuertoMontt 5480000, Chile; [Buschmanns, Alejandro H.] Univ Los Lagos, Ctr Biotecnol &amp; Bioingn, PuertoMontt 5480000, Chile; [Carr, Mark H.; Estes, James A.; Kenner, Michael C.] Univ Calif Santa Cruz, Dept Ecol &amp; Evolutionary Biol, Santa Cruz, CA 95064 USA; [Derrien-Courtel, Sandrine] Museum Natl Hist Nat, Stn Marine Concarneau, F-29182 Concarneau, France; [Edwards, Matt] San Diego State Univ, Dept Biol, San Diego, CA 92182 USA; [Goodwin, Claire; Nunn, Julia] Natl Museums Northern Ireland, Ctr Environm Data &amp; Recording, Holywood BT18 0EU, Co Down, England; [Kushner, David J.] Channel Isl Natl Pk, Ventura, CA 93009 USA; [Moy, Frithjof E.] Inst Marine Res, N-4817 His, Norway; [Stenecka, Robert S.] Univ Maine, Sch Marine Sci, Walpole, ME 04573 USA; [Vsquezb, Julio] Univ Catolica Norte, Dept Biol Marina, Coquimbo 1781421, Chile; [Watsonc, Jane] Vancouver Isl Univ, Biol Dept, Nanaimo, BC V9R 5S5, Canada; [Witmand, Jon D.] Brown Univ, Ecol &amp; Evolutionary Biol, Providence, RI 02912 USA; [Byrnese, Jarrett E. K.] Univ Massachusetts, Dept Biol, Boston, MA 02125 USA</t>
  </si>
  <si>
    <t>Simon Fraser University; Hakai Institute; State University System of Florida; Florida State University; Oregon State University; University of Cape Town; University of Cape Town; University of California System; University of California Los Angeles; University of Adelaide; University of Tasmania; University of Alaska System; University of Alaska Fairbanks; Stanford University; Norwegian Institute for Water Research (NIVA); Pontificia Universidad Catolica de Chile; Pontificia Universidad Catolica de Chile; Universidade do Porto; Universidade do Porto; University of California System; University of California Santa Barbara; University of Auckland; University of Western Australia; University of Western Australia; Universidad de Los Lagos; Universidad de Los Lagos; University of California System; University of California Santa Cruz; Museum National d'Histoire Naturelle (MNHN); California State University System; San Diego State University; Institute of Marine Research - Norway; University of Maine System; University of Maine Orono; Universidad Catolica del Norte; Vancouver Island University; Brown University; University of Massachusetts System; University of Massachusetts Boston</t>
  </si>
  <si>
    <t>Krumhansl, KA (corresponding author), Simon Fraser Univ, Hakai Inst, Sch Resource &amp; Environm Management, Burnaby, BC V5A 1S6, Canada.</t>
  </si>
  <si>
    <t>kkrumhan@sfu.ca</t>
  </si>
  <si>
    <t>Novak, Mark/E-2194-2012; Pérez-Matus, Alejandro/F-5019-2014; Wernberg, Thomas/B-4172-2010; Pinto, Isabel Sousa/W-1591-2019; Johnson, Craig R/E-1788-2013; Edgar, Graham/AAY-3797-2020; Buschmann, Alejandro H./B-4770-2012; Barrett, Neville/J-7593-2014; Connell, Sean/A-8874-2008; Ling, Scott/J-7161-2014</t>
  </si>
  <si>
    <t>Novak, Mark/0000-0002-7881-4253; Pérez-Matus, Alejandro/0000-0001-9591-6721; Wernberg, Thomas/0000-0003-1185-9745; Pinto, Isabel Sousa/0000-0002-9231-0553; Edgar, Graham/0000-0003-0833-9001; Buschmann, Alejandro H./0000-0003-3246-681X; Bolton, John/0000-0003-0589-9564; Norderhaug, Kjell Magnus/0000-0001-6374-4275; Barrett, Neville/0000-0002-6167-1356; Rassweiler, Andrew/0000-0002-8760-3888; Connell, Sean/0000-0002-5350-6852; Micheli, Fiorenza/0000-0002-6865-1438; Okamoto, Daniel/0000-0001-8988-4567; Goodwin, Claire/0000-0002-2428-1340; Ling, Scott/0000-0002-5544-8174; Kenner, Michael/0000-0003-4659-461X</t>
  </si>
  <si>
    <t>National Center for Ecological Analysis and Synthesis - National Science Foundation [DEB-00-72909]; University of California, Santa Barbara; State of California; Massachusetts Institute of Technology SeaGrant [2015-R/RCM-39]; Natural Sciences and Engineering Research Council of Canada; Norwegian Institute for Water Research; Institute of Marine Research in Norway; Directorate For Geosciences [1538582, 1232779] Funding Source: National Science Foundation; Division Of Environmental Biology; Direct For Biological Sciences [1212124] Funding Source: National Science Foundation; Division Of Ocean Sciences [1232779, 1538582] Funding Source: National Science Foundation</t>
  </si>
  <si>
    <t>National Center for Ecological Analysis and Synthesis - National Science Foundation(National Science Foundation (NSF)); University of California, Santa Barbara(University of California System); State of California; Massachusetts Institute of Technology SeaGrant; Natural Sciences and Engineering Research Council of Canada(Natural Sciences and Engineering Research Council of Canada (NSERC)CGIAR); Norwegian Institute for Water Research; Institute of Marine Research in Norway; Directorate For Geosciences(National Science Foundation (NSF)NSF - Directorate for Geosciences (GEO)); Division Of Environmental Biology; Direct For Biological Sciences(National Science Foundation (NSF)NSF - Directorate for Biological Sciences (BIO)); Division Of Ocean Sciences(National Science Foundation (NSF)NSF - Directorate for Geosciences (GEO))</t>
  </si>
  <si>
    <t>We thank Robert Scheibling for comments on a previous draft of this manuscript and Paul Geoghegan and A. Le Gal for contributions to the dataset. This research was conducted as part of the Kelp and Climate Change Working Group supported by the National Center for Ecological Analysis and Synthesis, a center funded by National Science Foundation (Grant DEB-00-72909); the University of California, Santa Barbara; and the State of California. This work was also supported by Massachusetts Institute of Technology SeaGrant 2015-R/RCM-39 (to J.E.K.B.), a Natural Sciences and Engineering Research Council of Canada Discovery Grant (to A.K.S.), the Norwegian Institute for Water Research, and the Institute of Marine Research in Norway.</t>
  </si>
  <si>
    <t>1091-6490</t>
  </si>
  <si>
    <t>10.1073/pnas.1606102113</t>
  </si>
  <si>
    <t>ED4QR</t>
  </si>
  <si>
    <t>WOS:000388835700073</t>
  </si>
  <si>
    <t>Harzhauser, M; Daxner-Höck, G; López-Guerrero, P; Maridet, O; Oliver, A; Piller, WE; Richoz, S; Erbajeva, MA; Neubauer, TA; Göhlich, UB</t>
  </si>
  <si>
    <t>Harzhauser, Mathias; Daxner-Hoeck, Gudrun; Lopez-Guerrero, Paloma; Maridet, Olivier; Oliver, Adriana; Piller, Werner E.; Richoz, Sylvain; Erbajeva, Margarita A.; Neubauer, Thomas A.; Goehlich, Ursula B.</t>
  </si>
  <si>
    <t>Stepwise onset of the Icehouse world and its impact on Oligo-Miocene Central Asian mammals</t>
  </si>
  <si>
    <t>EOCENE-OLIGOCENE TRANSITION; ANTARCTIC ICE-SHEET; EARLY MIOCENE; CLIMATE; ARIDIFICATION; RODENTIA; EVOLUTIONARY; RECORDS; VALLEY; UPLIFT</t>
  </si>
  <si>
    <t>Central Asia is a key area to study the impact of Cenozoic climate cooling on continental ecosystems. One of the best places to search for rather continuous paleontological records is the Valley of Lakes in Mongolia with its outstandingly fossil-rich Oligocene and Miocene terrestrial sediments. Here, we investigate the response by mammal communities during the early stage of Earth's icehouse climate in Central Asia. Based on statistical analyses of occurrence and abundance data of 18608 specimens representing 175 mammal species and geochemical (carbon isotopes) and geophysical (magnetic susceptibility) data we link shifts in diversities with major climatic variations. Our data document for the first time that the post-Eocene aridification of Central Asia happened in several steps, was interrupted by short episodes of increased precipitation, and was not a gradual process. We show that the timing of the major turnovers in Oligocene mammal communities is tightly linked with global climate events rather than slow tectonics processes. The most severe decline of up 48% of total diversity is related to aridification during the maximum of the Late Oligocene Warming at 25 Ma. Its magnitude was distinctly larger than the community turnover linked to the mid-Oligocene Glacial Maximum.</t>
  </si>
  <si>
    <t>[Harzhauser, Mathias; Daxner-Hoeck, Gudrun; Lopez-Guerrero, Paloma; Oliver, Adriana; Neubauer, Thomas A.; Goehlich, Ursula B.] Nat Hist Museum Vienna, Burgring 7, A-1010 Vienna, Austria; [Lopez-Guerrero, Paloma] Univ Complutense Madrid, Fac Ciencias Geol, Dept Paleontol, C Jose Antonio Novais 2, Madrid 28040, Spain; [Maridet, Olivier] Jurass Museum, Fontenais 21, CH-2900 Porrentruy, Switzerland; [Maridet, Olivier] Univ Fribourg, Dept Geosci, Earth Sci, Chemin Musee 6, CH-1700 Fribourg, Switzerland; [Oliver, Adriana] CSIC, Museo Nacl Ciencias Nat, Paleobiol Dept, C Jose Gutierrez Abascal 2, Madrid 28006, Spain; [Piller, Werner E.; Richoz, Sylvain] Graz Univ, Inst Earth Sci, Heinrichstr 26, A-8010 Graz, Austria; [Erbajeva, Margarita A.] Russian Acad Sci Ulan Ude, Inst Geol, Siberian Branch, Sahianova Str 6a, Ulan Ude 670047, Russia</t>
  </si>
  <si>
    <t>Complutense University of Madrid; University of Fribourg; Consejo Superior de Investigaciones Cientificas (CSIC); CSIC - Museo Nacional de Ciencias Naturales (MNCN); University of Graz; Russian Academy of Sciences; Institute of Geology, Siberian Branch of the RAS</t>
  </si>
  <si>
    <t>Harzhauser, M (corresponding author), Nat Hist Museum Vienna, Burgring 7, A-1010 Vienna, Austria.</t>
  </si>
  <si>
    <t>mathias.harzhauser@nhm-wien.ac.at</t>
  </si>
  <si>
    <t>Erbajeva, Margarita/J-6624-2018; Maridet, Olivier/H-5313-2019; Erbajeva, Margarita/JCE-0283-2023; Neubauer, Thomas A./I-1889-2019; Richoz, Sylvain/D-4079-2009; Oliver, Adriana/L-8346-2016</t>
  </si>
  <si>
    <t>Erbajeva, Margarita/0000-0001-6408-1987; Maridet, Olivier/0000-0002-0956-0712; Neubauer, Thomas A./0000-0002-1398-9941; Harzhauser, Mathias/0000-0002-4471-6655; Lopez-Guerrero, Paloma/0000-0002-6017-0656; Gohlich, Ursula/0000-0002-9553-3488; Richoz, Sylvain/0000-0001-5424-3540; Oliver, Adriana/0000-0002-2583-8294</t>
  </si>
  <si>
    <t>Austrian Science Fund (FWF) [P-10505-GEO, P-15724-N06, P-23061-N19, FWF-M1375-B17]</t>
  </si>
  <si>
    <t>Austrian Science Fund (FWF)(Austrian Science Fund (FWF))</t>
  </si>
  <si>
    <t>This work was supported by the Austrian Science Fund (FWF) under the grants P-10505-GEO, P-15724-N06, P-23061-N19 and Lise Meitner Fellowship FWF-M1375-B17. Special thanks go to the Mongolian project partners R. Barsbold and Yo. Khand from the Institute of Paleontology and Geology of the Mongolian Academy of Sciences in Ulaan Baatar for manifold support. We also acknowledge the contributions of all Mongolian and European members of our field-team, specifically of B. Bayarmaa, Yo. Radnaa and several nomad families living in the study area. Raul Quezada is acknowledged for technical help during isotope measurements and A. Baldermann is thanked for discussions on geochemical interpretations. We thank Jeremy Caves (Stanford University) for his comments and valuable suggestions.</t>
  </si>
  <si>
    <t>10.1038/srep36169</t>
  </si>
  <si>
    <t>ED6YE</t>
  </si>
  <si>
    <t>WOS:000389002100001</t>
  </si>
  <si>
    <t>Ellis, A; Edwards, R; Saunders, M; Chakrabarty, RK; Subramanian, R; Timms, NE; van Riessen, A; Smith, AM; Lambrinidis, D; Nunes, LJ; Vallelonga, P; Goodwin, ID; Moy, AD; Curran, MAJ; van Ommen, TD</t>
  </si>
  <si>
    <t>Ellis, Aja; Edwards, Ross; Saunders, Martin; Chakrabarty, Rajan K.; Subramanian, R.; Timms, Nicholas E.; van Riessen, Arie; Smith, Andrew M.; Lambrinidis, Dionisia; Nunes, Laurie J.; Vallelonga, Paul; Goodwin, Ian D.; Moy, Andrew D.; Curran, Mark A. J.; van Ommen, Tas D.</t>
  </si>
  <si>
    <t>Individual particle morphology, coatings, and impurities of black carbon aerosols in Antarctic ice and tropical rainfall</t>
  </si>
  <si>
    <t>TRANSMISSION ELECTRON-MICROSCOPY; BROWN CARBON; LAW DOME; SOUTHERN AFRICA; SOOT; CORE; SULFATE; NUCLEI</t>
  </si>
  <si>
    <t>Black carbon (BC) aerosols are a large source of climate warming, impact atmospheric chemistry, and are implicated in large-scale changes in atmospheric circulation. Inventories of BC emissions suggest significant changes in the global BC aerosol distribution due to human activity. However, little is known regarding BC's atmospheric distribution or aged particle characteristics before the twentieth century. Here we investigate the prevalence and structural properties of BC particles in Antarctic ice cores from 1759, 1838, and 1930 Common Era (C.E.) using transmission electron microscopy and energy-dispersive X-ray spectroscopy. The study revealed an unexpected diversity in particle morphology, insoluble coatings, and association with metals. In addition to conventionally occurring BC aggregates, we observed single BC monomers, complex aggregates with internally, and externally mixed metal and mineral impurities, tar balls, and organonitrogen coatings. The results of the study show BC particles in the remote Antarctic atmosphere exhibit complexity that is unaccounted for in atmospheric models of BC.</t>
  </si>
  <si>
    <t>[Ellis, Aja; Edwards, Ross; van Riessen, Arie; Nunes, Laurie J.] Curtin Univ, Phys &amp; Astron, Perth, WA, Australia; [Ellis, Aja; Subramanian, R.] Carnegie Mellon Univ, Dept Mech Engn, Pittsburgh, PA 15213 USA; [Saunders, Martin] Univ Western Australia, Ctr Microscopy Characterisat &amp; Anal, Perth, WA, Australia; [Chakrabarty, Rajan K.] Washington Univ, Dept Energy Environm &amp; Chem Engn, St Louis, MO USA; [Timms, Nicholas E.] Curtin Univ, Dept Appl Geol, Perth, WA, Australia; [Smith, Andrew M.] Australian Nucl Sci &amp; Technol Org, Sydney, NSW, Australia; [Lambrinidis, Dionisia] Charles Darwin Univ, Res Inst Environm &amp; Livelihoods, Darwin, NT, Australia; [Vallelonga, Paul] Univ Copenhagen, Niels Bohr Inst, Ctr Ice &amp; Climate, Copenhagen, Denmark; [Goodwin, Ian D.] Macquarie Univ, Dept Environm Sci, Marine Climate Risk Grp, Sydney, NSW, Australia; [Moy, Andrew D.; Curran, Mark A. J.; van Ommen, Tas D.] Australian Antarctic Div, Kingston, Tas, Australia; [Moy, Andrew D.; Curran, Mark A. J.; van Ommen, Tas D.] Univ Tasmania, Antarctic Climate &amp; Ecosyst Cooperat Res Ctr, Hobart, Tas, Australia</t>
  </si>
  <si>
    <t>Curtin University; Carnegie Mellon University; University of Western Australia; Washington University (WUSTL); Curtin University; Australian Nuclear Science &amp; Technology Organisation; Charles Darwin University; University of Copenhagen; Niels Bohr Institute; Macquarie University; Australian Antarctic Division; University of Tasmania; Antarctic Climate &amp; Ecosystems Cooperative Research Centre (ACE CRC)</t>
  </si>
  <si>
    <t>Edwards, R (corresponding author), Curtin Univ, Phys &amp; Astron, Perth, WA, Australia.</t>
  </si>
  <si>
    <t>r.edwards@curtin.edu.au</t>
  </si>
  <si>
    <t>Timms, Nicholas E/A-4885-2008; Vallelonga, Paul/I-9650-2016; , Andrew/HLX-8550-2023; Subramanian, R/A-4913-2013; Saunders, Martin/B-3082-2011; Edwards, Ross/B-1433-2013; van Ommen, Tas/B-5020-2012</t>
  </si>
  <si>
    <t>Saunders, Martin/0000-0001-6873-7816; Subramanian, R/0000-0002-5553-5913; Edwards, Ross/0000-0002-9233-8775; Timms, Nicholas/0000-0003-2997-4303; Goodwin, Ian/0000-0001-8682-6409; Ellis, Aja/0000-0002-4593-294X; Smith, Andrew/0000-0002-9193-2617; van Ommen, Tas/0000-0002-2463-1718</t>
  </si>
  <si>
    <t>Australian Antarctic Sciences [4144]; Curtin University [RES-SE-DAP-AW-476791]; ARC LIEF [LE130100029]; University, State, and Commonwealth Governments; Australian Research Council [LE130100029] Funding Source: Australian Research Council</t>
  </si>
  <si>
    <t>Australian Antarctic Sciences; Curtin University; ARC LIEF(Australian Research Council); University, State, and Commonwealth Governments; Australian Research Council(Australian Research Council)</t>
  </si>
  <si>
    <t>The data used will be available online at the Australian Antarctic Data Centre repository at https://data.aad.gov.au/. This work was supported by Australian Antarctic Sciences grant 4144, Curtin University grant RES-SE-DAP-AW-476791, and ARC LIEF grant LE130100029. The authors acknowledge the use of Curtin University's Microscopy and Microanalysis Facility, whose instrumentation has been partially funded by the University, State, and Commonwealth Governments. The authors acknowledge the facilities and the scientific and technical assistance of the Australian Microscopy and Microanalysis Research Facility at the Centre for Microscopy, Characterisation and Analysis, University of Western Australia, a facility funded by the University, State, and Commonwealth Governments.</t>
  </si>
  <si>
    <t>NOV 28</t>
  </si>
  <si>
    <t>10.1002/2016GL071042</t>
  </si>
  <si>
    <t>EJ4SV</t>
  </si>
  <si>
    <t>WOS:000393208100046</t>
  </si>
  <si>
    <t>Boyd, PW; Bressac, M</t>
  </si>
  <si>
    <t>Boyd, Philip W.; Bressac, Matthieu</t>
  </si>
  <si>
    <t>Developing a test-bed for robust research governance of geoengineering: the contribution of ocean iron biogeochemistry</t>
  </si>
  <si>
    <t>PHILOSOPHICAL TRANSACTIONS OF THE ROYAL SOCIETY A-MATHEMATICAL PHYSICAL AND ENGINEERING SCIENCES</t>
  </si>
  <si>
    <t>GEOTRACES; iron biogeochemistry; geoengineering; research governance</t>
  </si>
  <si>
    <t>PARTICULATE ORGANIC-CARBON; DISSOLVED IRON; PACIFIC-OCEAN; FERTILIZATION; EXPORT; CO2; SEQUESTRATION; ATLANTIC; DEEP; ACIDIFICATION</t>
  </si>
  <si>
    <t>Geoengineering to mitigate climate change has long been proposed, but remains nebulous. Exploration of the feasibility of geoengineering first requires the development of research governance to move beyond the conceptual towards scientifically designed pilot studies. Fortuitously, 12 mesoscale (approx. 1000km2) iron enrichments, funded to investigate how ocean iron biogeochemistry altered Earth's carbon cycle in the geological past, provide proxies to better understand the benefits and drawbacks of geoengineering. The utility of these iron enrichments in the geoengineering debate is enhanced by the GEOTRACES global survey. Here, we outline how GEOTRACES surveys and process studies can provide invaluable insights into geoengineering. Surveys inform key unknowns including the regional influence and magnitude of modes of iron supply, and stimulate iron biogeochemical modelling. These advances will enable quantification of interannual variability of iron supply to assess whether any future purposeful multi-year iron-fertilization meets the principle of 'additionality' (sensu Kyoto protocol). Process studies address issues including upscaling of geoengineering, and how differing iron-enrichment strategies could stimulate wide-ranging biogeochemical outcomes. In summary, the availability of databases on both mesoscale iron-enrichment studies and the GEOTRACES survey, along with modelling, policy initiatives and legislation have positioned the iron-enrichment approach as a robust multifaceted test-bed to assess proposed research into climate intervention. This article is part of the themed issue 'Biological and climatic impacts of ocean trace element chemistry'.</t>
  </si>
  <si>
    <t>[Boyd, Philip W.; Bressac, Matthieu] Univ Tasmania, Inst Marine &amp; Antarctic Studies, Hobart, Tas, Australia; [Boyd, Philip W.] Univ Tasmania, Antarctic Climate &amp; Ecosyst Collaborat Res Ctr, Hobart, Tas, Australia</t>
  </si>
  <si>
    <t>Boyd, PW (corresponding author), Univ Tasmania, Inst Marine &amp; Antarctic Studies, Hobart, Tas, Australia.;Boyd, PW (corresponding author), Univ Tasmania, Antarctic Climate &amp; Ecosyst Collaborat Res Ctr, Hobart, Tas, Australia.</t>
  </si>
  <si>
    <t>philip.boyd@utas.edu.au</t>
  </si>
  <si>
    <t>; Boyd, Philip/J-7624-2014</t>
  </si>
  <si>
    <t>Bressac, Matthieu/0000-0003-3075-3137; Boyd, Philip/0000-0001-7850-1911</t>
  </si>
  <si>
    <t>1364-503X</t>
  </si>
  <si>
    <t>1471-2962</t>
  </si>
  <si>
    <t>PHILOS T R SOC A</t>
  </si>
  <si>
    <t>Philos. Trans. R. Soc. A-Math. Phys. Eng. Sci.</t>
  </si>
  <si>
    <t>10.1098/rsta.2015.0299</t>
  </si>
  <si>
    <t>EG6FM</t>
  </si>
  <si>
    <t>WOS:000391139900013</t>
  </si>
  <si>
    <t>Donohue, KA; Tracey, KL; Watts, DR; Chidichimo, MP; Chereskin, TK</t>
  </si>
  <si>
    <t>Donohue, K. A.; Tracey, K. L.; Watts, D. R.; Chidichimo, M. P.; Chereskin, T. K.</t>
  </si>
  <si>
    <t>Mean Antarctic Circumpolar Current transport measured in Drake Passage</t>
  </si>
  <si>
    <t>VOLUME TRANSPORT; TIME-SERIES; VARIABILITY; TOPOGRAPHY; STREAM</t>
  </si>
  <si>
    <t>The Antarctic Circumpolar Current is an important component of the global climate system connecting the major ocean basins as it flows eastward around Antarctica, yet due to the paucity of data, it remains unclear how much water is transported by the current. Between 2007 and 2011 flow through Drake Passage was continuously monitored with a line of moored instrumentation with unprecedented horizontal and temporal resolution. Annual mean near-bottom currents are remarkably stable from year to year. The mean depth-independent or barotropic transport, determined from the near-bottom current meter records, was 45.6 sverdrup (Sv) with an uncertainty of 8.9 Sv. Summing the mean barotropic transport with the mean baroclinic transport relative to zero at the seafloor of 127.7 Sv gives a total transport through Drake Passage of 173.3 Sv. This new measurement is 30% larger than the canonical value often used as the benchmark for global circulation and climate models.</t>
  </si>
  <si>
    <t>[Donohue, K. A.; Tracey, K. L.; Watts, D. R.] Univ Rhode Isl, Grad Sch Oceanog, Narragansett, RI USA; [Chidichimo, M. P.] Consejo Nacl Invest Cient &amp; Tecn, Buenos Aires, DF, Argentina; [Chidichimo, M. P.] Serv Hidrog Naval, Buenos Aires, DF, Argentina; [Chidichimo, M. P.] Univ Buenos Aires, Buenos Aires, DF, Argentina; [Chereskin, T. K.] Univ Calif San Diego, Scripps Inst Oceanog, San Diego, CA 92103 USA</t>
  </si>
  <si>
    <t>University of Rhode Island; Consejo Nacional de Investigaciones Cientificas y Tecnicas (CONICET); Servicio de Hidrografia Naval; University of Buenos Aires; University of California System; University of California San Diego; Scripps Institution of Oceanography</t>
  </si>
  <si>
    <t>Donohue, KA (corresponding author), Univ Rhode Isl, Grad Sch Oceanog, Narragansett, RI USA.</t>
  </si>
  <si>
    <t>kdonohue@uri.edu</t>
  </si>
  <si>
    <t>Chidichimo, Maria Paz/0000-0002-4745-9017; Donohue, Kathleen/0000-0001-7693-3868; Chereskin, Teresa/0000-0003-1214-0978; Watts, D Randolph/0000-0002-6738-5916</t>
  </si>
  <si>
    <t>NSF Office of Polar Programs [ANT-0635437, ANT-1141802, ANT-0636493, ANT-1141922]; Directorate For Geosciences; Office of Polar Programs (OPP) [1141922, 1141802] Funding Source: National Science Foundation</t>
  </si>
  <si>
    <t>NSF Office of Polar Programs(National Science Foundation (NSF)); Directorate For Geosciences; Office of Polar Programs (OPP)(National Science Foundation (NSF)NSF - Directorate for Geosciences (GEO))</t>
  </si>
  <si>
    <t>We thank the captains and crew of the RVIB Nathaniel B. Palmer and the Antarctic Support Contractor, Raytheon Polar Services, for their support of the cDrake field operations. NSF Office of Polar Programs supported this work under grants to URI (ANT-0635437; ANT-1141802) and UCSD (ANT-0636493; ANT-1141922). The data are available through NOAA National Centers for Environmental Information, Accession0121256.</t>
  </si>
  <si>
    <t>10.1002/2016GL070319</t>
  </si>
  <si>
    <t>WOS:000393208100033</t>
  </si>
  <si>
    <t>Charette, MA; Lam, PJ; Lohan, MC; Kwon, EY; Hatje, V; Jeandel, C; Shiller, AM; Cutter, GA; Thomas, A; Boyd, PW; Homoky, WB; Milne, A; Thomas, H; Andersson, PS; Porcelli, D; Tanaka, T; Geibert, W; Dehairs, F; Garcia-Orellana, J</t>
  </si>
  <si>
    <t>Charette, Matthew A.; Lam, Phoebe J.; Lohan, Maeve C.; Kwon, Eun Young; Hatje, Vanessa; Jeandel, Catherine; Shiller, Alan M.; Cutter, Gregory A.; Thomas, Alex; Boyd, Philip W.; Homoky, William B.; Milne, Angela; Thomas, Helmuth; Andersson, Per S.; Porcelli, Don; Tanaka, Takahiro; Geibert, Walter; Dehairs, Frank; Garcia-Orellana, Jordi</t>
  </si>
  <si>
    <t>Coastal ocean and shelf-sea biogeochemical cycling of trace elements and isotopes: lessons learned from GEOTRACES</t>
  </si>
  <si>
    <t>GEOTRACES; trace elements; isotopes; radium; continental shelf</t>
  </si>
  <si>
    <t>SUBMARINE GROUNDWATER DISCHARGE; RARE-EARTH-ELEMENTS; SOUTHERN-OCEAN; ARCTIC-OCEAN; NEODYMIUM ISOTOPES; CONTINENTAL-SHELF; MANGANESE FLUXES; RADIUM ISOTOPES; DISSOLVED IRON; WATER COLUMN</t>
  </si>
  <si>
    <t>Continental shelves and shelf seas play a central role in the global carbon cycle. However, their importance with respect to trace element and isotope (TEI) inputs to ocean basins is less well understood. Here, we present major findings on shelf TEI biogeochemistry from the GEOTRACES programme as well as a proof of concept for a new method to estimate shelf TEI fluxes. The case studies focus on advances in our understanding of TEI cycling in the Arctic, transformations within a major river estuary (Amazon), shelf sediment micronutrient fluxes and basin-scale estimates of submarine groundwater discharge. The proposed shelf flux tracer is 228-radium (T-1/2 = 5.75 yr), which is continuously supplied to the shelf from coastal aquifers, sediment porewater exchange and rivers. Model-derived shelf 228Ra fluxes are combined with TEI/228Ra ratios to quantify ocean TEI fluxes from the western North Atlantic margin. The results from this new approach agree well with previous estimates for shelf Co, Fe, Mn and Zn inputs and exceed published estimates of atmospheric deposition by factors of approximately 3-23. Lastly, recommendations are made for additional GEOTRACES process studies and coastal margin-focused section cruises that will help refine the model and provide better insight on the mechanisms driving shelf-derived TEI fluxes to the ocean. This article is part of the themed issue 'Biological and climatic impacts of ocean trace element chemistry'.</t>
  </si>
  <si>
    <t>[Charette, Matthew A.] Woods Hole Oceanog Inst, Dept Marine Chem &amp; Geochem, Woods Hole, MA 02543 USA; [Lam, Phoebe J.] Univ Calif Santa Cruz, Dept Ocean Sci, Santa Cruz, CA 95064 USA; [Lohan, Maeve C.] Univ Southampton, Natl Oceanog Ctr, Ocean &amp; Earth Sci, Southampton SO14 3ZH, Hants, England; [Kwon, Eun Young] Seoul Natl Univ, Res Inst Oceanog, Seoul 151742, South Korea; [Hatje, Vanessa] Univ Fed Bahia, Inst Quim, Ctr Interdisciplinar Energia &amp; Ambiente, BR-40170115 Salvador, BA, Brazil; [Jeandel, Catherine] Univ Toulouse, CNRS, Observ Midi Pyrenees, UPS,IRD,CNES, F-31400 Toulouse, France; [Shiller, Alan M.] Univ Southern Mississippi, Dept Marine Sci, Stennis Space Ctr, MS 39529 USA; [Cutter, Gregory A.] Old Dominion Univ, Dept Ocean Earth &amp; Atmospher Sci, Norfolk, VA 23529 USA; [Thomas, Alex] Univ Edinburgh, Sch GeoSci, Edinburgh EH9 3FE, Midlothian, Scotland; [Boyd, Philip W.] Univ Tasmania, Inst Marine &amp; Antarctic Studies, Hobart, Tas 7005, Australia; [Homoky, William B.; Porcelli, Don] Univ Oxford, Dept Earth Sci, Oxford OX1 3AN, England; [Milne, Angela] Univ Plymouth, Sch Geog Earth &amp; Environm Sci, Plymouth PL4 8AA, Devon, England; [Thomas, Helmuth] Dalhousie Univ, Dept Oceanog, Halifax, NS B3H 4R2, Canada; [Andersson, Per S.] Swedish Museum Nat Hist, Dept Geosci, S-10405 Stockholm, Sweden; [Tanaka, Takahiro] Univ Tokyo, Atmosphere &amp; Ocean Res Inst, Kashiwanoha 5-1-5, Kashiwa, Chiba 2778564, Japan; [Geibert, Walter] Alfred Wegener Inst, Helmholtz Ctr Polar &amp; Marine Res, Marine Geochem Dept, Handelshafen 12, D-27570 Bremerhaven, Germany; [Dehairs, Frank] Vrije Univ Brussel, Earth Syst Sci &amp; Analyt, Environm &amp; Geochem, B-1050 Brussels, Belgium; [Garcia-Orellana, Jordi] Univ Autonoma Barcelona, Dept Phys, ICTA, E-08193 Barcelona, Spain</t>
  </si>
  <si>
    <t>Woods Hole Oceanographic Institution; University of California System; University of California Santa Cruz; University of Southampton; NERC National Oceanography Centre; Seoul National University (SNU); Universidade Federal da Bahia; Institut de Recherche pour le Developpement (IRD); Centre National de la Recherche Scientifique (CNRS); Universite de Toulouse; Universite Toulouse III - Paul Sabatier; University of Southern Mississippi; Old Dominion University; University of Edinburgh; University of Tasmania; University of Oxford; University of Plymouth; Dalhousie University; Swedish Museum of Natural History; University of Tokyo; Helmholtz Association; Alfred Wegener Institute, Helmholtz Centre for Polar &amp; Marine Research; Vrije Universiteit Brussel; Autonomous University of Barcelona</t>
  </si>
  <si>
    <t>Charette, MA (corresponding author), Woods Hole Oceanog Inst, Dept Marine Chem &amp; Geochem, Woods Hole, MA 02543 USA.</t>
  </si>
  <si>
    <t>mcharette@whoi.edu</t>
  </si>
  <si>
    <t>Charette, Matthew/I-9495-2012; Lam, Phoebe/GQQ-7325-2022; Geibert, Walter/ABA-9785-2020; Thomas, Alex L/D-1028-2012; Hatje, Vanessa/K-1317-2012; Homoky, Will/JCE-2062-2023; Homoky, Will/HNS-8005-2023; TANAKA, Takahiro/GRF-0016-2022; Garcia-Orellana, Jordi/L-7758-2014; Boyd, Philip/J-7624-2014; Milne, Angela/O-2786-2016; Cutter, Gregory/C-7898-2017; Jeandel, Catherine/P-3789-2014</t>
  </si>
  <si>
    <t>Geibert, Walter/0000-0001-8646-2334; Garcia-Orellana, Jordi/0000-0002-0543-2641; Boyd, Philip/0000-0001-7850-1911; Lohan, Maeve/0000-0002-5340-3108; Milne, Angela/0000-0002-3304-8962; Shiller, Alan/0000-0002-2068-7909; Homoky, William/0000-0002-9562-8591; Cutter, Gregory/0000-0001-6744-6718; Jeandel, Catherine/0000-0002-4915-4719; Thomas, Alexander/0000-0002-0734-9593; Lam, Phoebe J./0000-0001-6609-698X</t>
  </si>
  <si>
    <t>Division Of Ocean Sciences; Directorate For Geosciences [1458305] Funding Source: National Science Foundation; Natural Environment Research Council [NE/G016267/1, NE/K009532/1, NE/K002023/1, NE/H004475/1] Funding Source: researchfish; NERC [NE/G016267/1, NE/K009532/1, NE/K002023/1, NE/H004475/1] Funding Source: UKRI</t>
  </si>
  <si>
    <t>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</si>
  <si>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10.1098/rsta.2016.0076</t>
  </si>
  <si>
    <t>hybrid, Green Submitted, Green Published, Green Accepted</t>
  </si>
  <si>
    <t>WOS:000391139900017</t>
  </si>
  <si>
    <t>Maldonado, MT; Surma, S; Pakhomov, EA</t>
  </si>
  <si>
    <t>Maldonado, Maria T.; Surma, Szymon; Pakhomov, Evgeny A.</t>
  </si>
  <si>
    <t>Southern Ocean biological iron cycling in the pre-whaling and present ecosystems</t>
  </si>
  <si>
    <t>Southern Ocean; Fe; Ecopath; ecosystem; cycling; whale</t>
  </si>
  <si>
    <t>SUB-ARCTIC PACIFIC; TRACE-METAL CONCENTRATIONS; ZOOPLANKTON FECAL PELLETS; ANTARCTIC KRILL; HETEROTROPHIC BACTERIA; NATURAL FERTILIZATION; ORGANIC COMPLEXATION; PHYTOPLANKTON BLOOMS; PELAGIC ECOSYSTEM; TROPHIC TRANSFER</t>
  </si>
  <si>
    <t>This study aimed to create the first model of biological iron (Fe) cycling in the Southern Ocean food web. Two biomass mass-balanced Ecopath models were built to represent pre- and post-whaling ecosystem states (1900 and 2008). Functional group biomasses (tonnes wet weight km(-2)) were converted to biogenic Fe pools (kg Fe km-2) using published Fe content ranges. In both models, biogenic Fe pools and consumption in the pelagic Southern Ocean were highest for plankton and small nektonic groups. The production of plankton biomass, particularly unicellular groups, accounted for the highest annual Fe demand. Microzooplankton contributed most to biological Fe recycling, followed by carnivorous zooplankton and krill. Biological Fe recycling matched previous estimates, and, under most conditions, could entirely meet the Fe demand of bacterioplankton and phytoplankton. Iron recycling by large baleen whales was reduced 10-fold by whaling between 1900 and 2008. However, even under the 1900 scenario, the contribution of whales to biological Fe recycling was negligible compared with that of planktonic consumers. These models are a first step in examining oceanic-scale biological Fe cycling, highlighting gaps in our present knowledge and key questions for future research on the role of marine food webs in the cycling of trace elements in the sea. This article is part of the themed issue 'Biological and climatic impacts of ocean trace element chemistry'.</t>
  </si>
  <si>
    <t>[Maldonado, Maria T.; Pakhomov, Evgeny A.] Univ British Columbia, Dept Earth Ocean &amp; Atmospher Sci, 2207 Main Mall, Vancouver, BC V6T 1Z4, Canada; [Surma, Szymon; Pakhomov, Evgeny A.] Univ British Columbia, Inst Oceans &amp; Fisheries, 2202 Main Mall, Vancouver, BC V6T 1Z4, Canada</t>
  </si>
  <si>
    <t>University of British Columbia; University of British Columbia</t>
  </si>
  <si>
    <t>Maldonado, MT (corresponding author), Univ British Columbia, Dept Earth Ocean &amp; Atmospher Sci, 2207 Main Mall, Vancouver, BC V6T 1Z4, Canada.</t>
  </si>
  <si>
    <t>mmaldonado@eos.ubc.ca</t>
  </si>
  <si>
    <t>Surma, Szymon/GOG-9811-2022; Maldonado, Maria T/N-2877-2017</t>
  </si>
  <si>
    <t>Surma, Szymon/0000-0002-0236-6757; Maldonado, Maria T/0000-0001-8134-9375</t>
  </si>
  <si>
    <t>10.1098/rsta.2015.0292</t>
  </si>
  <si>
    <t>WOS:000391139900007</t>
  </si>
  <si>
    <t>Lybrand, RA; Bockheim, JG; Ge, WS; Graham, RC; Hlohowskyj, SR; Michalski, G; Prellwitz, JS; Rech, JA; Wang, F; Parker, DR</t>
  </si>
  <si>
    <t>Lybrand, Rebecca A.; Bockheim, James G.; Ge, Wensheng; Graham, Robert C.; Hlohowskyj, Stephan R.; Michalski, Greg; Prellwitz, Joel S.; Rech, Jason A.; Wang, Fan; Parker, David R.</t>
  </si>
  <si>
    <t>Nitrate, perchlorate, and iodate co-occur in coastal and inland deserts on Earth</t>
  </si>
  <si>
    <t>CHEMICAL GEOLOGY</t>
  </si>
  <si>
    <t>Soluble salts; Salt preservation; Salt deposition; Landscape stability; Perchlorate; Nitrate; Iodate; Salts; Desert; Mars analog</t>
  </si>
  <si>
    <t>LACTUCA-SATIVA L.; ISOTOPIC COMPOSITION; NATURAL PERCHLORATE; ATACAMA DESERT; SOIL FORMATION; DEVELOPMENT RATES; CLIMATE-CHANGE; MOJAVE-DESERT; IODINE UPTAKE; HUMAN HEALTH</t>
  </si>
  <si>
    <t>Deserts accumulate soluble salts from atmospheric deposition that impact human health, are a source of nutrients for organisms, and provide insight into how landscapes evolved on Earth and Mars. We quantified perchlorate, nitrate, and iodate abundances and co-occurrence in terrestrial deserts to identify fundamental controls on soluble salt deposition and post-depositional cycling. Soils and nitrate deposits were examined in Death Valley, USA; Atacama Desert, Chile; Kumtag Desert, China; and along an environmental gradient in the Transantarctic Mountains, Antarctica. Concentrations of soluble salts were highest in the Transantarctic Mountains and Atacama Desert, where stable, hyper-arid landscapes accumulate atmospheric salts overmillion-year time scales. Average nitrate concentrations of 61.3 g kg(-1) in the Transantarctic Mountains and 53.0 g kg(-1) in the Atacama Desert were significantly greater than respective averages of 8.60 g kg(-1) and 5.14 g kg-1 in Kumtag Desert and Death Valley. Perchlorate and iodate concentrations in the Atacama Desert averaged 206 mg kg(-1) and 344 mg kg(-1), respectively, which were two to three orders of magnitude greater than in Antarctica and other sites. Our findings suggest that local processes in the Atacama Desert result either in higher rates of perchlorate and iodate deposition, or a greater preservation of these salts relative to nitrate when compared to Antarctic landscapes. Lower salt concentrations in the Death Valley and Kumtag Desert deposits likely result from relatively wet present-day and paleoclimatic conditions, a more active geologic history, and a greater likelihood that biocycling disrupted long-term salt accumulation. Associations of perchlorate and nitrate were significantly higher than iodate-nitrate and iodate-perchlorate correlations in the four deserts. Perchlorate-nitrate relationships ranged from insignificant to highly significant with stronger correlations in the Atacama Desert and Kumtag Desert compared to the Transantarctic Mountains and Death Valley. Weaker geochemical associations with iodate were attributed to differences in local deposition rates or post-depositional cycling. Interestingly, relationships among perchlorate, nitrate, and iodate were generally stronger when examined by site within each desert compared to analyzing the soils for each desert as a whole, suggesting more localized controls on soluble salt preservation. We conclude that soluble salts vary in concentration and type across Earth's deserts as a result of present-day environment, paleoclimate conditions, biocycling, and geologic age. (C) 2016 Elsevier B.V. All rights reserved.</t>
  </si>
  <si>
    <t>[Lybrand, Rebecca A.; Graham, Robert C.; Parker, David R.] Univ Calif Riverside, Dept Environm Sci, Riverside, CA 92521 USA; [Bockheim, James G.] Univ Wisconsin, Dept Soil Sci, Madison, WI 53706 USA; [Ge, Wensheng] China Univ Geosci, Sch Earth Sci &amp; Resources, Beijing, Peoples R China; [Hlohowskyj, Stephan R.] Univ Arizona, Dept Geosci, Tucson, AZ 85721 USA; [Michalski, Greg] Purdue Univ, Dept Earth &amp; Atmospher Sci, Dept Chem, W Lafayette, IN 47907 USA; [Prellwitz, Joel S.; Rech, Jason A.] Miami Univ, Dept Geol &amp; Environm Earth Sci, Oxford, OH 45056 USA; [Lybrand, Rebecca A.] Oregon State Univ, Dept Crop &amp; Soil Sci, Corvallis, OR 97331 USA</t>
  </si>
  <si>
    <t>University of California System; University of California Riverside; University of Wisconsin System; University of Wisconsin Madison; China University of Geosciences; University of Arizona; Purdue University System; Purdue University; University System of Ohio; Miami University; Oregon State University</t>
  </si>
  <si>
    <t>Lybrand, RA (corresponding author), Oregon State Univ, Dept Crop &amp; Soil Sci, Corvallis, OR 97331 USA.</t>
  </si>
  <si>
    <t>Rebecca.Lybrand@oregonstate.edu</t>
  </si>
  <si>
    <t>Rech, Jason/0009-0002-2107-7632; Lybrand, Rebecca/0000-0001-7811-9093</t>
  </si>
  <si>
    <t>Kearney Foundation of Soil Science; Lawrence Livermore National Services; UC Lab Fees Research Program [09-LR-05-118171]; Frank T. Bingham Memorial Fellowship in Soil Science</t>
  </si>
  <si>
    <t>Kearney Foundation of Soil Science; Lawrence Livermore National Services; UC Lab Fees Research Program; Frank T. Bingham Memorial Fellowship in Soil Science</t>
  </si>
  <si>
    <t>This research was supported by the Kearney Foundation of Soil Science, Lawrence Livermore National Services, the UC Lab Fees Research Program (09-LR-05-118171), and the Frank T. Bingham Memorial Fellowship in Soil Science. The authors also thank Angelia Seyfferth, Chris Amrhein, Peggy Resketo, Maya Henderson, Paul Sternberg, Woody Smith, Dave Thomason, Ed Betty, and Andrew Martinez for laboratory and field assistance.</t>
  </si>
  <si>
    <t>0009-2541</t>
  </si>
  <si>
    <t>1872-6836</t>
  </si>
  <si>
    <t>CHEM GEOL</t>
  </si>
  <si>
    <t>Chem. Geol.</t>
  </si>
  <si>
    <t>10.1016/j.chemgeo.2016.05.023</t>
  </si>
  <si>
    <t>EA3QD</t>
  </si>
  <si>
    <t>WOS:000386517900017</t>
  </si>
  <si>
    <t>Canty, TP; Salawitch, RJ; Wilmouth, DM</t>
  </si>
  <si>
    <t>Canty, Timothy P.; Salawitch, Ross J.; Wilmouth, David M.</t>
  </si>
  <si>
    <t>The kinetics of the ClOOCl catalytic cycle</t>
  </si>
  <si>
    <t>ABSORPTION CROSS-SECTIONS; ARCTIC POLAR VORTEX; EQUILIBRIUM-CONSTANT; ANTARCTIC OZONE; SELF-REACTION; CHLORINE PEROXIDE; WINTER; DEPLETION; STRATOSPHERE; TEMPERATURE</t>
  </si>
  <si>
    <t>We use simultaneous in situ observations of [ClO] and [ClOOCl] obtained in the Arctic polar vortex to evaluate the kinetics of the ClOOCl catalytic cycle. Available laboratory measurements of the ClOOCl absorption cross sections, the ClO + ClO + M reaction rate constant, and the ClO/ClOOCl equilibrium constant are considered, along with compendium evaluations of these kinetic parameters. We show that the most recent (year 2015) recommendations for the kinetics that govern the partitioning of ClO and ClOOCl put forth by the Jet Propulsion Laboratory (JPL) panel are in extremely good agreement with the atmospheric observations of [ClO] and [ClOOCl]. Hence, we suggest that studies of polar ozone loss adopt these most recent recommendations. The most important difference with respect to calculations that rely on older recommendations is the temperature at which loss of O-3 by the ClOOCl catalytic cycle terminates. The latest JPL recommendation for the equilibrium constant suggests that ClOOCl is less stable than previously assumed, resulting in an approximate 2 degrees C downward shift in the termination temperature of polar ozone loss due to the ClOOCl catalytic cycle. Remaining uncertainties in our knowledge of the kinetics that govern the partitioning of ClO and ClOOCl within the activated vortex, and hence the efficiency of O-3 loss by the ClOOCl cycle, will be best addressed by future laboratory determinations of the absolute cross section of ClOOCl at the peak (i.e., close to a wavelength of 245 nm) as well as reduced uncertainty in the rate constant of the ClO + ClO + M reaction.</t>
  </si>
  <si>
    <t>[Canty, Timothy P.; Salawitch, Ross J.] Univ Maryland, Dept Atmospher &amp; Ocean Sci, College Pk, MD 20742 USA; [Salawitch, Ross J.] Univ Maryland, Dept Chem &amp; Biochem, College Pk, MD 20742 USA; [Salawitch, Ross J.] Univ Maryland, Earth Syst Sci Interdisciplinary Ctr, College Pk, MD 20742 USA; [Wilmouth, David M.] Harvard Univ, Dept Chem &amp; Chem Biol, Cambridge, MA USA; [Wilmouth, David M.] Harvard Univ, Harvard John S Paulson Sch Engn &amp; Appl Sci, Cambridge, MA USA</t>
  </si>
  <si>
    <t>University System of Maryland; University of Maryland College Park; University System of Maryland; University of Maryland College Park; University System of Maryland; University of Maryland College Park; Harvard University; Harvard University</t>
  </si>
  <si>
    <t>Canty, TP (corresponding author), Univ Maryland, Dept Atmospher &amp; Ocean Sci, College Pk, MD 20742 USA.</t>
  </si>
  <si>
    <t>tcanty@umd.edu</t>
  </si>
  <si>
    <t>Canty, Tim/F-2631-2010; Salawitch, Ross/B-4605-2009</t>
  </si>
  <si>
    <t>Canty, Tim/0000-0003-0618-056X; Salawitch, Ross/0000-0001-8597-5832</t>
  </si>
  <si>
    <t>National Aeronautics and Space Administration (NASA) through the Atmospheric Composition: Modeling and Analysis Program [NNX12AB10G]; NASA Atmospheric Composition: Laboratory Research Program [NNX15AF60G]; NASA [NNX15AF60G, 804405] Funding Source: Federal RePORTER</t>
  </si>
  <si>
    <t>National Aeronautics and Space Administration (NASA) through the Atmospheric Composition: Modeling and Analysis Program; NASA Atmospheric Composition: Laboratory Research Program; NASA(National Aeronautics &amp; Space Administration (NASA))</t>
  </si>
  <si>
    <t>The research in this paper was supported by the National Aeronautics and Space Administration (NASA) through the Atmospheric Composition: Modeling and Analysis Program, grant NNX12AB10G, and the NASA Atmospheric Composition: Laboratory Research Program, grant NNX15AF60G. The ER-2 observations, acquired during the SOLVE 1999/2000 field mission, used for this analysis can be downloaded from the NASA Earth Science Project Office (ESPO) archives (https://espoarchive.nasa.gov/archive/browse/solve/ER2). Information regarding the model simulations are available from the authors upon request (tcanty@umd.edu).</t>
  </si>
  <si>
    <t>NOV 27</t>
  </si>
  <si>
    <t>10.1002/2016JD025710</t>
  </si>
  <si>
    <t>EJ3QX</t>
  </si>
  <si>
    <t>WOS:000393127800031</t>
  </si>
  <si>
    <t>Fondi, M; Bosi, E; Presta, L; Natoli, D; Fani, R</t>
  </si>
  <si>
    <t>Fondi, Marco; Bosi, Emanuele; Presta, Luana; Natoli, Diletta; Fani, Renato</t>
  </si>
  <si>
    <t>Modelling microbial metabolic rewiring during growth in a complex medium</t>
  </si>
  <si>
    <t>Flux balance analysis; Pseudoalteromonas haloplanktis TAC125; Antarctic bacteria; Metabolic modelling</t>
  </si>
  <si>
    <t>TRANSCRIPTIONAL REGULATION; GENOME; DATABASE; SWITCH; RECONSTRUCTION; RESOURCE</t>
  </si>
  <si>
    <t>Background: In their natural environment, bacteria face a wide range of environmental conditions that change over time and that impose continuous rearrangements at all the cellular levels (e.g. gene expression, metabolism). When facing a nutritionally rich environment, for example, microbes first use the preferred compound(s) and only later start metabolizing the other one(s). A systemic re-organization of the overall microbial metabolic network in response to a variation in the composition/concentration of the surrounding nutrients has been suggested, although the range and the entity of such modifications in organisms other than a few model microbes has been scarcely described up to now. Results: We used multi-step constraint-based metabolic modelling to simulate the growth in a complex medium over several time steps of the Antarctic model organism Pseudoalteromonas haloplanktis TAC125. As each of these phases is characterized by a specific set of amino acids to be used as carbon and energy source our modelling framework describes the major consequences of nutrients switching at the system level. The model predicts that a deep metabolic reprogramming might be required to achieve optimal biomass production in different stages of growth (different medium composition), with at least half of the cellular metabolic network involved (more than 50% of the metabolic genes). Additionally, we show that our modelling framework is able to capture metabolic functional association and/or common regulatory features of the genes embedded in our reconstruction (e.g. the presence of common regulatory motifs). Finally, to explore the possibility of a sub-optimal biomass objective function (i.e. that cells use resources in alternative metabolic processes at the expense of optimal growth) we have implemented a MOMA-based approach (called nutritional-MOMA) and compared the outcomes with those obtained with Flux Balance Analysis (FBA). Growth simulations under this scenario revealed the deep impact of choosing among alternative objective functions on the resulting predictions of fluxes distribution. Conclusions: Here we provide a time-resolved, systems-level scheme of PhTAC125 metabolic re-wiring as a consequence of carbon source switching in a nutritionally complex medium. Our analyses suggest the presence of a potential efficient metabolic reprogramming machinery to continuously and promptly adapt to this nutritionally changing environment, consistent with adaptation to fast growth in a fairly, but probably inconstant and highly competitive, environment. Also, we show i) how functional partnership and co-regulation features can be predicted by integrating multi-step constraint-based metabolic modelling with fed-batch growth data and ii) that performing simulations under a sub-optimal objective function may lead to different flux distributions in respect to canonical FBA.</t>
  </si>
  <si>
    <t>[Fondi, Marco; Bosi, Emanuele; Presta, Luana; Natoli, Diletta; Fani, Renato] Univ Florence, Dept Biol, Via Madonna Piano 6, I-50019 Sesto Fiorentino, Italy</t>
  </si>
  <si>
    <t>University of Florence</t>
  </si>
  <si>
    <t>Fondi, M (corresponding author), Univ Florence, Dept Biol, Via Madonna Piano 6, I-50019 Sesto Fiorentino, Italy.</t>
  </si>
  <si>
    <t>marco.fondi@unifi.it</t>
  </si>
  <si>
    <t>Bosi, Emanuele/0000-0002-4769-8667; Fondi, Marco/0000-0001-9291-5467; Presta, Luana/0000-0001-6482-6758</t>
  </si>
  <si>
    <t>PNRA (Programma Nazionale di Ricerche in Antartide) [PNRA 2013/B4.02, PNRA 2013/AZ1.04]</t>
  </si>
  <si>
    <t>PNRA (Programma Nazionale di Ricerche in Antartide)</t>
  </si>
  <si>
    <t>The work described here was financially supported by two PNRA (Programma Nazionale di Ricerche in Antartide) grants (PNRA 2013/B4.02 and PNRA 2013/AZ1.04).</t>
  </si>
  <si>
    <t>NOV 24</t>
  </si>
  <si>
    <t>10.1186/s12864-016-3311-0</t>
  </si>
  <si>
    <t>ED3UF</t>
  </si>
  <si>
    <t>WOS:000388773300006</t>
  </si>
  <si>
    <t>Mori, M; Corney, SP; Melbourne-Thomas, J; Welsford, DC; Klocker, A; Ziegler, PE</t>
  </si>
  <si>
    <t>Mori, Mao; Corney, Stuart P.; Melbourne-Thomas, Jessica; Welsford, Dirk C.; Klocker, Andreas; Ziegler, Philippe E.</t>
  </si>
  <si>
    <t>Using satellite altimetry to inform hypotheses of transport of early life stage of Patagonian toothfish on the Kerguelen Plateau</t>
  </si>
  <si>
    <t>ECOLOGICAL MODELLING</t>
  </si>
  <si>
    <t>Patagonian toothfish; Kerguelen Plateau; Recruitment; Larval transport; Connectivity; Sea surface height</t>
  </si>
  <si>
    <t>ARCTOCEPHALUS-GAZELLA PETERS; NATURAL IRON-FERTILIZATION; SOUTHERN-OCEAN; DISSOSTICHUS-MAWSONI; ANTARCTIC TOOTHFISH; DISSOLVED IRON; APTENODYTES-PATAGONICUS; LARVAL TRANSPORT; INDIAN-OCEAN; FISH</t>
  </si>
  <si>
    <t>Understanding patterns of oceanic transport and their role in population connectivity, particularly for the early life stages of marine organisms, has important implications for population biology and management. Various approaches have been used to observe and model larval transport and recruitment in marine environments. In the Southern Ocean, these approaches are presented with particular challenges due to logistical difficulties in accessing and sampling remote, open water or deep-sea environments. In this study, we examine the use of remotely-sensed sea surface height data (AVISO) which is now easily accessible and available for more than 20 years to model transport and dispersion of eggs and early larval stages of Patagonian toothfish on the Kerguelen Plateau in the Indian Sector of the Southern Ocean. We compare simulated transport patterns from AVISO with those calculated from an ocean reanalysis product (Southern Ocean State Estimate; SOSE), and draw conclusions on likely patterns of connectivity between spawning regions and regions that offer suitable habitat for juvenile fish. The results of our study suggested regions with successful spawning that are consistent with those observed by the fishery and describe inter-annual differences in simulated connectivity between spawning and recruitment habitats. Crown Copyright (C) 2016 Published by Elsevier B.V.</t>
  </si>
  <si>
    <t>[Mori, Mao; Klocker, Andreas] Univ Tasmania, Inst Marine &amp; Antarctic Studies, Private Bag 129, Hobart, Tas 7001, Australia; [Mori, Mao; Corney, Stuart P.; Melbourne-Thomas, Jessica] Antarctic Climate &amp; Ecosyst Cooperat Res Ctr, Private Bag 80, Hobart, Tas 7001, Australia; [Melbourne-Thomas, Jessica; Welsford, Dirk C.; Ziegler, Philippe E.] Australian Antarctic Div, 203 Channel Highway, Kingston, Tas 7053, Australia</t>
  </si>
  <si>
    <t>University of Tasmania; Antarctic Climate &amp; Ecosystems Cooperative Research Centre (ACE CRC); Australian Antarctic Division</t>
  </si>
  <si>
    <t>Mori, M (corresponding author), Univ Tasmania, Inst Marine &amp; Antarctic Studies, Private Bag 129, Hobart, Tas 7001, Australia.</t>
  </si>
  <si>
    <t>Mao.Mori@utas.edu.au</t>
  </si>
  <si>
    <t>Melbourne-Thomas, Jess/N-2437-2019; Klocker, Andreas/E-4632-2011</t>
  </si>
  <si>
    <t>Melbourne-Thomas, Jess/0000-0001-6585-876X; Mori, Mao/0000-0001-6501-9261; Klocker, Andreas/0000-0002-2038-7922; Ziegler, Philippe/0000-0001-5940-9394; Welsford, Dirk/0000-0001-5379-5052</t>
  </si>
  <si>
    <t>Australian Government's Cooperative Research Centres Programme through the Antarctic Climate and Ecosystems Cooperative Research Centre(ACE CRC)</t>
  </si>
  <si>
    <t>Australian Government's Cooperative Research Centres Programme through the Antarctic Climate and Ecosystems Cooperative Research Centre(ACE CRC)(Australian GovernmentDepartment of Industry, Innovation and ScienceCooperative Research Centres (CRC) Programme)</t>
  </si>
  <si>
    <t>This work was supported by the Australian Government's Cooperative Research Centres Programme through the Antarctic Climate and Ecosystems Cooperative Research Centre(ACE CRC). We thank Simon Wotherspoon and Helen Phillips for helpful comments on model construction, analysis and interpretation.</t>
  </si>
  <si>
    <t>0304-3800</t>
  </si>
  <si>
    <t>1872-7026</t>
  </si>
  <si>
    <t>ECOL MODEL</t>
  </si>
  <si>
    <t>Ecol. Model.</t>
  </si>
  <si>
    <t>10.1016/j.ecolmodel.2016.08.013</t>
  </si>
  <si>
    <t>EA2DS</t>
  </si>
  <si>
    <t>hybrid, Green Accepted, Green Published</t>
  </si>
  <si>
    <t>WOS:000386403600005</t>
  </si>
  <si>
    <t>Fernández-Méndez, M; Turk-Kubo, KA; Buttigieg, PL; Rapp, JZ; Krumpen, T; Zehr, JP; Boetius, A</t>
  </si>
  <si>
    <t>Fernandez-Mendez, Mar; Turk-Kubo, Kendra A.; Buttigieg, Pier L.; Rapp, Josephine Z.; Krumpen, Thomas; Zehr, Jonathan P.; Boetius, Antje</t>
  </si>
  <si>
    <t>Diazotroph Diversityinthe Sea Ice, Melt Ponds, and Surface Waters of the Eurasian Basin of the Central Arctic Ocean</t>
  </si>
  <si>
    <t>nitrogenfixation; nifH; Arctic; non-cyanobacterial diazotrophs; sea ice; bacterial diversity</t>
  </si>
  <si>
    <t>NIFH GENE-EXPRESSION; NITROGEN-FIXATION; N-2 FIXATION; ONLINE TOOL; CD-HIT; MARINE; COMMUNITY; ATLANTIC; CYANOBACTERIA; ABUNDANCE</t>
  </si>
  <si>
    <t>The Eurasian basin of the Central Arctic Ocean is nitrogen limited, but little is known about the presence and role of nitrogen-fixing bacteria. Recent studies have indicated the occurrence of diazotrophs in Arctic coastal waters potentially of riverine origin. Here, we investigated the presence of diazotrophs in ice and surface waters of the Central Arctic Ocean in the summer of 2012. We identified diverse communities of putative diazotrophs through targeted analysis of the nifH gene, which encodes the iron protein of the nitrogenase enzyme. We amplified 529 nifH sequences from 26 samples of Arctic melt ponds, sea ice and surface waters. These sequences resolved into 43 clusters at 92% amino acid sequence identity, most of which were non-cyanobacterial phylotypes from sea ice and water samples. One cyanobacterial phylotype related to Nodularia sp. was retrieved from sea ice, suggesting that this important functional group is rare in the Central Arctic Ocean. The diazotrophic community in sea-ice environments appear distinct from other cold-adapted diazotrophic communities, such as those present in the coastal Canadian Arctic, the Arctic tundra and glacial Antarctic lakes. Molecular fingerprinting of nifH and the intergenic spacer region of the rRNA operon revealed differences between the communities from river-influenced Laptev Sea waters and those from ice-related environments pointing toward a marine origin for sea-ice diazotrophs. Our results provide the first record of diazotrophs in the Central Arctic and suggest that microbial nitrogen fixation may occur north of 77 degrees N. To assess the significance of nitrogen fixation for the nitrogen budget of the Arctic Ocean and to identify the active nitrogen fixers, further biogeochemical and molecular biological studies are needed.</t>
  </si>
  <si>
    <t>[Fernandez-Mendez, Mar; Buttigieg, Pier L.; Rapp, Josephine Z.; Boetius, Antje] Helmholtz Ctr Polar &amp; Marine Res, Alfred Wegener Inst, HGF MPG Grp Deep Sea Ecol &amp; Technol, Bremerhaven, Germany; [Fernandez-Mendez, Mar; Rapp, Josephine Z.; Boetius, Antje] Max Planck Inst Marine Microbiol, HGF MPG Grp Deep Sea Ecol &amp; Technol, Bremen, Germany; [Turk-Kubo, Kendra A.; Zehr, Jonathan P.] Univ Calif Santa Cruz, Dept Ocean Sci, Santa Cruz, CA 95064 USA; [Krumpen, Thomas] Helmholtz Ctr Polar &amp; Marine Res, Alfred Wegener Inst, Climate Sci Dept, Sea Ice Phys Sect, Bremethaven, Germany</t>
  </si>
  <si>
    <t>Helmholtz Association; Alfred Wegener Institute, Helmholtz Centre for Polar &amp; Marine Research; Max Planck Society; University of California System; University of California Santa Cruz; Helmholtz Association; Alfred Wegener Institute, Helmholtz Centre for Polar &amp; Marine Research</t>
  </si>
  <si>
    <t>Fernández-Méndez, M (corresponding author), Helmholtz Ctr Polar &amp; Marine Res, Alfred Wegener Inst, HGF MPG Grp Deep Sea Ecol &amp; Technol, Bremerhaven, Germany.;Fernández-Méndez, M (corresponding author), Max Planck Inst Marine Microbiol, HGF MPG Grp Deep Sea Ecol &amp; Technol, Bremen, Germany.</t>
  </si>
  <si>
    <t>mar.fdez.mendez@gmail.com</t>
  </si>
  <si>
    <t>Zehr, Jonathan P/B-3513-2014; Krumpen, Thomas/D-5163-2011; Boetius, Antje/D-5459-2013</t>
  </si>
  <si>
    <t>Krumpen, Thomas/0000-0001-6234-8756; Boetius, Antje/0000-0003-2117-4176; Rapp, Josephine/0000-0001-5812-6405; Buttigieg, Pier Luigi/0000-0002-4366-3088; Fernandez-Mendez, Mar/0000-0002-4968-1156</t>
  </si>
  <si>
    <t>Alfred-Wegener-Institut Helmholtz-Zentrum fur Polar- und Meeresforschung; Max Planck Society; ERC Advanced Grant Abyss [294757]; European Union's Seventh Framework Programme [287589]</t>
  </si>
  <si>
    <t>Alfred-Wegener-Institut Helmholtz-Zentrum fur Polar- und Meeresforschung; Max Planck Society(Max Planck Society); ERC Advanced Grant Abyss(European Research Council (ERC)); European Union's Seventh Framework Programme(European Union (EU))</t>
  </si>
  <si>
    <t>This study was supported by the Alfred-Wegener-Institut Helmholtz-Zentrum fur Polar- und Meeresforschung and the Max Planck Society, as well as the ERC Advanced Grant Abyss (no.294757) to AB. PB's work on this project is supported through the Micro B3 project, funded by the European Union's Seventh Framework Programme (Joint Call OCEAN.2011-2: marine microbial diversity - new insights into marine ecosystems functioning and its biotechnological potential) under the grant agreement no 287589.</t>
  </si>
  <si>
    <t>NOV 23</t>
  </si>
  <si>
    <t>10.3389/fmicb.2016.01884</t>
  </si>
  <si>
    <t>ED3OX</t>
  </si>
  <si>
    <t>WOS:000388759500001</t>
  </si>
  <si>
    <t>Liao, Y; Williams, TJ; Ye, J; Charlesworth, J; Burns, BP; Poljak, A; Raftery, MJ; Cavicchioli, R</t>
  </si>
  <si>
    <t>Liao, Y.; Williams, T. J.; Ye, J.; Charlesworth, J.; Burns, B. P.; Poljak, A.; Raftery, M. J.; Cavicchioli, R.</t>
  </si>
  <si>
    <t>Morphological and proteomic analysis of biofilms from the Antarctic archaeon, Halorubrum lacusprofundi</t>
  </si>
  <si>
    <t>EXTRACELLULAR DNA; ESCHERICHIA-COLI; BACILLUS-CEREUS; GROWTH-RATE; DEEP LAKE; EXPRESSION; REVEALS; ECOLOGY; HALOARCHAEA; ANTIBIOTICS</t>
  </si>
  <si>
    <t>Biofilms enhance rates of gene exchange, access to specific nutrients, and cell survivability. Haloarchaea in Deep Lake, Antarctica, are characterized by high rates of intergenera gene exchange, metabolic specialization that promotes niche adaptation, and are exposed to high levels of UV-irradiation in summer. Halorubrum lacusprofundi from Deep Lake has previously been reported to form biofilms. Here we defined growth conditions that promoted the formation of biofilms and used microscopy and enzymatic digestion of extracellular material to characterize biofilm structures. Extracellular DNA was found to be critical to biofilms, with cell surface proteins and quorum sensing also implicated in biofilm formation. Quantitative proteomics was used to define pathways and cellular processes involved in forming biofilms; these included enhanced purine synthesis and specific cell surface proteins involved in DNA metabolism; post-translational modification of cell surface proteins; specific pathways of carbon metabolism involving acetyl-CoA; and specific responses to oxidative stress. The study provides a new level of understanding about the molecular mechanisms involved in biofilm formation of this important member of the Deep Lake community.</t>
  </si>
  <si>
    <t>[Liao, Y.; Williams, T. J.; Ye, J.; Charlesworth, J.; Burns, B. P.; Cavicchioli, R.] Univ New South Wales, Sch Biotechnol &amp; Biomol Sci, Sydney, NSW 2052, Australia; [Ye, J.] Univ New South Wales, Ctr Marine Bioinnovat, Sydney, NSW 2052, Australia; [Poljak, A.; Raftery, M. J.] Univ New South Wales, Bioanalyt Mass Spectrometry Facil, Sydney, NSW, Australia</t>
  </si>
  <si>
    <t>University of New South Wales Sydney; University of New South Wales Sydney; University of New South Wales Sydney</t>
  </si>
  <si>
    <t>Cavicchioli, R (corresponding author), Univ New South Wales, Sch Biotechnol &amp; Biomol Sci, Sydney, NSW 2052, Australia.</t>
  </si>
  <si>
    <t>r.cavicchioli@unsw.edu.au</t>
  </si>
  <si>
    <t>BURNS, BRENDAN P/B-5093-2009; YE, JUN/B-1801-2018; Cavicchioli, Ricardo/D-4341-2013</t>
  </si>
  <si>
    <t>YE, JUN/0000-0002-6476-6406; BURNS, BRENDAN/0000-0002-2962-2597; Charlesworth, James/0000-0001-9018-0436; Williams, Timothy/0000-0002-2738-3019; /0000-0002-8492-2648; Poljak, Anne/0000-0001-9953-1984; Cavicchioli, Ricardo/0000-0001-8989-6402</t>
  </si>
  <si>
    <t>Australian Research Council [DP150100244]; China Scholarship Council [201206910027, 201206230085]</t>
  </si>
  <si>
    <t>Australian Research Council(Australian Research Council); China Scholarship Council(China Scholarship Council)</t>
  </si>
  <si>
    <t>This work was supported by the Australian Research Council [DP150100244]. Y.L. and J.Y. were funded by the China Scholarship Council (File No. 201206910027 and 201206230085, respectively). Mass spectrometry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 We thank the PRIDE team and ProteomeXchange for efficiently processing and hosting the mass spectrometry data. We also acknowledge Dr. Simon Hager's assistance from the Electron Microscopy Unit of the University of New South Wales.</t>
  </si>
  <si>
    <t>NOV 22</t>
  </si>
  <si>
    <t>10.1038/srep37454</t>
  </si>
  <si>
    <t>EC6FJ</t>
  </si>
  <si>
    <t>WOS:000388231600001</t>
  </si>
  <si>
    <t>Lappalainen, HK; Kerminen, VM; Petäjä, T; Kurten, T; Baklanov, A; Shvidenko, A; Bäck, J; Vihma, T; Alekseychik, P; Andreae, MO; Arnold, SR; Arshinov, M; Asmi, E; Belan, B; Bobylev, L; Chalov, S; Cheng, YF; Chubarova, N; de Leeuw, G; Ding, AJ; Dobrolyubov, S; Dubtsov, S; Dyukarev, E; Elansky, N; Eleftheriadis, K; Esau, I; Filatov, N; Flint, M; Fu, CB; Glezer, O; Gliko, A; Heimann, M; Holtslag, AAM; Horrak, U; Janhunen, J; Juhola, S; Järvi, L; Järvinen, H; Kanukhina, A; Konstantinov, P; Kotlyakov, V; Kieloaho, AJ; Komarov, AS; Kujansuu, J; Kukkonen, I; Duplissy, EM; Laaksonen, A; Laurila, T; Lihavainen, H; Lisitzin, A; Mahura, A; Makshtas, A; Mareev, E; Mazon, S; Matishov, D; Melnikov, V; Mikhailov, E; Moisseev, D; Nigmatulin, R; Noe, SM; Ojala, A; Pihlatie, M; Popovicheva, O; Pumpanen, J; Regerand, T; Repina, I; Shcherbinin, A; Shevchenko, V; Sipilä, M; Skorokhod, A; Spracklen, DV; Su, H; Subetto, DA; Sun, JY; Terzhevik, AY; Timofeyev, Y; Troitskaya, Y; Tynkkynen, VP; Kharuk, VI; Zaytseva, N; Zhang, JH; Viisanen, Y; Vesala, T; Hari, P; Hansson, HC; Matvienko, GG; Kasimov, NS; Guo, HD; Bondur, V; Zilitinkevich, S; Kulmala, M</t>
  </si>
  <si>
    <t>Lappalainen, Hanna K.; Kerminen, Veli-Matti; Petaja, Tuukka; Kurten, Theo; Baklanov, Aleksander; Shvidenko, Anatoly; Back, Jaana; Vihma, Timo; Alekseychik, Pavel; Andreae, Meinrat O.; Arnold, Stephen R.; Arshinov, Mikhail; Asmi, Eija; Belan, Boris; Bobylev, Leonid; Chalov, Sergey; Cheng, Yafang; Chubarova, Natalia; de Leeuw, Gerrit; Ding, Aijun; Dobrolyubov, Sergey; Dubtsov, Sergei; Dyukarev, Egor; Elansky, Nikolai; Eleftheriadis, Kostas; Esau, Igor; Filatov, Nikolay; Flint, Mikhail; Fu, Congbin; Glezer, Olga; Gliko, Aleksander; Heimann, Martin; Holtslag, Albert A. M.; Horrak, Urmas; Janhunen, Juha; Juhola, Sirkku; Jarvi, Leena; Jarvinen, Heikki; Kanukhina, Anna; Konstantinov, Pavel; Kotlyakov, Vladimir; Kieloaho, Antti-Jussi; Komarov, Alexander S.; Kujansuu, Joni; Kukkonen, Ilmo; Duplissy, Ella-Maria; Laaksonen, Ari; Laurila, Tuomas; Lihavainen, Heikki; Lisitzin, Alexander; Mahura, Alexsander; Makshtas, Alexander; Mareev, Evgeny; Mazon, Stephany; Matishov, Dmitry; Melnikov, Vladimir; Mikhailov, Eugene; Moisseev, Dmitri; Nigmatulin, Robert; Noe, Steffen M.; Ojala, Anne; Pihlatie, Mari; Popovicheva, Olga; Pumpanen, Jukka; Regerand, Tatjana; Repina, Irina; Shcherbinin, Aleksei; Shevchenko, Vladimir; Sipila, Mikko; Skorokhod, Andrey; Spracklen, Dominick V.; Su, Hang; Subetto, Dmitry A.; Sun, Junying; Terzhevik, Arkady Y.; Timofeyev, Yuri; Troitskaya, Yuliya; Tynkkynen, Veli-Pekka; Kharuk, Viacheslav I.; Zaytseva, Nina; Zhang, Jiahua; Viisanen, Yrjo; Vesala, Timo; Hari, Pertti; Hansson, Hans Christen; Matvienko, Gennady G.; Kasimov, Nikolai S.; Guo, Huadong; Bondur, Valery; Zilitinkevich, Sergej; Kulmala, Markku</t>
  </si>
  <si>
    <t>Pan-Eurasian Experiment (PEEX): towards a holistic understanding of the feedbacks and interactions in the land-atmosphere-ocean-society continuum in the northern Eurasian region</t>
  </si>
  <si>
    <t>VOLATILE ORGANIC-COMPOUNDS; QUALITY INTERACTIONS EUCAARI; INTEGRATING AEROSOL RESEARCH; BIOMASS BURNING EMISSIONS; TRACE GAS MEASUREMENTS; ARCTIC CLIMATE SYSTEM; BOREAL FOREST-FIRE; ZOTTO TALL TOWER; SEA-ICE; SATELLITE-OBSERVATIONS</t>
  </si>
  <si>
    <t>The northern Eurasian regions and Arctic Ocean will very likely undergo substantial changes during the next decades. The Arctic-boreal natural environments play a crucial role in the global climate via albedo change, carbon sources and sinks as well as atmospheric aerosol production from biogenic volatile organic compounds. Furthermore, it is expected that global trade activities, demographic movement, and use of natural resources will be increasing in the Arctic regions. There is a need for a novel research approach, which not only identifies and tackles the relevant multi-disciplinary research questions, but also is able to make a holistic system analysis of the expected feedbacks. In this paper, we introduce the research agenda of the Pan-Eurasian Experiment (PEEX), a multi-scale, multi-disciplinary and international program started in 2012 (https://www.atm.helsinki.fi/peex/). PEEX sets a research approach by which large-scale research topics are investigated from a system perspective and which aims to fill the key gaps in our understanding of the feedbacks and interactions between the land-atmosphereaquatic-society continuum in the northern Eurasian region. We introduce here the state of the art for the key topics in the PEEX research agenda and present the future prospects of the research, which we see relevant in this context.</t>
  </si>
  <si>
    <t>[Lappalainen, Hanna K.; Kerminen, Veli-Matti; Petaja, Tuukka; Alekseychik, Pavel; Jarvi, Leena; Jarvinen, Heikki; Kieloaho, Antti-Jussi; Kujansuu, Joni; Duplissy, Ella-Maria; Mazon, Stephany; Moisseev, Dmitri; Pihlatie, Mari; Sipila, Mikko; Vesala, Timo; Zilitinkevich, Sergej; Kulmala, Markku] Univ Helsinki, Dept Phys, Helsinki 00014, Finland; [Lappalainen, Hanna K.; Vihma, Timo; Asmi, Eija; Laaksonen, Ari; Laurila, Tuomas; Lihavainen, Heikki; Viisanen, Yrjo; Zilitinkevich, Sergej] Finnish Meteorol Inst, Res &amp; Dev, Helsinki 00101, Finland; [Kurten, Theo] Univ Helsinki, Dept Chem, Helsinki 00014, Finland; [Baklanov, Aleksander] World Meteorol Org, CH-1211 Geneva, Switzerland; [Baklanov, Aleksander; Mahura, Alexsander] Danish Meteorol Inst, Res &amp; Dev Dept, DK-2100 Copenhagen, Denmark; [Shvidenko, Anatoly] Int Inst Appl Syst Anal, Ecosyst Serv &amp; Management, A-2361 Laxenburg, Austria; [Back, Jaana; Ojala, Anne; Hari, Pertti] Univ Helsinki, Dept Forest Sci, FIN-00014 Helsinki, Finland; [Andreae, Meinrat O.; Cheng, Yafang; Su, Hang] Max Planck Inst Chem, Biogeochem Dept, D-55020 Mainz, Germany; [Andreae, Meinrat O.; Cheng, Yafang; Su, Hang] Max Planck Inst Chem, Multiphase Chem Dept, D-55020 Mainz, Germany; [Arnold, Stephen R.; Spracklen, Dominick V.] Univ Leeds, Inst Climate &amp; Atmospher Sci, Sch Earth &amp; Environm, Leeds LS2 9JT, W Yorkshire, England; [Arshinov, Mikhail; Belan, Boris; Matvienko, Gennady G.] Russian Acad Sci, Inst Atmospher Opt, Tomsk 634021, Russia; [Bobylev, Leonid] Nansen Int Environm &amp; Remote Sensing Ctr, St Petersburg, Russia; [Chalov, Sergey; Chubarova, Natalia; de Leeuw, Gerrit; Dobrolyubov, Sergey; Konstantinov, Pavel; Kasimov, Nikolai S.; Zilitinkevich, Sergej] Lomonosov Moscow State Univ, Fac Geog, Moscow 119899, Russia; [Ding, Aijun; Fu, Congbin] Nanjing Univ, Inst Climate &amp; Global Change Res, Nanjing 210023, Jiangsu, Peoples R China; [Ding, Aijun; Fu, Congbin] Nanjing Univ, Sch Atmospher Sci, Nanjing 210023, Jiangsu, Peoples R China; [Dubtsov, Sergei] Russian Acad Sci, Inst Chem Kinet &amp; Combust, Novosibirsk 630090, Russia; [Dyukarev, Egor] RAS, SB, Inst Monitoring Climat &amp; Ecol Syst, Tomsk 634055, Russia; [Elansky, Nikolai; Repina, Irina; Skorokhod, Andrey] Russian Acad Sci, AM Obukhov Inst Atmospher Phys, Moscow, Russia; [Eleftheriadis, Kostas] Natl Ctr Sci Res DEMOKRITOS, Athens, Greece; [Esau, Igor] Bjerknes Ctr Climate Res, Nansen Environm &amp; Remote Sensing Ctr, N-5006 Bergen, Norway; [Filatov, Nikolay; Regerand, Tatjana; Subetto, Dmitry A.; Terzhevik, Arkady Y.] Russian Acad Sci, Karelian Res Ctr, Northern Water Problems Inst, Petrozavodsk 185003, Russia; [Flint, Mikhail; Lisitzin, Alexander; Nigmatulin, Robert; Shevchenko, Vladimir] Russian Acad Sci, PP Shirshov Inst Oceanol, Moscow 117997, Russia; [Glezer, Olga] Russian Acad Sci, Inst Geog, Moscow, Russia; [Gliko, Aleksander; Zaytseva, Nina] Russian Acad Sci, Dept Earth Sci, Moscow 119991, Russia; [Heimann, Martin] Max Planck Inst Biogeochem, D-07745 Jena, Germany; [Holtslag, Albert A. M.] Wageningen Univ, Meteorol &amp; Air Qual, NL-6708 Wageningen, Netherlands; [Horrak, Urmas] Univ Tartu, Inst Phys, 18 Ulikooli St, EE-500090 Tartu, Estonia; [Janhunen, Juha] Univ Helsinki, Dept World Cultures, FIN-00014 Helsinki, Finland; [Juhola, Sirkku; Shcherbinin, Aleksei] Univ Helsinki, Dept Environm Sci, FIN-00014 Helsinki, Finland; [Kanukhina, Anna] Russian State Hydrometeorol Univ, Acad Mobil Dept, St Petersburg 195196, Russia; [Kotlyakov, Vladimir] Russian Acad Sci, Inst Geog, Moscow, Russia; [Komarov, Alexander S.] Russian Acad Sci, Inst Physicochem &amp; Biol Problems Soil Sci, Institutskaya 142290, Russia; [Kukkonen, Ilmo] Univ Helsinki, Geophys &amp; Astron, FIN-00014 Helsinki, Finland; [Makshtas, Alexander] Russian Acad Sci, Actic &amp; Antarctic Res Inst, St Petersburg 199397, Russia; [Mareev, Evgeny; Troitskaya, Yuliya; Zilitinkevich, Sergej] Nizhnii Novgorod State Univ, Dept Radiophys, Nizhnii Novgorod, Russia; [Matishov, Dmitry] Russian Acad Sci, Southern Ctr, Rostov Na Donu, Russia; [Melnikov, Vladimir] Russian Acad Sci, Siberian Branch, Tyumen Sci Ctr, Tyumen, Russia; [Lappalainen, Hanna K.; Petaja, Tuukka; Melnikov, Vladimir; Kulmala, Markku] Tyumen State Univ, Dept Cryosphere, Tyumen 625003, Russia; [Mikhailov, Eugene; Timofeyev, Yuri] St Petersburg State Univ, Dept Atmospher Phys, 7-9 Univ Skaya Nab, St Petersburg 199034, Russia; [Noe, Steffen M.] Estonian Univ Life Sci, Inst Agr &amp; Environm Sci, EE-51014 Tartu, Estonia; [Popovicheva, Olga] Moscow MV Lomonosov State Univ, Skobeltsyn Inst Nucl Phys, Dept Microelect, Moscow 119991, Russia; [Pumpanen, Jukka] Univ Eastern Finland, Dept Environm Sci, POB 1627, Kuopio 70211, Finland; [Sun, Junying] Chinese Acad Sci, Grad Univ, Beijing 100049, Peoples R China; [Tynkkynen, Veli-Pekka] Univ Helsinki, Dept Social Res, Aleksanteri Inst, FIN-00014 Helsinki, Finland; [Kharuk, Viacheslav I.] Russian Acad Sci, Sukachev Forest Inst, Krasnoyarsk 660036, Russia; [Zhang, Jiahua; Guo, Huadong] Chinese Acad Sci, Inst Remote Sensing &amp; Digital Earth, Beijing 100094, Peoples R China; [Hansson, Hans Christen] Stockholm Univ, Environm Sci &amp; Analyt Chem, Stockholm, Sweden; [Bondur, Valery] AEROCOSMOS Res Inst Aerosp Monitoring, Moscow 105064, Russia</t>
  </si>
  <si>
    <t>University of Helsinki; Finnish Meteorological Institute; University of Helsinki; Danish Meteorological Institute DMI; International Institute for Applied Systems Analysis (IIASA); University of Helsinki; Max Planck Society; Max Planck Society; University of Leeds; Russian Academy of Sciences; Zuev Institute of Atmospheric Optics, Siberian Branch of the Russian Academy of Sciences; Nansen Environmental &amp; Remote Sensing Center (NERSC); Lomonosov Moscow State University; Nanjing University; Nanjing University; Voevodsky Institute of Chemical Kinetics &amp; Combustion SB RAS; Russian Academy of Sciences; Russian Academy of Sciences; Institute of Monitoring of Climatic &amp; Ecological Systems of the Siberian Branch of the RAS; Russian Academy of Sciences; Obukhov Institute of Atmospheric Physics of Russian Academy of Sciences; National Centre of Scientific Research Demokritos; Nansen Environmental &amp; Remote Sensing Center (NERSC); Bjerknes Centre for Climate Research; Russian Academy of Sciences; Karelian Research Centre of the Russian Academy of Sciences; Northern Water Problems Institute, Karelian Scientific Center, RAS; Russian Academy of Sciences; Shirshov Institute of Oceanology; Institute of Geography, Russian Academy of Sciences; Russian Academy of Sciences; Russian Academy of Sciences; Max Planck Society; Wageningen University &amp; Research; University of Tartu; University of Tartu Institute of Physics; University of Helsinki; University of Helsinki; Russian State Hydrometeorological University; Russian Academy of Sciences; Institute of Geography, Russian Academy of Sciences; Russian Academy of Sciences; Pushchino Scientific Center for Biological Research (PSCBI) of the Russian Academy of Sciences; Institute of Physicohemical &amp; Biological Problems of Soil Science; University of Helsinki; Russian Academy of Sciences; Lobachevsky State University of Nizhni Novgorod; Russian Academy of Sciences; Russian Academy of Sciences; Tyumen State University; Saint Petersburg State University; Estonian University of Life Sciences; Lomonosov Moscow State University; University of Eastern Finland; Chinese Academy of Sciences; University of Chinese Academy of Sciences, CAS; University of Helsinki; Russian Academy of Sciences; Krasnoyarsk Science Center of the Siberian Branch of the Russian Academy of Sciences; Sukachev Institute of Forest, Siberian Branch, Russian Academy of Sciences; Chinese Academy of Sciences; The Institute of Remote Sensing &amp; Digital Earth, CAS; Stockholm University; AEROCOSMOS Research Institute for Aerospace Monitoring</t>
  </si>
  <si>
    <t>Lappalainen, HK (corresponding author), Univ Helsinki, Dept Phys, Helsinki 00014, Finland.</t>
  </si>
  <si>
    <t>hanna.k.lappalainen@helsinki.fi</t>
  </si>
  <si>
    <t>Chubarova, Natalia Ye./F-2694-2014; Lappalainen, Hanna/GQZ-3399-2022; Kieloaho, Antti-Jussi/AAX-5392-2020; Holtslag, Albert A.M./B-7842-2010; Petäjä, Tuukka/A-8009-2008; Ding, Aijun/D-1610-2009; Pumpanen, Jukka/B-1254-2012; Chalov, Sergey/K-1847-2012; Viisanen, Yrjö/CAG-3818-2022; Sun, Junying/AAU-6239-2020; Juhola, Sirkku/IXW-8093-2023; Lisitzin, Alexander/S-8300-2018; Kerminen, Veli-Matti/M-9026-2014; Flint, Mikhail/ABA-4039-2021; Zilitinkevich, Sergej/L-8465-2015; Moisseev, Dmitri/A-3288-2008; Järvi, Leena/P-5642-2016; Duplissy, Ella-Maria/AAR-9209-2021; Järvinen, Heikki J/A-9376-2012; Spracklen, Dominick/AAA-6257-2019; Juhola, Sirkku/GVS-5485-2022; Baklanov, Alexander/AAB-7460-2022; Bondur, Valery/G-3130-2014; Vihma, Timo/ABC-9771-2020; Dyukarev, Egor/A-6681-2014; Matvienko, Gennady G./A-7819-2014; Heimann, Martin/H-7807-2016; Cheng, Yafang/F-9362-2010; Hõrrak, Urmas/B-3096-2013; Arnold, Steve R/B-8856-2014; Bondur, Valery/AAO-5112-2021; Lihavainen, Heikki/IAQ-5287-2023; de Leeuw, Gerrit/AAI-3270-2020; Shevchenko, Vladimir P./C-2096-2014; Repina, Irina A/H-3530-2016; Mareev, Evgeny A/L-6035-2017; Andreae, Meinrat O./B-1068-2008; Su, Hang/A-6226-2010; Kasimov, Nikolay S./P-7675-2015; Spracklen, Dominick V/B-4890-2014; Esau, Igor/AAG-9769-2021; Glezer, Olga/ABE-5159-2020; Bobylev, Leonid/L-4816-2017; Noe, Steffen/G-7549-2016; Mikhailov, Eugene F./JAN-6196-2023; Dobrolyubov, Sergey A/A-9688-2012; Holtslag, Bert/HCH-1861-2022; Terzhevik, Arkady/L-7911-2013; Mikhailov, Eugene F/F-9452-2010; Pihlatie, Mari/B-4651-2008; Konstantinov, Pavel/C-3141-2015; Belan, Boris/A-6506-2014; Sipila, Mikko/G-3024-2010; Timofeev, Yuriy/K-1618-2013; Skorokhod, Andrey/N-7533-2016; Vesala, Timo/C-3795-2017; Dubtsov, Sergei/M-1229-2017; Eleftheriadis, Konstantinos/G-2814-2011; Kulmala, Markku/I-7671-2016; Back, Jaana/A-7405-2010; Janhunen, Juha Antero/J-5405-2017; Troitskaya, Yuliya/F-1352-2015; Kurten, Theo/G-2120-2012; Laaksonen, Ari/B-5094-2011; Subetto, Dmitry/A-4467-2014</t>
  </si>
  <si>
    <t>Holtslag, Albert A.M./0000-0003-0995-2481; Petäjä, Tuukka/0000-0002-1881-9044; Ding, Aijun/0000-0003-4481-5386; Pumpanen, Jukka/0000-0003-4879-3663; Chalov, Sergey/0000-0002-6937-7020; Viisanen, Yrjö/0000-0002-9660-3281; Sun, Junying/0000-0003-1064-9017; Flint, Mikhail/0000-0003-4185-9412; Zilitinkevich, Sergej/0000-0002-3909-5436; Moisseev, Dmitri/0000-0002-4575-0409; Järvi, Leena/0000-0002-5224-3448; Duplissy, Ella-Maria/0000-0001-6959-6592; Järvinen, Heikki J/0000-0003-1879-6804; Baklanov, Alexander/0000-0002-5396-8440; Bondur, Valery/0000-0002-2049-6176; Dyukarev, Egor/0000-0002-7019-4459; Heimann, Martin/0000-0001-6296-5113; Cheng, Yafang/0000-0003-4912-9879; Hõrrak, Urmas/0000-0002-9234-1034; Lihavainen, Heikki/0000-0002-6135-4473; de Leeuw, Gerrit/0000-0002-1649-6333; Su, Hang/0000-0003-4889-1669; Esau, Igor/0000-0003-4122-6340; Noe, Steffen/0000-0003-1514-1140; Mikhailov, Eugene F./0000-0001-5736-0996; Dobrolyubov, Sergey A/0000-0003-1419-9455; Terzhevik, Arkady/0000-0002-0837-9065; Mikhailov, Eugene F/0000-0001-5736-0996; Pihlatie, Mari/0000-0001-6035-3949; Konstantinov, Pavel/0000-0001-5064-155X; Kerminen, Veli-Matti/0000-0002-0706-669X; Belan, Boris/0000-0003-1481-6847; Sipila, Mikko/0000-0002-8594-7003; Timofeev, Yuriy/0000-0003-2771-9931; Kasimov, Nikolay/0000-0001-9177-6020; Skorokhod, Andrey/0000-0002-5808-0811; Vesala, Timo/0000-0002-4852-7464; Dubtsov, Sergei/0000-0002-7532-1138; Eleftheriadis, Konstantinos/0000-0003-2265-4905; Juhola, Sirkku/0000-0003-0095-2282; Repina, Irina/0000-0001-7341-0826; Tynkkynen, Veli-Pekka/0000-0001-9006-753X; Kulmala, Markku/0000-0003-3464-7825; Back, Jaana/0000-0002-6107-667X; Janhunen, Juha Antero/0000-0003-1242-8808; Troitskaya, Yuliya/0000-0002-3818-9211; Arnold, Steve/0000-0002-4881-5685; Kurten, Theo/0000-0002-6416-4931; Buenrostro Mazon, Stephany/0000-0002-6788-7828; Asmi, Eija/0000-0002-9226-2360; Kieloaho, Antti-Jussi/0000-0002-9424-3083; Laaksonen, Ari/0000-0002-1657-2383; Subetto, Dmitry/0000-0002-3585-8598; Mareev, Evgeny/0000-0001-8092-4606; Lappalainen, Hanna/0000-0003-3221-2318</t>
  </si>
  <si>
    <t>Academy of Finland Centre of Excellence [272041]; Finnish Cultural Foundation; ICOS [271878]; ICOS-Finland [281255]; ICOS-ERIC [281250]; Academy of Finland [259537, 218094, 255576, 286685, 280700]; TEKES; GOS DEFROST; CRAICC [26060]; Nordforsk. European-Russian Centre for cooperation in the Arctic and Sub-Arctic environmental and climate research (EuRuCAS) [26060, 295068]; Erasmus+ CBHE project ECOIMPACT - EU [561975]; Russian Mega-Grant [11.G34.31.0048, RFMEFI58614X0004, RFMEFI58314X0003]; Russian Science Foundation [15-17-20009, 15-17-30009, 14-47-00049, 11.37.220.2016, 14-27-00083, 15-5554020, 14-17-00096, 1427- 00133]; RFBR [14-05-91759]; Russian Academy of Sciences [4]; Branch of Geology, Geophysics and Mining Sciences of RAS [5]; interdisciplinary integration projects of the Siberian Branch of the Russian Academy of Science [35, 70, 131]; Russian Foundation for Basic Research [14-05-00526, 14-05-00590, 14-05-93108]; Natural Environment Research Council [NE/L013347/1] Funding Source: researchfish; Russian Science Foundation [14-47-00049, 14-17-00131, 14-17-00096, 15-17-20009] Funding Source: Russian Science Foundation; NERC [NE/L013347/1] Funding Source: UKRI</t>
  </si>
  <si>
    <t>Academy of Finland Centre of Excellence(Research Council of Finland); Finnish Cultural Foundation(Finnish Cultural FoundationFinnish IT center for science); ICOS; ICOS-Finland; ICOS-ERIC; Academy of Finland(Research Council of Finland); TEKES(Finnish Funding Agency for Technology &amp; Innovation (TEKES)); GOS DEFROST; CRAICC; Nordforsk. European-Russian Centre for cooperation in the Arctic and Sub-Arctic environmental and climate research (EuRuCAS); Erasmus+ CBHE project ECOIMPACT - EU; Russian Mega-Grant; Russian Science Foundation(Russian Science Foundation (RSF)); RFBR(Russian Foundation for Basic Research (RFBR)); Russian Academy of Sciences(Russian Academy of Sciences); Branch of Geology, Geophysics and Mining Sciences of RAS; interdisciplinary integration projects of the Siberian Branch of the Russian Academy of Science; Russian Foundation for Basic Research(Russian Foundation for Basic Research (RFBR)Spanish Government); Natural Environment Research Council(UK Research &amp; Innovation (UKRI)Natural Environment Research Council (NERC)); Russian Science Foundation(Russian Science Foundation (RSF)); NERC(UK Research &amp; Innovation (UKRI)Natural Environment Research Council (NERC))</t>
  </si>
  <si>
    <t>In addition, we would like acknowledge the support and funding from the following bodies: Academy of Finland Centre of Excellence (grant no. 272041), International Working Groups, Markku Kulmala grant by Finnish Cultural Foundation; ICOS 271878, ICOS-Finland no. 281255, ICOS-ERIC no. 281250, nos. 259537, 218094, 255576, 286685, 280700, and 259537 funded by Academy of Finland; Beautiful Beijing project funded by TEKES, In GOS DEFROST, and CRAICC (no. 26060) and Nordforsk CRAICC-PEEX (amendment to contact 26060) funded by Nordforsk. European-Russian Centre for cooperation in the Arctic and Sub-Arctic environmental and climate research (EuRuCAS, grant 295068); Erasmus+ CBHE project ECOIMPACT 561975 funded by EU 7th Framework Program.; We thank many Russian projects, which have contributed to PEEX and have been granted by national funding organizations: Russian Mega-Grant no. 11.G34.31.0048 (University of Nizhny Novgorod), Russian Ministry of Education and Science Grants (unique project identifiers RFMEFI58614X0004 and RFMEFI58314X0003, ISR AEROCOSMOS, 2014-2016); Russian Science Foundation projects no. 15-17-20009 (University of Nizhny Novgorod) and no. 15-17-30009 (Faculty of Geography, Moscow University, 2015-2018), RFBR grant no. 14-05-91759 (ISR AEROCOSMOS, 2014-2016), Russian Science Foundation projects nos. 14-47-00049 (A. M. Obukhov Institute of Atmospheric Physics RAS, 2014-2016), 11.37.220.2016 (St. Petersburg State University) and 14-27-00083 (the Geochemical foundations of PEEX), 15-5554020 (SINP Moscow University, 2015-2016), and 14-17-00096 (Saint-Petersburg State University, 2014-2016). We also acknowledge Presidium of the Russian Academy of Sciences (program no. 4); the Branch of Geology, Geophysics and Mining Sciences of RAS (program no. 5); interdisciplinary integration projects of the Siberian Branch of the Russian Academy of Science nos. 35, 70, and 131; Russian Foundation for Basic Research (grants nos. 14-05-00526, 14-05-00590, 14-05-93108) and Russian Science Foundation project no. 14-17-00096 (Saint-Petersburg State University, 2014-2016). AARI thanks CNTP 1.5.3.2 and 1.5.3.4 of Roshydromet. Institute of Geography thanks Russian Academy of Sciences and Russian Science Foundation (project 1427- 00133).; University of Tartu together with University of Life Sciences, Estonia, acknowledge the European Commission through European Regional Fund (the Internationalization of Science Programme project INSMEARIN, 10.1-6/13/1028, and the Estonian Research Infrastructures Roadmap project Estonian Environmental Observatory, 3.2.0304.11-0395). The University of Tartu, Estonia, acknowledges the institutional research funding IUT20-11 of the Estonian Ministry of Education and Research for its support for the development of SMEAR Estonia at Jarvselja. Nansen Center, Norway, acknowledges the International Belmont Forum project Anthropogenic Heat Islands in the Arctic - Windows to the Future of the Regional Climates, Ecosystems and Societies no. 247468/E10.</t>
  </si>
  <si>
    <t>10.5194/acp-16-14421-2016</t>
  </si>
  <si>
    <t>EC5PI</t>
  </si>
  <si>
    <t>WOS:000388187800001</t>
  </si>
  <si>
    <t>Pérez-Rodríguez, M; Gilfedder, BS; Hermanns, YM; Biester, H</t>
  </si>
  <si>
    <t>Perez-Rodriguez, Marta; Gilfedder, Benjamin-Silas; Hermanns, Yvonne-Marie; Biester, Harald</t>
  </si>
  <si>
    <t>Solar Output Controls Periodicity in Lake Productivity and Wetness at Southernmost South America</t>
  </si>
  <si>
    <t>HEMISPHERE WESTERLY WINDS; NORTH-ATLANTIC CLIMATE; ANTARCTIC PENINSULA; HOLOCENE CLIMATE; MARINE RECORD; PACIFIC; SHIFTS; SCALE; VARIABILITY; TIMESCALES</t>
  </si>
  <si>
    <t>Cyclic changes in total solar irradiance (TSI) during the Holocene are known to affect global climatic conditions and cause cyclic climatic oscillations, e.g., Bond events and related changes of environmental conditions. However, the processes how changes in TSI affect climate and environment of the Southern Hemisphere, especially in southernmost South America, a key area for the global climate, are still poorly resolved. Here we show that highly sensitive proxies for aquatic productivity derived from sediments of a lake near the Chilean South Atlantic coast (53 degrees S) strongly match the cyclic changes in TSI throughout the Holocene. Intra-lake productivity variations show a periodicity of degrees 200-240 years coherent with the time series of TSI-controlled cosmogenic nuclide Be-10 production. In addition TSI dependent periodicity of Bond events (similar to 1500 years) appear to control wetness at the LH site indicated by mineral matter erosion from the catchment to the lake assumingly through shifts of the position of the southern westerly wind belt. Thus, both intra-lake productivity and wetness at the southernmost South America are directly or indirectly controlled by TSI.</t>
  </si>
  <si>
    <t>[Perez-Rodriguez, Marta] Univ Santiago, Fac Biol, Dept Edafol &amp; Quim Agr, Campus Vida, Santiago De Compostela, Spain; [Perez-Rodriguez, Marta; Hermanns, Yvonne-Marie; Biester, Harald] Tech Univ Carolo Wilhelmina Braunschweig, Inst Geookol, AG Umweltgeochem, D-38106 Braunschweig, Germany; [Gilfedder, Benjamin-Silas] Univ Bayreuth, Lehrstuhl Hydrol, Univ Str 30, D-95440 Bayreuth, Germany</t>
  </si>
  <si>
    <t>Universidade de Santiago de Compostela; Braunschweig University of Technology; University of Bayreuth</t>
  </si>
  <si>
    <t>Pérez-Rodríguez, M (corresponding author), Univ Santiago, Fac Biol, Dept Edafol &amp; Quim Agr, Campus Vida, Santiago De Compostela, Spain.;Pérez-Rodríguez, M; Biester, H (corresponding author), Tech Univ Carolo Wilhelmina Braunschweig, Inst Geookol, AG Umweltgeochem, D-38106 Braunschweig, Germany.</t>
  </si>
  <si>
    <t>mperez.rodriguez@usc.es; h.biester@tu-bs.de</t>
  </si>
  <si>
    <t>Gilfedder, Benjamin/G-5462-2018</t>
  </si>
  <si>
    <t>Gilfedder, Benjamin/0000-0002-6169-5198; Perez-Rodriguez, Marta/0000-0001-7139-3049</t>
  </si>
  <si>
    <t>DFG [DFG-BI 734/15-1]; DAAD [91588482]; TU-Braunschweig</t>
  </si>
  <si>
    <t>DFG(German Research Foundation (DFG)); DAAD(Deutscher Akademischer Austausch Dienst (DAAD)); TU-Braunschweig</t>
  </si>
  <si>
    <t>This work was supported by a DFG-grant to H.B. (DFG-BI 734/15-1) and support to M.P.-R. by DAAD (grant ref no. 91588482) and TU-Braunschweig. We thank R. Kilian and H. Arz for LH core samples, A. Calean and P. Schmidt for technical assistance.</t>
  </si>
  <si>
    <t>NOV 21</t>
  </si>
  <si>
    <t>10.1038/srep37521</t>
  </si>
  <si>
    <t>EC4DT</t>
  </si>
  <si>
    <t>WOS:000388077000001</t>
  </si>
  <si>
    <t>Edinburgh, T; Day, JJ</t>
  </si>
  <si>
    <t>Edinburgh, Tom; Day, Jonathan J.</t>
  </si>
  <si>
    <t>Estimating the extent of Antarctic summer sea ice during the Heroic Age of Antarctic Exploration</t>
  </si>
  <si>
    <t>WHALING RECORDS; SOUTHERN-OCEAN; CLIMATE; VARIABILITY; TRENDS; SATELLITE; IMPACTS; DECLINE; EDGE</t>
  </si>
  <si>
    <t>In stark contrast to the sharp decline in Arctic sea ice, there has been a steady increase in ice extent around Antarctica during the last three decades, especially in the Weddell and Ross seas. In general, climate models do not to capture this trend and a lack of information about sea ice coverage in the pre-satellite period limits our ability to quantify the sensitivity of sea ice to climate change and robustly validate climate models. However, evidence of the presence and nature of sea ice was often recorded during early Antarctic exploration, though these sources have not previously been explored or exploited until now. We have analysed observations of the summer sea ice edge from the ship logbooks of explorers such as Robert Falcon Scott, Ernest Shackleton and their contemporaries during the Heroic Age of Antarctic Exploration (1897-1917), and in this study we compare these to satellite observations from the period 1989-2014, offering insight into the ice conditions of this period, from direct observations, for the first time. This comparison shows that the summer sea ice edge was between 1.0 and 1.7 degrees further north in the Weddell Sea during this period but that ice conditions were surprisingly comparable to the present day in other sectors.</t>
  </si>
  <si>
    <t>[Edinburgh, Tom; Day, Jonathan J.] Univ Reading, Dept Meteorol, Reading, Berks, England; [Edinburgh, Tom] Univ Cambridge, Dept Appl Math &amp; Theoret Phys, Cambridge, England</t>
  </si>
  <si>
    <t>University of Reading; University of Cambridge</t>
  </si>
  <si>
    <t>Day, JJ (corresponding author), Univ Reading, Dept Meteorol, Reading, Berks, England.</t>
  </si>
  <si>
    <t>j.j.day@reading.ac.uk</t>
  </si>
  <si>
    <t>Day, Jonathan/B-9757-2013</t>
  </si>
  <si>
    <t>Day, Jonathan/0000-0002-3750-649X</t>
  </si>
  <si>
    <t>NERC-SCENARIO-funded summer studentship; AXA Post-Doctoral Research Fellowship; Walker Institute, University of Reading</t>
  </si>
  <si>
    <t>NERC-SCENARIO-funded summer studentship; AXA Post-Doctoral Research Fellowship(AXA Research Fund); Walker Institute, University of Reading</t>
  </si>
  <si>
    <t>Tom Edinburgh was funded by a NERC-SCENARIO-funded summer studentship. Jonathan Day was funded by an AXA Post-Doctoral Research Fellowship and a grant from the Walker Institute, University of Reading. We would like to thank Clive Wilkinson at the Climatic Research Unit, University of East Anglia, for his advice on logbook sources and for access to digitised logbook data, Holly Titchener (Met Office) and reviewers Dmitry Divine and Florence Fetterer for their useful comments and recommendations regarding the manuscript. Thanks also to the Royal Geographical Society Foyle Reading Room, for access to original logbooks from the Discovery 1901-1904 and Terra Nova 1903-1904 expeditions.</t>
  </si>
  <si>
    <t>10.5194/tc-10-2721-2016</t>
  </si>
  <si>
    <t>VB9PA</t>
  </si>
  <si>
    <t>Green Submitted, Green Accepted, gold</t>
  </si>
  <si>
    <t>WOS:000424505600001</t>
  </si>
  <si>
    <t>Carr, SA; Mills, CT; Mandernack, KW</t>
  </si>
  <si>
    <t>Carr, S. A.; Mills, C. T.; Mandernack, K. W.</t>
  </si>
  <si>
    <t>The use of amino acid indices for assessing organic matter quality and microbial abundance in deep-sea Antarctic sediments of IODP Expedition 318</t>
  </si>
  <si>
    <t>MARINE CHEMISTRY</t>
  </si>
  <si>
    <t>Amino acids; Phospholipids; Organic carbon diagenesis; Microbial biomass</t>
  </si>
  <si>
    <t>SURFACE SEDIMENTS; MARINE-SEDIMENTS; DIAGENETIC ALTERATION; CONTINENTAL-MARGIN; ECOSYSTEM RESPONSE; ARABIAN SEA; CARBON; DEGRADATION; INDICATORS; OCEAN</t>
  </si>
  <si>
    <t>The Adelie Basin, located offshore of the Wilkes Land margin, experiences unusually high sedimentation rates (-2 cm yr(-1)) for the Antarctic coast. This study sought to compare depthwise changes in organic matter (OM) quantity and quality with changes in microbial biomass with depth at this high-deposition site and an offshore continental margin site. Sediments from both sites were collected during the International Ocean Drilling (IODP) Program Expedition 318. Viable microbial biomass was estimated from concentrations of bacterial-derived phospholipid fatty acids, while OM quality was assessed using four different amino acid degradation proxies. Concentrations of total hydrolysable amino acids (THAA) measured from the continental margin suggest an oligotrophic environment, with THAA concentrations representing only 2% of total organic carbon with relative proportions of non-protein amino acids p-alanine and gamma-aminobutyric acid as high as 40%. In contrast, THAA concentrations from the near-shore Adelie Basin represent 40%-60% of total organic carbon. Concentrations of p-alanine and gamma-aminobutyric acid were often below the detection limit and suggest that the OM of the basin as labile. DI values in surface sediments at the Adelie and margin sites were measured to be +0.78 and-0.76, reflecting labile and more recalcitrant OM, respectively. Greater DI values in deeper and more anoxic portions of both cores correlated positively with increased relative concentrations of phenylalanine plus tyrosine and may represent a change of redox conditions, rather than OM quality. This suggests that DI values calculated along chemical profiles should be interpreted with caution. THAA concentrations, the percentage of organic carbon (C-AA%) and total nitrogen (N-AA%) represented by amino acids at both sites demonstrated a significant positive correlation with bacterial abundance estimates. These data suggest that the selective degradation of amino acids, as indicated by THAA concentrations, C-AA% or N-AA% values may be a better proxy for describing the general changes in sedimentary bacterial abundances than total organic matter or bulk sedimentation rates. (C) 2016 Elsevier B.V. All rights reserved.</t>
  </si>
  <si>
    <t>[Carr, S. A.] Colorado Sch Mines, Golden, CO 80401 USA; [Mills, C. T.] US Geol Survey, Denver Fed Ctr, Box 25046, Denver, CO 80225 USA; [Mandernack, K. W.] Indiana Univ Purdue Univ, Indianapolis, IN 46202 USA</t>
  </si>
  <si>
    <t>Colorado School of Mines; United States Department of the Interior; United States Geological Survey; Indiana University System; Indiana University-Purdue University Indianapolis</t>
  </si>
  <si>
    <t>Mandernack, KW (corresponding author), Indiana Univ Purdue Univ, Indianapolis, IN 46202 USA.</t>
  </si>
  <si>
    <t>kevinman@iupui.edu</t>
  </si>
  <si>
    <t>Consortium for Ocean Leadership Program [OCE-0652316]; shipboard party of Expedition [318]</t>
  </si>
  <si>
    <t>Consortium for Ocean Leadership Program; shipboard party of Expedition</t>
  </si>
  <si>
    <t>This research used samples, data and post-cruise funding provided by the Consortium for Ocean Leadership Program (OCE-0652316). The authors thank the shipboard party of Expedition 318 for supporting this work, especially co-chief scientists Carlota Escutia and Henk Brinkhuis, Staff Scientist Adam Klaus, Rob Dunbar, and the geochemistry team: James Bendle, Christina van de Flierdt and Francisco J. Jimenez-Espejo. The authors would also like to thank David Burdige of Old Dominion University for his advice regarding amino acid analyses and editorial handling. We thank David Mucciarone for his help at the Stable Isotope Biogeochemistry Laboratory at Stanford University, Lin Li in the Department of Earth Sciences at Indiana Univesity-Purdue University Indianapolis for helpful advice on statistics and modeling and Alexander Roesner for figure assistance. We thank Stuart Wakeham, Janet Slate, and Craig Stricker, our anonymous reviewers for their advice and constructive reviews. Any use of trade, product, or firm names is for descriptive purposes only and does not imply endorsement by the U.S. Government</t>
  </si>
  <si>
    <t>0304-4203</t>
  </si>
  <si>
    <t>1872-7581</t>
  </si>
  <si>
    <t>MAR CHEM</t>
  </si>
  <si>
    <t>Mar. Chem.</t>
  </si>
  <si>
    <t>NOV 20</t>
  </si>
  <si>
    <t>10.1016/j.marchem.2016.08.002</t>
  </si>
  <si>
    <t>Chemistry, Multidisciplinary; Oceanography</t>
  </si>
  <si>
    <t>Chemistry; Oceanography</t>
  </si>
  <si>
    <t>ED8DC</t>
  </si>
  <si>
    <t>WOS:000389101200007</t>
  </si>
  <si>
    <t>Bell, JD; Lyle, JM</t>
  </si>
  <si>
    <t>Bell, Justin David; Lyle, Jeremy Martin</t>
  </si>
  <si>
    <t>Post-Capture Survival and Implications for By-Catch in a Multi-Species Coastal Gillnet Fishery</t>
  </si>
  <si>
    <t>DISCARD MORTALITY; BYCATCH; MANAGEMENT; BIRDS; RATES; NETS; TASMANIA; SEABIRDS; MAMMALS; CAUGHT</t>
  </si>
  <si>
    <t>As fisheries shift towards ecosystem-based management, the need to reduce impacts on by-catch has been increasingly recognised. In this study the catch composition, discard rate, and post-capture survival of species caught by gillnets in Tasmania, Australia, was investigated. Over half the commercial gillnet catch was discarded, with discard rates of similar to 20% for target and &gt;80% for non-target species. Capture condition, including initial mortality, was assessed using simple criteria for a range of species and related to soak duration. Delayed mortality was also assessed using tank trials and related to capture condition. By combining initial and delayed mortality rates post-capture survival was estimated. Longer soak durations generally resulted in slight, but significant, declines in capture condition and lower initial survival. Nonetheless, when combined with delayed survival, four of the five most commonly caught species (Cheilodactylus spectabilis, Latridopsis forsteri, Aplodactylus arctidens, Cephaloscyllium laticeps) exhibited high post-capture survival (83- 100%) for soak durations within the maximum regulated range. Post-capture survival of the one remaining commonly caught species, Notolabrus tetricus, (typically discarded) declined with increased soak duration from 84% to 62%, suggesting that this species would benefit from a further reduction in maximum soak duration. Initial and delayed survival rates for the species retained for tank trials exhibited a significant linear relationship, which was used to estimate delayed survival rates for the rarer species. This method enabled the estimation of potential post-capture survival rates for a diverse range of species and may have application in other data-limited situations where the relationships between fishing practices and by-catch survival are uncertain. Overall, our results suggest that soak duration regulation has been effective in reducing by-catch mortality for many species, noting that some species have low survival rates regardless of soak duration.</t>
  </si>
  <si>
    <t>[Bell, Justin David; Lyle, Jeremy Martin] Univ Tasmania, Inst Marine &amp; Antarctic Studies, Hobart, Tas, Australia</t>
  </si>
  <si>
    <t>Bell, JD (corresponding author), Univ Tasmania, Inst Marine &amp; Antarctic Studies, Hobart, Tas, Australia.</t>
  </si>
  <si>
    <t>Justin.Bell@utas.edu.au</t>
  </si>
  <si>
    <t>Lyle, Jeremy/J-7170-2014</t>
  </si>
  <si>
    <t>Lyle, Jeremy/0000-0001-9670-5854</t>
  </si>
  <si>
    <t>Australian Government through the Fisheries Research and Development Corporation [2010/16]</t>
  </si>
  <si>
    <t>Australian Government through the Fisheries Research and Development Corporation(Fisheries R&amp;D Corp)</t>
  </si>
  <si>
    <t>This study was funded by the Australian Government through the Fisheries Research and Development Corporation (Project 2010/16) and in kind contributions by the Institute for Marine and Antarctic Studies, University of Tasmania.; We acknowledge the considerable contributions of our late colleague Ben Chuwen, who sadly passed away during the course of the study. The assistance provided by the various commercial fishers who welcomed us on board their vessels is gratefully appreciated, as is the field support provided by E. Forbes, A. Mapleston and G. Ewing. We also wish to thank Petri Suuronen, Heather Patterson and an anonymous reviewer, whose constructive comments and suggestions greatly improved this study. Funding for this project was provided by the Australian Government through the Fisheries Research and Development Corporation (Project No. 2010/16).</t>
  </si>
  <si>
    <t>NOV 18</t>
  </si>
  <si>
    <t>e0166632</t>
  </si>
  <si>
    <t>10.1371/journal.pone.0166632</t>
  </si>
  <si>
    <t>EC7WC</t>
  </si>
  <si>
    <t>Green Submitted, Green Accepted, Green Published, gold</t>
  </si>
  <si>
    <t>WOS:000388350300081</t>
  </si>
  <si>
    <t>Merkel, B; Phillips, RA; Descamps, S; Yoccoz, NG; Moe, B; Strom, H</t>
  </si>
  <si>
    <t>Merkel, Benjamin; Phillips, Richard A.; Descamps, Sebastien; Yoccoz, Nigel G.; Moe, Borge; Strom, Hallvard</t>
  </si>
  <si>
    <t>A probabilistic algorithm to process geolocation data</t>
  </si>
  <si>
    <t>MOVEMENT ECOLOGY</t>
  </si>
  <si>
    <t>Animal tracking; Global Location Sensors; GLS; Method assessment; Sea surface temperature; Probability sampling; probGLS; Threshold method</t>
  </si>
  <si>
    <t>SEA-SURFACE-TEMPERATURE; LIGHT-BASED GEOLOCATION; STATE-SPACE MODEL; IMPROVING LIGHT; PELAGIC SEABIRD; ANIMAL MOVEMENT; TRACKING; MIGRATION; HABITAT; ARCHIVAL</t>
  </si>
  <si>
    <t>Background: The use of light level loggers (geolocators) to understand movements and distributions in terrestrial and marine vertebrates, particularly during the non-breeding period, has increased dramatically in recent years. However, inferring positions from light data is not straightforward, often relies on assumptions that are difficult to test, or includes an element of subjectivity. Results: We present an intuitive framework to compute locations from twilight events collected by geolocators from different manufacturers. The procedure uses an iterative forward step selection, weighting each possible position using a set of parameters that can be specifically selected for each analysis. The approach was tested on data from two wide-ranging seabird species-black-browed albatross Thalassarche melanophris and wandering albatross Diomedea exulans-tracked at Bird Island, South Georgia, during the two most contrasting periods of the year in terms of light regimes (solstice and equinox). Using additional information on travel speed, sea surface temperature and land avoidance, our approach was considerably more accurate than the traditional threshold method (errors reduced to medians of 185 km and 145 km for solstice and equinox periods, respectively). Conclusions: The algorithm computes stable results with uncertainty estimates, including around the equinoxes, and does not require calibration of solar angles. Accuracy can be increased by assimilating information on travel speed and behaviour, as well as environmental data. This framework is available through the open source R package probGLS, and can be applied in a wide range of biologging studies.</t>
  </si>
  <si>
    <t>[Merkel, Benjamin; Descamps, Sebastien; Strom, Hallvard] Norwegian Polar Res Inst, Fram Ctr, POB 6606, NO-9296 Tromso, Norway; [Merkel, Benjamin; Yoccoz, Nigel G.] UiT Arctic Univ Norway, Dept Arctic &amp; Marine Biol, NO-9037 Tromso, Norway; [Phillips, Richard A.] British Antarctic Survey, NERC, Madingley Rd, Cambridge CB3 0ET, England; [Moe, Borge] Norwegian Inst Nat Res, POB 5685Sluppen, NO-7485 Trondheim, Norway</t>
  </si>
  <si>
    <t>Norwegian Polar Institute; UiT The Arctic University of Tromso; UK Research &amp; Innovation (UKRI); Natural Environment Research Council (NERC); NERC British Antarctic Survey; Norwegian Institute Nature Research</t>
  </si>
  <si>
    <t>Merkel, B (corresponding author), Norwegian Polar Res Inst, Fram Ctr, POB 6606, NO-9296 Tromso, Norway.;Merkel, B (corresponding author), UiT Arctic Univ Norway, Dept Arctic &amp; Marine Biol, NO-9037 Tromso, Norway.</t>
  </si>
  <si>
    <t>benjamin.merkel@npolar.no</t>
  </si>
  <si>
    <t>Yoccoz, Nigel/C-8561-2014; Moe, Borge/P-2946-2015</t>
  </si>
  <si>
    <t>Yoccoz, Nigel/0000-0003-2192-1039; Merkel, Benjamin/0000-0002-8637-7655; Moe, Borge/0000-0002-2306-1899</t>
  </si>
  <si>
    <t>Norwegian SEATRACK programme; Norwegian Ministry of Climate and Environment, Ministry of Foreign Affairs; Norwegian Oil and Gas Association; Statoil Petroleum AS; Det norske oljeselskap ASA; Eni Norge AS; Total EP Norge AS; ConocoPhillips Skandinavia AS; Engie; DEA Norge AS</t>
  </si>
  <si>
    <t>The study was financed by the Norwegian SEATRACK programme which is funded by the Norwegian Ministry of Climate and Environment, Ministry of Foreign Affairs and the Norwegian Oil and Gas Association along with seven oil companies (Statoil Petroleum AS, Det norske oljeselskap ASA, Eni Norge AS, Total E&amp;P Norge AS, ConocoPhillips Skandinavia AS, Engie and DEA Norge AS).</t>
  </si>
  <si>
    <t>2051-3933</t>
  </si>
  <si>
    <t>MOV ECOL</t>
  </si>
  <si>
    <t>Mov. Ecol.</t>
  </si>
  <si>
    <t>10.1186/s40462-016-0091-8</t>
  </si>
  <si>
    <t>EM4VN</t>
  </si>
  <si>
    <t>WOS:000395311100001</t>
  </si>
  <si>
    <t>Oliveira, OMP; Miranda, TP; Araujo, EM; Ayón, P; Cedeño-Posso, CM; Cepeda-Mercado, AA; Córdova, P; Cunha, AF; Genzano, GN; Haddad, MA; Mianzan, HW; Migotto, AE; Miranda, LS; Morandini, AC; Nagata, RM; Nascimento, KB; Nogueira, M; Palma, S; Quiñones, J; Rodriguez, CS; Scarabino, F; Schiariti, A; Stampar, SN; Tronolone, VB; Marques, AC</t>
  </si>
  <si>
    <t>Oliveira, Otto M. P.; Miranda, Thais P.; Araujo, Enilma M.; Ayon, Patricia; Cedeno-Posso, Cristina M.; Cepeda-Mercado, Amancay A.; Cordova, Pablo; Cunha, Amanda F.; Genzano, Gabriel N.; Haddad, Maria Angelica; Mianzan, Hermes W.; Migotto, Alvaro E.; Miranda, Lucilia S.; Morandini, Andre C.; Nagata, Renato M.; Nascimento, Karine B.; Nogueira Junior, Miodeli; Palma, Sergio; Quinones, Javier; Rodriguez, Carolina S.; Scarabino, Fabrizio; Schiariti, Agustin; Stampar, Sergio N.; Tronolone, Valquiria B.; Marques, Antonio C.</t>
  </si>
  <si>
    <t>Census of Cnidaria (Medusozoa) and Ctenophora from South American marine waters</t>
  </si>
  <si>
    <t>Distribution; Faunistics; Hydroids; Hydromedusae; Scyphozoans; Siphonophores</t>
  </si>
  <si>
    <t>STAUROMEDUSA HALICLYSTUS-AURICULA; SOUTHWESTERN ATLANTIC-OCEAN; EUROPEAN ATHECATE HYDROIDS; SP-NOV CNIDARIA; RIO-DE-JANEIRO; US ANTARCTIC EXPEDITIONS; HUMBOLDT CURRENT SYSTEM; SAO SEBASTIAO CHANNEL; N. SP HYDROZOA; 1ST RECORD</t>
  </si>
  <si>
    <t>We have compiled available records in the literature for medusozoan cnidarians and ctenophores of South America. New records of species are also included. Each entry (i.e., identified species or still as yet not determined species referred to as sp. in the literature) includes a synonymy list for South America, taxonomical remarks, notes on habit, and information on geographical occurrence. We have listed 800 unique determined species, in 958 morphotype entries: 5 cubozoans, 905 hydrozoans, 25 scyphozoans, 3 staurozoans, and 20 ctenophores. Concerning nomenclatural and taxonomical decisions, two authors of this census (Miranda, T.P. &amp; Marques, A.C.) propose Podocoryna quitus as a nomen novum for the junior homonym Hydractinia reticulata (Fraser, 1938a); Euphysa monotentaculata Zamponi, 1983b as a new junior synonym of Euphysa aurata Forbes, 1848; and Plumularia spiralis Milstein, 1976 as a new junior synonym of Plumularia setacea (Linnaeus, 1758). Finally, we also reassign Plumularia oligopyxis Kirchenpauer, 1876 as Kirchenpaueria oligopyxis ( Kirchenpauer, 1876) and Sertularella margaritacea Allman, 1885 as Symplectoscyphus margaritaceus (Allman, 1885).</t>
  </si>
  <si>
    <t>[Oliveira, Otto M. P.] Univ Fed ABC, Ctr Ciencias Nat &amp; Humanas, Rua Arcturus 03, BR-09606070 Sao Bernardo Do Campo, SP, Brazil; [Miranda, Thais P.; Cunha, Amanda F.; Miranda, Lucilia S.; Morandini, Andre C.; Nagata, Renato M.; Nascimento, Karine B.; Tronolone, Valquiria B.; Marques, Antonio C.] Univ Sao Paulo, Inst Biociencias, Dept Zool, Rua Matao,Travessa 14,101 Cid Univ, BR-05508900 Sao Paulo, SP, Brazil; [Araujo, Enilma M.] Fac Pitagoras Feira de Santana, Av Senhor dos Passos 222, Feira De Santana, BA, Brazil; [Ayon, Patricia] Inst Mar Peru, Apartado 22, Callao, Peru; [Cedeno-Posso, Cristina M.] Inst Invest Marinas &amp; Costeras Jose Benito Vives, Calle 25 2-55, Playa Salguero, Santa Marta Dtc, Colombia; [Cepeda-Mercado, Amancay A.] ProCAT Colombia Int, Calle 15 5-56 El Rodadero, Santa Marta, Colombia; [Cordova, Pablo; Palma, Sergio] Pontificia Univ Catolica Valparaiso, Escuela Ciencias Mar, POB 1020, Valparaiso, Chile; [Genzano, Gabriel N.; Rodriguez, Carolina S.] Univ Nacl Mar del Plata, Estn Nagera FCEyN, Dept Ciencias Marinas, Funes 3250, RA-7600 Mar Del Plata, Argentina; [Haddad, Maria Angelica] Univ Fed Parana, Dept Zool, Caixa Postal 19020, BR-81531980 Curitiba, Parana, Brazil; [Mianzan, Hermes W.; Schiariti, Agustin] Inst Nacl Invest &amp; Desarrollo Pesquero, Paseo V Ocampo 01,B7602HSA, Mar Del Plata, Buenos Aires, Argentina; [Mianzan, Hermes W.; Schiariti, Agustin] Univ Nacl Mar del Plata IIMyC, CONICET, Inst Invest Marinas &amp; Costeras, Mar Del Plata, Buenos Aires, Argentina; [Migotto, Alvaro E.; Nascimento, Karine B.; Marques, Antonio C.] Univ Sao Paulo, Ctr Biol Marinha, Rod Manoel H Rego,Km 131-5, BR-11600000 Sao Sebastiao, SP, Brazil; [Nogueira Junior, Miodeli] Univ Fed Paraiba, Dept Sistemat &amp; Ecol, BR-58051900 Joao Pessoa, Paraiba, Brazil; [Quinones, Javier] Inst Mar Peru, Lab Costero Pisco, Paracas 11550, Ica, Peru; [Scarabino, Fabrizio] Direcc Nacl Recursos Acuat, Montevideo, Uruguay; [Scarabino, Fabrizio] Museo Nacl Hist Nat, CC 399, Montevideo 11000, Uruguay; [Stampar, Sergio N.] Unesp Univ Estadual Paulista, Fac Ciencias &amp; Letras, Dept Ciencias Biol, Av Dom Antonio 2100, BR-19806900 Assis, Brazil</t>
  </si>
  <si>
    <t>Universidade de Sao Paulo; Instituto del Mar del Peru; Pontificia Universidad Catolica de Valparaiso; National University of Mar del Plata; Universidade Federal do Parana; National Fisheries Research &amp; Development Institute (INIDEP); Consejo Nacional de Investigaciones Cientificas y Tecnicas (CONICET); Universidade de Sao Paulo; Universidade Federal da Paraiba; Instituto del Mar del Peru; Universidade Estadual Paulista</t>
  </si>
  <si>
    <t>Oliveira, OMP (corresponding author), Univ Fed ABC, Ctr Ciencias Nat &amp; Humanas, Rua Arcturus 03, BR-09606070 Sao Bernardo Do Campo, SP, Brazil.</t>
  </si>
  <si>
    <t>otto.oliveira@ufabc.edu.br</t>
  </si>
  <si>
    <t>Cunha, Amanda F/R-3863-2017; Stampar, Sergio N/C-3193-2014; de Oliveira, Otto Müller Patrão/X-5135-2019; Stampar, Sergio N/K-2334-2012; Oliveira, Otto Müller M.P. Patrão/B-1946-2010; Nagata, Renato Mitsuo/P-2271-2014; Schiariti, Agustin/K-5028-2012; Morandini, Andre Carrara/AAC-2320-2020; Stampar, Sergio N/AAC-2019-2020; Fapesp, Biota/F-8655-2017; Marques, Antonio/E-8049-2011; Nogueira Junior, Miodeli/M-2211-2013; Migotto, Alvaro/D-3748-2011; Souza Miranda, Lucilia/L-4930-2015; Quinones, Javier/O-7755-2018</t>
  </si>
  <si>
    <t>Cunha, Amanda F/0000-0003-3276-2651; Stampar, Sergio N/0000-0002-9782-1619; de Oliveira, Otto Müller Patrão/0000-0002-6392-2665; Stampar, Sergio N/0000-0002-9782-1619; Nagata, Renato Mitsuo/0000-0002-4125-3958; Morandini, Andre Carrara/0000-0003-3747-8748; Stampar, Sergio N/0000-0002-9782-1619; Fapesp, Biota/0000-0002-9887-8449; Marques, Antonio/0000-0002-2884-0541; Nogueira Junior, Miodeli/0000-0001-5409-8312; Migotto, Alvaro/0000-0003-3887-1947; Souza Miranda, Lucilia/0000-0003-4121-8340; Cedeno Posso, Cristina/0000-0001-8622-2947; Quinones, Javier/0000-0002-6193-8022</t>
  </si>
  <si>
    <t>FAPESP [2004/09961-4, 2010/52324-6, 2011/50242-5, 2013, 2013/50484-4]; CNPq ProSul [490348/2006-8]; Sisbiota [563106/2010-7]; CAPES; CNPq [490158/2009-9, 301039/2013-5]; CONICET; CONICYT; [458555/2013-4]; Fundacao de Amparo a Pesquisa do Estado de Sao Paulo (FAPESP) [13/50484-4, 11/50242-5, 04/09961-4] Funding Source: FAPESP</t>
  </si>
  <si>
    <t>FAPESP(Fundacao de Amparo a Pesquisa do Estado de Sao Paulo (FAPESP)); CNPq ProSul(Conselho Nacional de Desenvolvimento Cientifico e Tecnologico (CNPQ)); Sisbiota; CAPES(Coordenacao de Aperfeicoamento de Pessoal de Nivel Superior (CAPES)); CNPq(Conselho Nacional de Desenvolvimento Cientifico e Tecnologico (CNPQ)); CONICET(Consejo Nacional de Investigaciones Cientificas y Tecnicas (CONICET)); CONICYT(Comision Nacional de Investigacion Cientifica y Tecnologica (CONICYT)); ; Fundacao de Amparo a Pesquisa do Estado de Sao Paulo (FAPESP)(Fundacao de Amparo a Pesquisa do Estado de Sao Paulo (FAPESP))</t>
  </si>
  <si>
    <t>This study is a result of the efforts of several different labs and individuals. However, the whole compilation was made possible because of the integrative grants coordinated by A.C. Marques (FAPESP 2004/09961-4, 2010/52324-6, 2011/50242-5, 2013, 2013/50484-4; CNPq ProSul 490348/2006-8, Sisbiota 563106/2010-7, Ilhas 458555/2013-4, 458555/2013-4). Several individual local grants are also acknowledged: CAPES supported EMA; CNPq supported OMPO, AEM, LSM, ACMor (490158/2009-9; 301039/2013-5), MNJr, TPM and ACMarq; CONICET supported GNG, HWM, CSR, HWM and AS; CONICYT supported AAC; FAPESP supported OMPO, AFC, LSM, MNJr, TPM, ACMor (2010/50174-7), RMN, KBN and ACMarq. We are grateful to Dale Calder and the reviewers of this manuscript for their patience, suggestions and constructive comments, and also to Allen Collins for his willingness in dealing with the whole process of submission. We also thank Pedro H. Reali Pozzi for his help checking the list of references. This study is dedicated to the memory of our deceased colleague Hermes Mianzan. This is INIDEP contribution N 1957. This publication is a contribution of NP-BioMar, USP.</t>
  </si>
  <si>
    <t>10.11646/zootaxa.4194.1.1</t>
  </si>
  <si>
    <t>EC5HP</t>
  </si>
  <si>
    <t>WOS:000388164300001</t>
  </si>
  <si>
    <t>Grimm, R; Notz, D; Glud, RN; Rysgaard, S; Six, KD</t>
  </si>
  <si>
    <t>Grimm, R.; Notz, D.; Glud, R. N.; Rysgaard, S.; Six, K. D.</t>
  </si>
  <si>
    <t>Assessment of the sea-ice carbon pump: Insights from a three-dimensional ocean-sea-ice-biogeochemical model (MPIOM/HAMOCC)</t>
  </si>
  <si>
    <t>ELEMENTA-SCIENCE OF THE ANTHROPOCENE</t>
  </si>
  <si>
    <t>It has been suggested that geochemical processes related to sea-ice growth and melt might be important for the polar carbon cycle via the so called sea-ice carbon pump (SICP). The SICP affects the air-sea CO2 exchange by influencing the composition of dissolved inorganic carbon (DIC) and total alkalinity (TA) in the surface ocean. Here we quantify the strength of the SICP-induced air-sea CO2 flux using the global three-dimensional ocean-sea-ice-biogeochemical model MPIOM/HAMOCC. Simulations prescribing the range of observed DIC and TA concentrations in the sea ice were performed under two idealized climate scenarios for the present-day and the future oceanic and sea-ice state, both forced with a fixed atmospheric CO2 concentration. Model results indicate that the SICP-induced air-sea CO2 uptake increases with higher ratios of TA: DIC prescribed in the sea ice relative to the basic oceanic TA: DIC ratios. Independent of the modeled scenario, the simulated strength of the SICP is larger in the Antarctic than in the Arctic, because of more efficient export of brine-associated DIC from the Antarctic mixed layer. On an annual basis, we generally find an enhanced SICP-induced oceanic CO2 uptake in regions with net sea-ice melt, and enhanced SICP-induced oceanic CO2 out-gassing in regions with net sea-ice growth. These general regional patterns are modified further by the blockage of air-sea gas exchange through sea-ice coverage. Integrated over the sea-ice zones of both hemispheres, the SICP-induced oceanic CO2 uptake ranges from 2 to 14 Tg C yr(-1), which is up to 7% of the simulated net CO2 uptake in polar regions, but far less than 1% of the current global oceanic CO2 uptake. Hence, while we find that the SICP plays a minor role in the modern global carbon cycle, it is of importance for the regional carbon cycle at high latitudes.</t>
  </si>
  <si>
    <t>[Grimm, R.; Notz, D.; Six, K. D.] Max Planck Inst Meteorol, Hamburg, Germany; [Glud, R. N.] Univ Southern Denmark, Dept Biol, Odense, Denmark; [Glud, R. N.] Univ Southern Denmark, Nord Ctr Earth Evolut, Odense, Denmark; [Glud, R. N.] Scottish Assoc Marine Sci, Oban, Argyll, Scotland; [Glud, R. N.; Rysgaard, S.] Aarhus Univ, Arctic Res Ctr, Aarhus, Denmark; [Rysgaard, S.] Univ Manitoba, Dept Geog &amp; Environm, Ctr Earth Observat Sci, Winnipeg, MB, Canada; [Rysgaard, S.] Univ Manitoba, Dept Geol Sci, Winnipeg, MB, Canada; [Rysgaard, S.] Greenland Inst Nat Resources, Greenland Climate Res Ctr, Nuuk, Greenland</t>
  </si>
  <si>
    <t>Max Planck Society; University of Southern Denmark; University of Southern Denmark; UHI Millennium Institute; Aarhus University; University of Manitoba; University of Manitoba; Greenland Institute of Natural Resources</t>
  </si>
  <si>
    <t>Grimm, R (corresponding author), Max Planck Inst Meteorol, Hamburg, Germany.</t>
  </si>
  <si>
    <t>rosina.grimm@mpimet.mpg.de</t>
  </si>
  <si>
    <t>Notz, Dirk/P-4428-2017</t>
  </si>
  <si>
    <t>Notz, Dirk/0000-0003-0365-5654; Glud, Ronnie N./0000-0002-7069-893X</t>
  </si>
  <si>
    <t>UNIV CALIFORNIA PRESS</t>
  </si>
  <si>
    <t>OAKLAND</t>
  </si>
  <si>
    <t>155 GRAND AVE, SUITE 400, OAKLAND, CA 94612-3758 USA</t>
  </si>
  <si>
    <t>2325-1026</t>
  </si>
  <si>
    <t>ELEMENTA-SCI ANTHROP</t>
  </si>
  <si>
    <t>Elementa-Sci. Anthrop.</t>
  </si>
  <si>
    <t>NOV 17</t>
  </si>
  <si>
    <t>10.12952/journal.elementa.000136</t>
  </si>
  <si>
    <t>EE9CP</t>
  </si>
  <si>
    <t>WOS:000389923600001</t>
  </si>
  <si>
    <t>Jeeva, K; Gurubaran, S; Williams, ER; Kamra, AK; Sinha, AK; Guha, A; Selvaraj, C; Nair, KU; Dhar, A</t>
  </si>
  <si>
    <t>Jeeva, K.; Gurubaran, S.; Williams, E. R.; Kamra, A. K.; Sinha, A. K.; Guha, A.; Selvaraj, C.; Nair, K. U.; Dhar, Ajay</t>
  </si>
  <si>
    <t>Anomalous diurnal variation of atmospheric potential gradient and air-Earth current density observed at Maitri, Antarctica</t>
  </si>
  <si>
    <t>ELECTRIC-FIELD; KATABATIC WINDS; SEASONAL-VARIATIONS; CIRCUIT; STATION; CONDUCTIVITY; PARAMETERS; SUMMER; VARIABILITY; AEROSOLS</t>
  </si>
  <si>
    <t>The scope of this paper is to explore the mechanisms operating over Maitri (70.76 degrees S, 11.74 degrees E, 117m above mean sea level), a coastal Antarctic station, that produce an anomalous fair-weather diurnal pattern of the atmospheric electric potential gradient (PG) and air-Earth current density (AEC). The anomaly in the diurnal variations of AEC and the PG is displaying an ostensible minimum at similar to 10 UT and a diminished response to the thunderstorm over the African continent in the 14-16 UT time frame. The data sets (2005-2014, except 2012) of the PG, and to some extent, AEC, from Maitri, are used to explore this anomaly. It follows that the fair-weather electrical phenomena over Maitri can be ascribed to global electrified convection on the one hand and to regional phenomena like convection due to the replacement of warm air by katabatic winds on the other hand. The katabatic winds originate on the polar plateau and blow from similar to 130 degrees at Maitri which are likely to transport various elements from the mountain slopes, and space charge from the polar plateau is expected to produce various disturbances in the PG and AEC monitored over the coastal Antarctica. This mechanism may be responsible for peaks in the early UT hours and also for the anomalous behavior of atmospheric electrical parameters observed at Maitri. Maitri data are compared with that of Carnegie cruise and Vostok to explain the source of anomaly.</t>
  </si>
  <si>
    <t>[Jeeva, K.; Selvaraj, C.; Nair, K. U.] Indian Inst Geomagnetism, Equatorial Geophys Res Lab, Tirunelveli, India; [Gurubaran, S.; Sinha, A. K.; Dhar, Ajay] Indian Inst Geomagnetism, New Panvel, India; [Williams, E. R.] MIT, Dept Civil &amp; Environm Engn, 77 Massachusetts Ave, Cambridge, MA 02139 USA; [Kamra, A. K.] Indian Inst Trop Meteorol, Pune, Maharashtra, India; [Guha, A.] Tripura Univ, Dept Phys, Agartala, India</t>
  </si>
  <si>
    <t>Department of Science &amp; Technology (India); Indian Institute of Geomagnetism (IIG); Department of Science &amp; Technology (India); Indian Institute of Geomagnetism (IIG); Massachusetts Institute of Technology (MIT); Ministry of Earth Sciences (MoES) - India; Indian Institute of Tropical Meteorology (IITM); Tripura University</t>
  </si>
  <si>
    <t>Jeeva, K (corresponding author), Indian Inst Geomagnetism, Equatorial Geophys Res Lab, Tirunelveli, India.</t>
  </si>
  <si>
    <t>jeeva@iigs.iigm.res.in</t>
  </si>
  <si>
    <t>Guha, Anirban/AAH-8004-2021; Gurubaran, Subramanian/C-6694-2013</t>
  </si>
  <si>
    <t>Guha, Anirban/0000-0002-1952-7916; Sinha, Ashwini Kumar/0000-0003-1329-6579</t>
  </si>
  <si>
    <t>National Centre for Antarctic and Ocean Research (NCAOR), Ministry of Earth Sciences, Government of India; INSA Honorary Scientist program</t>
  </si>
  <si>
    <t>The Indian Scientific Expedition to Antarctica is supported by the National Centre for Antarctic and Ocean Research (NCAOR), Ministry of Earth Sciences, Government of India. We are thankful to the Director of the institute and to the staff members of its scientific and logistic departments. Thanks are due to all the members of Indian Institute of Geomagnetism who participated in the Antarctic expeditions and contributed their hard work in acquiring the data. The authors express their sincere gratitude to the organizations IMD and SASE for their support in providing meteorological data. We express our sincere gratitude to the reviewers, Ralph Markson, Yoav Yair, and H.G. silva, who discussed the manuscript elaborately and provided suggestions to improve the overall quality of the manuscript. One of the authors (A.K.K.) acknowledges the support of INSA Honorary Scientist program. Our sincere thanks go to A.V. Frank-Kamenetskii, AARI, for providing the PG data of Vostok station for the year 2011. We are also thankful to the Google Earth website. The first author may be contacted for the data through the e-mail ID jeeva@iigs.iigm.res.in.</t>
  </si>
  <si>
    <t>NOV 16</t>
  </si>
  <si>
    <t>10.1002/2016JD025043</t>
  </si>
  <si>
    <t>ED6IZ</t>
  </si>
  <si>
    <t>WOS:000388960600002</t>
  </si>
  <si>
    <t>Love, PT; Murphy, DJ</t>
  </si>
  <si>
    <t>Love, Peter T.; Murphy, Damian J.</t>
  </si>
  <si>
    <t>Gravity wave momentum flux in the mesosphere measured by VHF radar at Davis, Antarctica</t>
  </si>
  <si>
    <t>CLIMATE MODELS; POKER FLAT; GENERAL-CIRCULATION; LOWER THERMOSPHERE; MIDDLE-ATMOSPHERE; SUMMER MESOPAUSE; POLAR MESOSPHERE; INTERMITTENCY; ADELAIDE; ALASKA</t>
  </si>
  <si>
    <t>Polar mesospheric summer echoes observed in VHF MST radar measurements at Davis, Antarctica 68.5 degrees S, 78.0 degrees E, are used to measure high-frequency gravity wave momentum flux in the vicinity of the mesopause during the Southern Hemisphere summer of 2014-2015. The momentum flux spectrum is generally isotropic with a slight bias in the seasonal mean toward the southeast. Zonal and meridional components of the seasonal mean momentum flux are an order of magnitude smaller than the absolute momentum flux. Diurnal and semidiurnal modulation of the momentum flux correspond to perturbations of the seasonal mean winds by atmospheric tides. Quantitative measures of gravity wave intermittency yield high values and increase with altitude through the mesopause region. These intermittency characteristics are attributed to the increase with altitude of wind variability through the mesopause region as a result of the tides.</t>
  </si>
  <si>
    <t>[Love, Peter T.; Murphy, Damian J.] Australian Antarctic Div, Environm &amp; Energy Dept, Kingston, Tas, Australia</t>
  </si>
  <si>
    <t>Love, PT (corresponding author), Australian Antarctic Div, Environm &amp; Energy Dept, Kingston, Tas, Australia.</t>
  </si>
  <si>
    <t>peter.love@aad.gov.au</t>
  </si>
  <si>
    <t>Love, Peter/O-6421-2017</t>
  </si>
  <si>
    <t>Love, Peter/0000-0001-7840-0467; Murphy, Damian/0000-0003-1738-5560</t>
  </si>
  <si>
    <t>Australian Antarctic Science project [4025]</t>
  </si>
  <si>
    <t>Australian Antarctic Science project</t>
  </si>
  <si>
    <t>The Davis MST radar radial wind data used in this manuscript are archived in the Australian Antarctic Data Centre at data.aad.gov.au. Radar data are available on request through the data center or directly to D.J. Murphy, damian.murphy@aad.gov.au. This research has been supported through Australian Antarctic Science project 4025.</t>
  </si>
  <si>
    <t>10.1002/2016JD025627</t>
  </si>
  <si>
    <t>WOS:000388960600009</t>
  </si>
  <si>
    <t>Wang, Y; Zhou, D; Bunde, A; Havlin, S</t>
  </si>
  <si>
    <t>Wang, Yang; Zhou, Dong; Bunde, Armin; Havlin, Shlomo</t>
  </si>
  <si>
    <t>Testing reanalysis data sets in Antarctica: Trends, persistence properties, and trend significance</t>
  </si>
  <si>
    <t>LONG-RANGE CORRELATIONS; SOUTHERN-HEMISPHERE; SEA-LEVEL; CLIMATE; TEMPERATURE; SURFACE; FLUCTUATIONS; MODEL; WIND; PERFORMANCE</t>
  </si>
  <si>
    <t>The reanalysis data sets provide important sources for investigating the climate in Antarctica where stations are sparse. In this paper, we compare the 2 m near-surface temperature data from five major reanalysis data sets with observational Antarctic stations data over the last 36 years: (i) the National Centers for Environmental Prediction and the National Center for Atmospheric Research Reanalysis (NCEP1), (ii) NCEP-DOE Reanalysis 2 (NCEP2), (iii) the European Centre for Medium-Range Weather Forecasts Interim Reanalysis (ERA-Interim), (iv) the Japanese 55 year Reanalysis (JRA-55), and (v) the National Aeronautics and Space Administration Modern-Era Retrospective-analysis for Research and Applications. In our assessment, we compare (a) the annual and seasonal trends obtained by linear regression analysis, (b) the standard deviation around the annual trends, (c) the detrended lag-1-autocorrelation C(1), (d) the Hurst exponent.. that characterizes the long-term memory in a record, and (e) the significance levels of the warming/cooling trends. We find that all five reanalysis data sets are able to reproduce quite well the long-term memory in the instrumental data. In contrast, C(1), which is needed as input for the conventional significance analysis, shows fully erratic behavior. The observational warming/cooling trends in East and West Antarctica are not reproduced well by all reanalysis data sets, in particular, NCEP1, NCEP2, and JRA-55 show spurious warming trends in many parts of East Antarctica, even in those parts where cooling has been observed. In contrast, the standard deviation around the trends is quite well reproduced by all reanalysis data sets. In the peninsula where the station density is quite high, the performance of the reanalysis data is considerably better. It is remarkable that all reanalysis data sets as well as the observational data show (under the assumption of a long-term persistent process) that in the considered time period since 1979 the warming in the peninsula is not significant with p values well above 0.1.</t>
  </si>
  <si>
    <t>[Wang, Yang; Zhou, Dong; Havlin, Shlomo] Bar Ilan Univ, Dept Phys, Ramat Gan, Israel; [Bunde, Armin] Justus Liebig Univ Giessen, Inst Theoret Phys, Giessen, Germany</t>
  </si>
  <si>
    <t>Bar Ilan University; Justus Liebig University Giessen</t>
  </si>
  <si>
    <t>Zhou, D (corresponding author), Bar Ilan Univ, Dept Phys, Ramat Gan, Israel.</t>
  </si>
  <si>
    <t>zhoudongbnu@gmail.com</t>
  </si>
  <si>
    <t>Zhou, Dong/A-7564-2017; Havlin, Shlomo/ABF-1527-2020; Wang, Yang/A-5973-2015</t>
  </si>
  <si>
    <t>wang, yang/0000-0002-0092-927X</t>
  </si>
  <si>
    <t>LINC project - EC's Marie-Curie ITN program (FP7-PEOPLE-ITN) [289447]; Israel Science Foundation</t>
  </si>
  <si>
    <t>LINC project - EC's Marie-Curie ITN program (FP7-PEOPLE-ITN)(European Union (EU)); Israel Science Foundation(Israel Science Foundation)</t>
  </si>
  <si>
    <t>The authors would like to acknowledge the support of the LINC project (289447) funded by the EC's Marie-Curie ITN program (FP7-PEOPLE-2011-ITN) and the Israel Science Foundation for financial support. The data sets used in this work can be accessed through the following sources. NCEP1 is provided by the National Oceanic and Atmospheric Administration (NOAA), from website http://www.esrl.noaa.gov/psd/data/gridded/data.ncep.reanalysis.html. NCEP2 is provided by NOAA, from website http://www.esrl.noaa.gov/psd/data/gridded/data.ncep.reanalysis2.html. ECMWF ERA-Interim is provided by the European Centre for Medium-Range Weather Forecasts (ECMWF), from website http://www.ecmwf.int/en/research/climate-reanalysis/era-interim. JRA-55 is provided by the Japan Meteorological Agency (JMA), from website http://jra.kishou.go.jp/JRA-55/index_en.html. MERRA is provided by the Global Modelling and Assimilation Office (GMAO), National Aeronautics and Space Administration (NASA), from website https://gmao.gsfc.nasa.gov/reanalysis/MERRA/. READER is provided by the Scientific Committee on Antarctic Research (SCAR), from website https://legacy.bas.ac.uk/met/READER/data.html.</t>
  </si>
  <si>
    <t>10.1002/2016JD024864</t>
  </si>
  <si>
    <t>WOS:000388960600016</t>
  </si>
  <si>
    <t>Carella, M; Agell, G; Cárdenas, P; Uriz, MJ</t>
  </si>
  <si>
    <t>Carella, Mirco; Agell, Gemma; Cardenas, Paco; Uriz, Maria J.</t>
  </si>
  <si>
    <t>Phylogenetic Reassessment of Antarctic Tetillidae (Demospongiae, Tetractinellida) Reveals New Genera and Genetic Similarity among Morphologically Distinct Species (vol 11, e0160718, 2016)</t>
  </si>
  <si>
    <t>Uriz, Maria J./AGP-4595-2022</t>
  </si>
  <si>
    <t>Uriz, Maria J./0000-0002-8169-3173</t>
  </si>
  <si>
    <t>e0167011</t>
  </si>
  <si>
    <t>10.1371/journal.pone.0167011</t>
  </si>
  <si>
    <t>EC1ZU</t>
  </si>
  <si>
    <t>WOS:000387909300086</t>
  </si>
  <si>
    <t>Tiong, JJL; Loo, JSE; Mai, CW</t>
  </si>
  <si>
    <t>Tiong, John J. L.; Loo, Jason S. E.; Mai, Chun-Wai</t>
  </si>
  <si>
    <t>Global Antimicrobial Stewardship: A Closer Look at the Formidable Implementation Challenges</t>
  </si>
  <si>
    <t>antimicrobial stewardship; antibiotic resistance; implementation challenges; global framework; action plans; health crisis</t>
  </si>
  <si>
    <t>HEALTH; RESISTANCE; CARE; ANTIBIOTICS; RISK</t>
  </si>
  <si>
    <t>Antimicrobial stewardship (AMS) has been touted as one of the key strategies required in tackling worldwide escalation of antibiotic resistance. Although AMS has optimized antibiotic usage and reduced the incidence of resistance development in some regions, its full global potential has been curtailed by various AMS-impeding factors. This article seeks to highlight in a detailed perspective, the key challenges that hamper global AMS endeavors, some of which include the paucity of effective implementation strategies that cater for the challenging settings of developing nations, the slow response of governments, uncoordinated AMS activities as well as implementation fragmentation across different sectors and countries. The authors of this article call upon all stakeholders to pay attention to these seemingly obvious but often under addressed problems. If left unresolved, this may render all current and future AMS initiatives pointless.</t>
  </si>
  <si>
    <t>[Tiong, John J. L.; Loo, Jason S. E.] Taylors Univ, Sch Pharm, Subang Jaya, Malaysia; [Mai, Chun-Wai] Int Med Univ, Sch Pharm, Bualt Jalil, Malaysia</t>
  </si>
  <si>
    <t>Taylor's University; International Medical University Malaysia</t>
  </si>
  <si>
    <t>Tiong, JJL (corresponding author), Taylors Univ, Sch Pharm, Subang Jaya, Malaysia.</t>
  </si>
  <si>
    <t>tjljohn@gmail.com</t>
  </si>
  <si>
    <t>Mai, Chun Wai/M-3972-2013; Loo, Jason S.E./Q-8888-2019</t>
  </si>
  <si>
    <t>Mai, Chun Wai/0000-0001-6532-184X; Loo, Jason S.E./0000-0001-6976-3282</t>
  </si>
  <si>
    <t>Taylor's University Malaysia; International Medical University; Sultan Mizan Antarctic Research Foundation Fellowship; Southeast Asia-European Union Network II Fellowship</t>
  </si>
  <si>
    <t>The authors gratefully acknowledge the support from Taylor's University Malaysia, International Medical University, Sultan Mizan Antarctic Research Foundation Fellowship and Southeast Asia-European Union Network II Fellowship.</t>
  </si>
  <si>
    <t>10.3389/fmicb.2016.01860</t>
  </si>
  <si>
    <t>ED3MB</t>
  </si>
  <si>
    <t>WOS:000388752100001</t>
  </si>
  <si>
    <t>Berkelhammer, M; Steen-Larsen, HC; Cosgrove, A; Peters, AJ; Johnson, R; Hayden, M; Montzka, SA</t>
  </si>
  <si>
    <t>Berkelhammer, M.; Steen-Larsen, H. C.; Cosgrove, A.; Peters, A. J.; Johnson, R.; Hayden, M.; Montzka, S. A.</t>
  </si>
  <si>
    <t>Radiation and atmospheric circulation controls on carbonyl sulfide concentrations in the marine boundary layer</t>
  </si>
  <si>
    <t>NORTHEAST ATLANTIC-OCEAN; ANTARCTIC ICE CORES; AIR-SEA FLUX; SURFACE WATERS; PHOTOCHEMICAL PRODUCTION; PACIFIC-OCEAN; IN-SITU; COS; SEAWATER; DIOXIDE</t>
  </si>
  <si>
    <t>A potential closure of the global carbonyl sulfide (COS or OCS) budget has recently been attained through a combination of remote sensing, modeling, and extended surface measurements. However, significant uncertainties in the spatial and temporal dynamics of the marine flux still persist. In order to isolate the terrestrial photosynthetic component of the global atmospheric OCS budget, tighter constraints on the marine flux are needed. We present 6 months of nearly continuous in situ OCS concentrations from the North Atlantic during the fall and winter of 2014-2015 using a combination of research vessel and fixed tower measurements. The data are characterized by synoptic-scale similar to 100 pmol mol(-1) variations in marine boundary layer air during transitions from subtropical to midlatitude source regions. The synoptic OCS variability is shown here to be a linear function of the radiation history along an air parcel's trajectory with no apparent sensitivity to the chlorophyll concentration of the surface waters that the air mass interacted with. This latter observation contradicts expectations and suggests a simple radiation limitation for the combined direct and indirect marine OCS emissions. Because the concentration of OCS in the marine boundary layer is so strongly influenced by an air parcel's history, marine and atmospheric concentrations would rarely be near equilibrium and thus even if marine production rates are held constant at a given location, the ocean-atmosphere flux would be sensitive to changes in atmospheric circulation alone. We hypothesize that changes in atmospheric circulation including latitudinal shifts in the storm tracks could affect the marine flux through this effect.</t>
  </si>
  <si>
    <t>[Berkelhammer, M.; Cosgrove, A.] Univ Illinois, Dept Earth &amp; Environm Sci, Chicago, IL 60607 USA; [Steen-Larsen, H. C.] Univ Copenhagen, Ctr Ice &amp; Climate, Copenhagen, Denmark; [Peters, A. J.; Johnson, R.; Hayden, M.] Bermuda Inst Ocean Sci, St Georges, Bermuda; [Montzka, S. A.] NOAA, Boulder, CO USA</t>
  </si>
  <si>
    <t>University of Illinois System; University of Illinois Chicago; University of Illinois Chicago Hospital; University of Copenhagen; Bermuda Institute of Ocean Sciences; National Oceanic Atmospheric Admin (NOAA) - USA</t>
  </si>
  <si>
    <t>Berkelhammer, M (corresponding author), Univ Illinois, Dept Earth &amp; Environm Sci, Chicago, IL 60607 USA.</t>
  </si>
  <si>
    <t>berkelha@uic.edu</t>
  </si>
  <si>
    <t>Steen-Larsen, Hans Christian/F-9927-2013; montzka, stephen/V-6162-2019; Johnson, Rodney/JXN-1278-2024</t>
  </si>
  <si>
    <t>montzka, stephen/0000-0002-9396-0400;</t>
  </si>
  <si>
    <t>NSF [OCE-1430741]</t>
  </si>
  <si>
    <t>NSF(National Science Foundation (NSF))</t>
  </si>
  <si>
    <t>MODIS chlorophyll a concentrations were originally obtained from ftp://podaac-ftp.jpl.nasa.gov/ and were provided by the Integrated Climate Data Center (ICDC, http://icdc.zmaw.de) University of Hamburg, Hamburg, Germany, in netCDF format for the period September 2014 to March 2015. MODIS SST data were originally obtained from ftp://podaac-ftp.jpl.nasa.gov/ and were provided by the Integrated Climate Data Center (ICDC, http://icdc.zmaw.de) University of Hamburg, Hamburg, Germany, in netCDF format for the period September 2014 to March 2015. Operation of the BIOS Tudor Hill Marine Atmospheric Observatory is funded by NSF grant OCE-1430741. Flask OCS data were downloaded from the NOAA GMD public FTP site. All carbonyl sulfide data discussed in the text are included in supporting information Tables S1 and S2 and are freely available for use without author consent.</t>
  </si>
  <si>
    <t>10.1002/2016JD025437</t>
  </si>
  <si>
    <t>WOS:000388960600030</t>
  </si>
  <si>
    <t>Mendo, T; Simon, C; Green, B; Gardner, C</t>
  </si>
  <si>
    <t>Mendo, Tania; Simon, Cedric; Green, Bridget; Gardner, Caleb</t>
  </si>
  <si>
    <t>Spatial Variability in Condition of Southern Rock Lobsters (Jasus edwardsii) at the Start of the Tasmanian Fishing Season</t>
  </si>
  <si>
    <t>NUTRITIONAL CONDITION; RESPIRATORY RESPONSES; LIVE TRANSPORT; SURVIVAL; RESERVES</t>
  </si>
  <si>
    <t>The southern rock lobster (Jasus edwardsii) industry in Australia favours red lobsters, which are usually caught in shallow waters, over paler (brindle) lobsters. This preference is driven partly by the Chinese market, where red is associated with luck and prosperity, and additionally, by the widely held perception within the industry that brindles have greater mortality rates during out of water transport than reds. Limited scientific evidence supports these industry observations; however, these studies did not evaluate the initial condition of lobsters. This study aimed first, to determine which variables better describe condition in J. edwardsii and second, to compare condition among lobsters in several sites around Tasmania at the typical time of high transport mortality. Male lobsters were collected from the South West, South East, East and North coast of Tasmania in late November/December 2014, which correspond to the start of the Tasmanian fishing season. A comprehensive condition assessment was applied by measuring tissue proximal composition, Brix index, Total Haemocyte Count, pH, haemocyanin and another 16 haemolymph parameters of interest. A useful framework to compare condition in J. edwardsii was established by first, using Brix index as a measure of nutritional condition, second, using pH, magnesium, and bicarbonate to evaluate differences in physiological condition and finally, using THC counts as a proxy for lobster health condition. Lobsters from different sites had different nutritional, physiological and health condition, consistent with industry observations, however our results indicate that some red shallow water lobsters exhibited poorer nutritional and health condition, while some deep water brindle lobsters were in good condition. Differences in condition could not be directly associated to catch depth of lobsters and was related to other spatially discrete factors which sometimes vary over distances &lt; 3 km.</t>
  </si>
  <si>
    <t>[Mendo, Tania; Simon, Cedric; Green, Bridget; Gardner, Caleb] Univ Tasmania, Fisheries &amp; Aquaculture Ctr, Inst Marine &amp; Antarctic Studies, Private Bag 49, Hobart, Tas 7001, Australia; [Mendo, Tania] Univ St Andrews, Scottish Oceans Inst, St Andrews KY1 6LB, Fife, Scotland; [Simon, Cedric] CSIRO, Bribie Isl Res Ctr, 144 North St, Woorim 4507, Australia</t>
  </si>
  <si>
    <t>University of Tasmania; University of St Andrews; Commonwealth Scientific &amp; Industrial Research Organisation (CSIRO); Queensland Department of Agriculture &amp; Fisheries</t>
  </si>
  <si>
    <t>Mendo, T (corresponding author), Univ Tasmania, Fisheries &amp; Aquaculture Ctr, Inst Marine &amp; Antarctic Studies, Private Bag 49, Hobart, Tas 7001, Australia.;Mendo, T (corresponding author), Univ St Andrews, Scottish Oceans Inst, St Andrews KY1 6LB, Fife, Scotland.</t>
  </si>
  <si>
    <t>tm96@st-andrews.ac.uk</t>
  </si>
  <si>
    <t>Simon, Cedric/AET-0945-2022; Mendo, Tania/AAH-7734-2020; Simon, Cedric/AAX-5264-2020; Gardner, Caleb/I-7086-2013</t>
  </si>
  <si>
    <t>Simon, Cedric/0000-0002-7535-3332; Mendo, Tania/0000-0003-4397-2064; Simon, Cedric/0000-0002-7535-3332; Gardner, Caleb/0000-0003-0324-4337</t>
  </si>
  <si>
    <t>Australian Seafood Cooperative Research Centre; Fisheries Research and Development Corporation [2014/726]; Australian Research Council's Industrial Transformation Research Program [IH120100032]; Tasmanian Department of Primary Industry, Parks, Water and the Environment</t>
  </si>
  <si>
    <t>Australian Seafood Cooperative Research Centre(Australian GovernmentDepartment of Industry, Innovation and ScienceCooperative Research Centres (CRC) Programme); Fisheries Research and Development Corporation; Australian Research Council's Industrial Transformation Research Program(Australian Research Council); Tasmanian Department of Primary Industry, Parks, Water and the Environment</t>
  </si>
  <si>
    <t>This research was funded by the Australian Seafood Cooperative Research Centre and the Fisheries Research and Development Corporation (project number 2014/726) (http://www.seafoodcrc.com/) (http://frdc.com.au/Pages/home.aspx). The Australian Research Council's Industrial Transformation Research Program (project number IH120100032) is gratefully acknowledged for providing further financial support for two authors to present this work at the Crustacean Society and International Association of Astacology Mid-year Meeting, 19-23 July 2015 (http://www.arc.gov.au/industrial-transformation-research-programme). The funders had no role in study design, data collection and analysis, decision to publish, or preparation of the manuscript.; Field and laboratory technical support was provided by Neville Barrett, Justin Hulls, Colin Fry, Keerthi Elizabeth Chinappa and Michael Porteus. Ben Lawler helped with collection of lobsters and Michael Blake of SALCO provided access to lobsters and valuable project support. The project was also supported by the Tasmanian Department of Primary Industry, Parks, Water and the Environment, especially James Parkinson. Many volunteers assisted with laboratory work and fieldwork throughout the project. We thank Dr Andrea Battison (CrustiPath) for her assistance with the analysis of haemolymph biochemistry.</t>
  </si>
  <si>
    <t>NOV 15</t>
  </si>
  <si>
    <t>e0166343</t>
  </si>
  <si>
    <t>10.1371/journal.pone.0166343</t>
  </si>
  <si>
    <t>EC0MG</t>
  </si>
  <si>
    <t>WOS:000387794600047</t>
  </si>
  <si>
    <t>Chang, C; Han, C; Han, Y; Do Hur, S; Lee, S; Motoyama, H; Hou, SG; Hong, S</t>
  </si>
  <si>
    <t>Chang, Chaewon; Han, Changhee; Han, Yeongcheol; Do Hur, Soon; Lee, Sanghee; Motoyama, Hideaki; Hou, Shugui; Hong, Sungmin</t>
  </si>
  <si>
    <t>Persistent Pb Pollution in Central East Antarctic Snow: A Retrospective Assessment of Sources and Control Policy Implications</t>
  </si>
  <si>
    <t>ISOTOPIC EVIDENCE; ATMOSPHERIC LEAD; HEAVY-METALS; ICE CORE; ANTHROPOGENIC LEAD; ACCUMULATION RATE; CENTRAL GREENLAND; COATS LAND; SOUTHERN; RECORD</t>
  </si>
  <si>
    <t>Well-defined variations in the enrichments and isotopic compositions of Pb have been observed in snow from Dome Fuji and Dome A in the central East Antarctic Plateau (EAP) over the past few decades. The Pb isotopic fingerprints indicate that the rapid increase in Pb enrichments from the mid 1970s, reaching a peak in similar to 1980, is due to the massive use of leaded gasoline in northern South America, especially Brazil. Since then, they show a continuous decline, mostly due to the significant removal of the Pb additives from gasoline in Brazil in the 1980s and, subsequently, in Argentina and Chile in the 1990s. After the phase-out of Pb in gasoline, Cu smelting in Chile has become the major source of Pb, contributing, similar to 90% to the total Pb emissions in northern South America in 2005. Nevertheless, Pb pollution in the central EAP declined substantially until recently as a result of the regulatory efforts to curb toxic trace metal emissions from the Cu industry in Chile. However, more than 90% of the Pb in the most remote places on Earth are still of anthropogenic origin, highlighting the need for the continuation of environmental regulations for the further reduction of Pb emissions.</t>
  </si>
  <si>
    <t>[Chang, Chaewon; Han, Changhee; Lee, Sanghee; Hong, Sungmin] Inha Univ, Dept Ocean Sci, 100 Inha Ro, Inchon 22212, South Korea; [Chang, Chaewon; Han, Changhee; Han, Yeongcheol; Do Hur, Soon] Korea Polar Res Inst, 26 Songdomirae Ro, Inchon 21990, South Korea; [Motoyama, Hideaki] Natl Inst Polar Res, 10-3 Midori Cho, Tachikawa, Tokyo 1908518, Japan; [Hou, Shugui] Nanjing Univ, Sch Geog &amp; Oceanog Sci, Key Lab Coast &amp; Isl Dev, Minist Educ, 22 Hankou Rd, Nanjing 210093, Jiangsu, Peoples R China</t>
  </si>
  <si>
    <t>Inha University; Korea Polar Research Institute (KOPRI); Research Organization of Information &amp; Systems (ROIS); National Institute of Polar Research (NIPR) - Japan; Nanjing University</t>
  </si>
  <si>
    <t>Hong, S (corresponding author), Inha Univ, Dept Ocean Sci, 100 Inha Ro, Inchon 22212, South Korea.</t>
  </si>
  <si>
    <t>smhong@inha.ac.kr</t>
  </si>
  <si>
    <t>Hou, Shugui/0000-0002-0905-3542</t>
  </si>
  <si>
    <t>Basic Science Research Program through the National Research Foundation of Korea (NRF) - Ministry of Education, Science and Technology [NRF-2012R1A1A2001832, NRF-2014R1A2A1A11050765]; Korea Polar Research Institute (KOPRI) in Korea [PE16010]; Japan Society for the Promotion of Science (JSPS) in Japan [20241007]; Chinese Academy of Sciences [XDB03030101-4]</t>
  </si>
  <si>
    <t>Basic Science Research Program through the National Research Foundation of Korea (NRF) - Ministry of Education, Science and Technology; Korea Polar Research Institute (KOPRI) in Korea; Japan Society for the Promotion of Science (JSPS) in Japan(Ministry of Education, Culture, Sports, Science and Technology, Japan (MEXT)Japan Society for the Promotion of Science); Chinese Academy of Sciences(Chinese Academy of Sciences)</t>
  </si>
  <si>
    <t>We thank all field personnel for sampling during the 2007/08 Japanese-Swedish IPY Antarctic expedition and the 2004/05 Chinese Antarctic Research Expedition. This research was supported by the Basic Science Research Program through the National Research Foundation of Korea (NRF) funded by the Ministry of Education, Science and Technology (NRF-2012R1A1A2001832 and NRF-2014R1A2A1A11050765). This work was also supported by a research grant (PE16010) from the Korea Polar Research Institute (KOPRI) in Korea, the Japan Society for the Promotion of Science (JSPS) research grant ((A) 20241007) in Japan, and the Chinese Academy of Sciences research grant (XDB03030101-4).</t>
  </si>
  <si>
    <t>10.1021/acs.est.6b03209</t>
  </si>
  <si>
    <t>EC5ED</t>
  </si>
  <si>
    <t>WOS:000388155000010</t>
  </si>
  <si>
    <t>Foppiano, AJ; Won, YI; Torres, XA; Flores, PA; Veloso, AD; Arriagada, MA</t>
  </si>
  <si>
    <t>Foppiano, A. J.; Won, Y-I.; Torres, X. A.; Flores, P. A.; Daniel Veloso, A.; Arriagada, M. A.</t>
  </si>
  <si>
    <t>Ionosonde and optical determinations of thermospheric neutral winds over the Antarctic Peninsula</t>
  </si>
  <si>
    <t>ADVANCES IN SPACE RESEARCH</t>
  </si>
  <si>
    <t>Thermosphere; Antarctic Peninsula; Neutral winds; FPI; Ionosonde</t>
  </si>
  <si>
    <t>FABRY-PEROT-INTERFEROMETER; KING GEORGE ISLAND; MERIDIONAL WINDS; F2 PEAK; ELECTRON-CONCENTRATION; SOLAR-CYCLE; HEIGHT; F2-LAYER; MODEL; MIDLATITUDES</t>
  </si>
  <si>
    <t>Ionosonde observations have been made at Great Wall station (62.22 degrees S; 58.97 degrees W), King George Island, and at further south Vernadsky station (65.25 degrees S; 64.27 degrees W), Argentine Islands, for many years. For several days at the two locations the magnetic meridional component of the thermospheric neutral wind has also been derived using three different algorithms with ionosonde data input. At King Sejong station (62.22 degrees S; 58.78 degrees W), close to Great Wall, almost simultaneous thermospheric winds were measured with.a Fabry-Perot Interferometer (FPI) during a few days in 1997. All days correspond to intervals of low solar and geomagnetic activity levels and for different seasons. Here, the geographic meridional FPI winds measured at the geographic south pointing location are compared with the magnetic meridional component of the wind derived from ionosonde observations at Vernadsky. Also, the magnetic meridian FPI winds measured using all four cardinal pointing locations are compared with the magnetic meridional component of the wind derived from ionosonde observations at Great Wall. The patterns of the diurnal variations of the magnetic meridional component of ionosonde derived winds using the three different techniques are similar in most cases. However, the amplitudes of these variations and some individual values can differ by more than 150 m/s depending on season, particularly during daytime. Comparison of the autumn FPI with the ionosonde winds for Vernadsky and Great Wall shows that they coincide within observation uncertainties. Results for other seasons are not so good. Some of the discrepancies are discussed in relation to the hour-to-hour variability of ionosonde based winds and the latitudinal gradients of ionospheric characteristics. Other discrepancies need to be further explained. Recently reported FPI mean winds for tens of days in different seasons for Palmer (64.77 degrees S; 64.05 degrees W), Anvers Island, are found to be particularly close to ionosonde derived mean winds for Argentine Islands station (former Vernadsky), albeit observations are for different time intervals. Unless comprehensive FPI winds for the Antarctic Peninsula longitude sector become available, ionosonde based winds seem to be reliable enough for several purposes. (C) 2016 COSPAR. Published by Elsevier Ltd. All rights reserved.</t>
  </si>
  <si>
    <t>[Foppiano, A. J.; Daniel Veloso, A.] Univ Concepcion, Casilla 160-C, Concepcion, Chile; [Won, Y-I.] NASA, Goddard Space Flight Ctr, Wyle ESDIS, Greenbelt, MD 20771 USA; [Torres, X. A.; Flores, P. A.; Arriagada, M. A.] Univ Bio Bio, Casilla 5-C, Concepcion, Chile</t>
  </si>
  <si>
    <t>Universidad de Concepcion; National Aeronautics &amp; Space Administration (NASA); NASA Goddard Space Flight Center; Universidad del Bio-Bio</t>
  </si>
  <si>
    <t>Foppiano, AJ (corresponding author), Univ Concepcion, Casilla 160-C, Concepcion, Chile.</t>
  </si>
  <si>
    <t>foppiano@udec.cl</t>
  </si>
  <si>
    <t>0273-1177</t>
  </si>
  <si>
    <t>1879-1948</t>
  </si>
  <si>
    <t>ADV SPACE RES</t>
  </si>
  <si>
    <t>Adv. Space Res.</t>
  </si>
  <si>
    <t>10.1016/j.asr.2016.01.001</t>
  </si>
  <si>
    <t>Engineering, Aerospace; Astronomy &amp; Astrophysics; Geosciences, Multidisciplinary; Meteorology &amp; Atmospheric Sciences</t>
  </si>
  <si>
    <t>Engineering; Astronomy &amp; Astrophysics; Geology; Meteorology &amp; Atmospheric Sciences</t>
  </si>
  <si>
    <t>EB6UL</t>
  </si>
  <si>
    <t>WOS:000387521000012</t>
  </si>
  <si>
    <t>Ullman, DJ; Carlson, AE; Hostetler, SW; Clark, PU; Cuzzone, J; Milne, GA; Winsor, K; Caffee, M</t>
  </si>
  <si>
    <t>Ullman, David J.; Carlson, Anders E.; Hostetler, Steven W.; Clark, Peter U.; Cuzzone, Joshua; Milne, Glenn A.; Winsor, Kelsey; Caffee, Marc</t>
  </si>
  <si>
    <t>Final Laurentide ice-sheet deglaciation and Holocene climate-sea level change</t>
  </si>
  <si>
    <t>Holocene; Laurentide ice sheet; Surface exposure dating; Sea level rise</t>
  </si>
  <si>
    <t>PRODUCTION-RATE CALIBRATION; LAST DEGLACIATION; PRODUCTION-RATES; LABRADOR SECTOR; COLD EVENT; SURFACE; THICKNESS; MODEL; BE-10; INSTABILITY</t>
  </si>
  <si>
    <t>Despite elevated summer insolation forcing during the early Holocene, global ice sheets retained nearly half of their volume from the Last Glacial Maximum, as indicated by deglacial records of global mean sea level (GMSL). Partitioning the GMSL rise among potential sources requires accurate dating of ice-sheet extent to estimate ice-sheet volume. Here, we date the final retreat of the Laurentide Ice Sheet with Be-10 surface exposure ages for the Labrador Dome, the largest of the remnant Laurentide ice domes during the Holocene. We show that the Labrador Dome deposited moraines during North Atlantic cold events at similar to 10.3 ka, 9.3 ka and 8.2 ka, suggesting that these regional climate events helped stabilize the retreating Labrador Dome in the early Holocene. After Hudson Bay became seasonally ice free at 8.2 ka, the majority of Laurentide ice-sheet melted abruptly within a few centuries. We demonstrate through high-resolution regional climate model simulations that the thermal properties of a seasonally ice-free Hudson Bay would have increased Laurentide ice-sheet ablation and thus contributed to the subsequent rapid Labrador Dome retreat. Finally, our new 10Be chronology indicates full Laurentide ice-sheet had completely deglaciated by 6.7 +/- 0.4 ka, which re quires that Antarctic ice sheets contributed 3.6 -6.5 m to GMSL rise since 6.3-7.1 ka. (C) 2016 Elsevier Ltd. All rights reserved.</t>
  </si>
  <si>
    <t>[Ullman, David J.] Northland Coll, Dept Geosci, Ashland, WI 54806 USA; [Ullman, David J.; Carlson, Anders E.; Hostetler, Steven W.; Clark, Peter U.; Cuzzone, Joshua] Oregon State Univ, Coll Earth Ocean &amp; Atmospher Sci, Corvallis, OR 97331 USA; [Ullman, David J.] Univ Wisconsin Madison, Dept Geosci, Madison, WI USA; [Hostetler, Steven W.] US Geol Survey, Corvallis, OR USA; [Cuzzone, Joshua] CALTECH, Jet Prop Lab, NASA, Pasadena, CA USA; [Milne, Glenn A.] Univ Ottawa, Dept Earth Sci, Ottawa, ON, Canada; [Winsor, Kelsey] Univ Massachusetts Lowell, Dept Environm Earth &amp; Atmospher Sci, Lowell, MA USA; [Caffee, Marc] Purdue Univ, Dept Phys, PRIME Lab, W Lafayette, IN 47907 USA; [Caffee, Marc] Purdue Univ, Dept Earth Atmospher &amp; Planetary Sci, W Lafayette, IN 47907 USA</t>
  </si>
  <si>
    <t>Oregon State University; University of Wisconsin System; University of Wisconsin Madison; United States Department of the Interior; United States Geological Survey; National Aeronautics &amp; Space Administration (NASA); NASA Jet Propulsion Laboratory (JPL); California Institute of Technology; University of Ottawa; University of Massachusetts System; University of Massachusetts Lowell; Purdue University System; Purdue University; Purdue University System; Purdue University</t>
  </si>
  <si>
    <t>Ullman, DJ (corresponding author), Northland Coll, Dept Geosci, Ashland, WI 54806 USA.</t>
  </si>
  <si>
    <t>dullman@northland.edu</t>
  </si>
  <si>
    <t>Wisconsin Alumni Research Foundation; National Science Foundation [EAR-0958872/-1343573, EAR-0958417]; Division Of Earth Sciences; Directorate For Geosciences [1560658] Funding Source: National Science Foundation</t>
  </si>
  <si>
    <t>Wisconsin Alumni Research Foundation; National Science Foundation(National Science Foundation (NSF)); Division Of Earth Sciences; Directorate For Geosciences(National Science Foundation (NSF)NSF - Directorate for Geosciences (GEO))</t>
  </si>
  <si>
    <t>We thank Shaun Marcott, Kyle Fredericks, Levi Mitchell, Richard Becker, and Brent Goehring for their assistance and helpful discussions related to this project. Research was supported by the Wisconsin Alumni Research Foundation and National Science Foundation awards EAR-0958872/-1343573 (AEC) and EAR-0958417 (PUC). Finally, we also thank two anonymous reviewers for their constructive comments and suggestions, which helped to improve this paper.</t>
  </si>
  <si>
    <t>10.1016/j.quascirev.2016.09.014</t>
  </si>
  <si>
    <t>EB6WT</t>
  </si>
  <si>
    <t>WOS:000387527000004</t>
  </si>
  <si>
    <t>Linch, LD; Dowdeswell, JA</t>
  </si>
  <si>
    <t>Linch, Lorna D.; Dowdeswell, Julian A.</t>
  </si>
  <si>
    <t>Micromorphology of diamicton affected by iceberg-keel scouring, Scoresby Sund, East Greenland</t>
  </si>
  <si>
    <t>Iceberg scours; Ploughmarks; Gouges; Micromorphology; Diamicton; Ice-rafted debris (IRD); Scoresby sund; East Greenland</t>
  </si>
  <si>
    <t>SUBGLACIAL TILL; LABORATORY EXPERIMENTS; GLACIMARINE SEDIMENTS; ICE-SHEET; MICROSTRUCTURES; DEFORMATION; PLEISTOCENE; ONTARIO; STRAIN; DEBRIS</t>
  </si>
  <si>
    <t>Icebergs are important as agents of deposition and seafloor reworking on glacier-influenced continental margins. When the keel of an iceberg exceeds water depth it ploughs through soft sediments producing scours/ploughmarks that can be kilometres long, hundreds of metres wide and sometimes tens of metres deep. Because the influence of iceberg keels on sediment is a critical factor when offshore structures (e.g. pipelines, power cables) are installed, the surface morphology of iceberg scours on the seafloor is relatively well-documented. Less however, is known about sub-scour deformation below the seafloor. This is particularly true of iceberg scoured diamicton (poorly sorted sediment comprising a variety of particle sizes), which is present in many high-latitude fjords and continental shelves. The aim of this research is to examine directly (macroscopically and microscopically, with thin sections) the style and intensity of deformation caused by the scouring action of iceberg keels in diamicton offshore of East Greenland. Results show that a distinctive suite of deformation structures (individual structures and overprinted structural patterns) dominated by planar shear, sediment mixing and high porewater, and dropstones characterises iceberg scoured diamicton. In addition, diamicton from areas of high-intensity iceberg scouring tends to show a wider variety, higher frequency and distribution, more abundant and better-developed deformation structures than diamicton from areas of intermediate- and low-intensity iceberg scouring. Characterising the effects of iceberg scour in diamicton is important more widely to inform: i) reconstruction of the geometry and dynamics of former ice sheets; and ii) installation and protection of offshore engineering structures in diamicton where iceberg scouring presents a geohazard. The value of micromorphology is significant especially in the absence of macroscopic sediment exposures/outcrops where the study of cores is necessary instead. (C) 2016 Elsevier Ltd. All rights reserved.</t>
  </si>
  <si>
    <t>[Linch, Lorna D.] Univ Brighton, Sch Environm &amp; Technol, Lewes Rd, Brighton BN2 4GJ, E Sussex, England; [Dowdeswell, Julian A.] Univ Cambridge, Scott Polar Res Inst, Cambridge CB2 1ER, England</t>
  </si>
  <si>
    <t>University of Brighton; University of Cambridge</t>
  </si>
  <si>
    <t>Linch, LD (corresponding author), Univ Brighton, Sch Environm &amp; Technol, Lewes Rd, Brighton BN2 4GJ, E Sussex, England.</t>
  </si>
  <si>
    <t>l.linch@brighton.ac.uk</t>
  </si>
  <si>
    <t>Dowdeswell, Julian/0000-0003-1369-9482; Linch, Lorna/0000-0002-9486-7574</t>
  </si>
  <si>
    <t>University of Brighton's 'Rising Stars Initiative'; 'School of Environment and Technology Research Investment Fund; Quaternary Research Association</t>
  </si>
  <si>
    <t>This research was primarily funded by the University of Brighton's 'Rising Stars Initiative' and the 'School of Environment and Technology Research Investment Fund', with supplementary funds awarded by the Quaternary Research Association. The funding sources had no involvement in study design, in collection, analysis and interpretation of data, in the writing of the article and in the decision to submit the article for publication. Special thanks go to Hannes Grobe (Alfred Wegener Institute) for permission to examine and sample sediment cores. Thanks also to Johann Phillip Klages (Alfred Wegener Institute) for his hospitality and guidance; Kelly Hogan (British Antarctic Survey) for assistance with examining Parasound records; Adrian Palmer (Royal Holloway University of London) for thin section production; and Pete Lyons, Magdalena Grove and Paul Kilkie (University of Brighton) for help in the laboratory. Final thanks to Emrys Phillips (British Geological Survey) for reviewer comments.</t>
  </si>
  <si>
    <t>10.1016/j.quascirev.2016.09.013</t>
  </si>
  <si>
    <t>WOS:000387527000013</t>
  </si>
  <si>
    <t>Whittaker, JM; Williams, SE; Halpin, JA; Wild, TJ; Stilwell, JD; Jourdan, F; Daczko, NR</t>
  </si>
  <si>
    <t>Whittaker, J. M.; Williams, S. E.; Halpin, J. A.; Wild, T. J.; Stilwell, J. D.; Jourdan, F.; Daczko, N. R.</t>
  </si>
  <si>
    <t>Eastern Indian Ocean microcontinent formation driven by plate motion changes</t>
  </si>
  <si>
    <t>plate tectonics; rifting; microcontinent; mantle plume</t>
  </si>
  <si>
    <t>LITHOSPHERE; PLUME; UNCERTAINTIES; EXTENSION; STANDARDS; SANIDINE; HIMALAYA; TIBET; ROCKS; AGES</t>
  </si>
  <si>
    <t>The roles of plate tectonic or mantle dynamic forces in rupturing continental lithosphere remain controversial. Particularly enigmatic is the rifting of microcontinents from mature continental rifted margins, with plume-driven thermal weakening commonly inferred to facilitate calving. However, a role for plate tectonic reorganisations has also been suggested. Here, we show that a combination of plate tectonic reorganisation and plume-driven thermal weakening were required to calve the Batavia and Gulden Draak microcontinents in the Cretaceous Indian Ocean. We reconstruct the evolution of these two microcontinents using constraints from new paleontological samples, 40Ar/39Ar ages, and geophysical data. Calving from India occurred at 101-104 Ma, coinciding with the onset of a dramatic change in Indian plate motion. Critically, Kerguelen plume volcanism does not appear to have directly triggered calving. Rather, it is likely that plume-related thermal weakening of the Indian passive margin preconditioned it for microcontinent formation but calving was triggered by changes in plate tectonic boundary forces. (C) 2016 Elsevier B.V. All rights reserved.</t>
  </si>
  <si>
    <t>[Whittaker, J. M.; Halpin, J. A.] Univ Tasmania, Inst Marine &amp; Antarctic Studies, Private Bag 129, Hobart, Tas 7001, Australia; [Williams, S. E.] Univ Sydney, Sch Geosci, EarthByte Res Grp, Sydney, NSW 2006, Australia; [Halpin, J. A.] Univ Tasmania, Sch Phys Sci, ARC Ctr Excellence Ore Deposits CODES, Private Bag 79, Hobart, Tas 7001, Australia; [Wild, T. J.; Stilwell, J. D.] Monash Univ, Sch Earth Atmosphere &amp; Environm, Clayton, Vic 3800, Australia; [Jourdan, F.] Curtin Univ, Dept Appl Geol, Western Australian Argon Isotope Facil, Perth, WA 6845, Australia; [Jourdan, F.] Curtin Univ, JdL CMS, Perth, WA 6845, Australia; [Daczko, N. R.] Macquarie Univ, Australian Res Council, Ctr Excellence Core Crust Fluid Syst CCFS, N Ryde, NSW 2109, Australia; [Daczko, N. R.] Macquarie Univ, Dept Earth &amp; Planetary Sci, GEMOC, N Ryde, NSW 2109, Australia</t>
  </si>
  <si>
    <t>University of Tasmania; University of Sydney; University of Tasmania; Monash University; Curtin University; Curtin University; Macquarie University; Macquarie University</t>
  </si>
  <si>
    <t>Whittaker, JM (corresponding author), Univ Tasmania, Inst Marine &amp; Antarctic Studies, Private Bag 129, Hobart, Tas 7001, Australia.</t>
  </si>
  <si>
    <t>jo.whittaker@utas.edu.au</t>
  </si>
  <si>
    <t>Halpin, Jacqueline A/A-3776-2014; Whittaker, Joanne/B-3695-2010</t>
  </si>
  <si>
    <t>Halpin, Jacqueline A/0000-0002-4992-8681; Stilwell, Jeffrey Darl/0000-0002-9853-1322; Williams, Simon/0000-0003-4670-8883; Whittaker, Joanne/0000-0002-3170-3935; Daczko, Nathan/0000-0002-3737-3818; Jourdan, Fred/0000-0001-5626-4521</t>
  </si>
  <si>
    <t>Statoil; ARC Centre of Excellence grant [CE0561595]; L'Oreal fellowship; ARC [DE140100376, FL0992245, DP120102060]; Australian Research Council [CE0561595, DE140100376] Funding Source: Australian Research Council</t>
  </si>
  <si>
    <t>Statoil; ARC Centre of Excellence grant(Australian Research Council); L'Oreal fellowship(L'Oreal Group); ARC(Australian Research Council); Australian Research Council(Australian Research Council)</t>
  </si>
  <si>
    <t>This work was only possible with the support of the crew and scientific party aboard voyage SS2011/v06 of the Australian Marine National Facility, RN Southern Surveyor. We also thank Statoil for providing additional financial support to this voyage. Analytical work was supported by an ARC Centre of Excellence grant CE0561595 (UTas) and a L'Oreal fellowship to J.M.W. J.M.W. was supported by ARC grant DE140100376. S.E.W. was supported by ARC grant FL0992245. Macquarie University internal funding and ARC grant DP120102060 supported NRD. This is contribution 850 from the ARC Centre of Excellence for Core to Crust Fluid Systems (http://www.ccfs.mq.edu.au) and 1108 in the GEMOC Key Centre (http://www.gemoc.mq.edu.au). J.S. and T.W. acknowledge Steven Morton for macrophotography, and the Monash Centre for Electron Microscopy for SEM imaging.</t>
  </si>
  <si>
    <t>10.1016/j.epsl.2016.09.019</t>
  </si>
  <si>
    <t>EA5FV</t>
  </si>
  <si>
    <t>WOS:000386645700021</t>
  </si>
  <si>
    <t>Stewart, JA; Gutjahr, M; James, RH; Anand, P; Wilson, PA</t>
  </si>
  <si>
    <t>Stewart, Joseph A.; Gutjahr, Marcus; James, Rachael H.; Anand, Pallavi; Wilson, Paul A.</t>
  </si>
  <si>
    <t>Influence of the Amazon River on the Nd isotope composition of deep water in the western equatorial Atlantic during the Oligocene-Miocene transition</t>
  </si>
  <si>
    <t>neodymium isotopes; fish teeth; foraminifera; Amazon; Oligocene-Miocene; ODP Site 926</t>
  </si>
  <si>
    <t>MERIDIONAL OVERTURNING CIRCULATION; ANTARCTIC SOUTH ATLANTIC; FOSSIL FISH TEETH; NEODYMIUM ISOTOPES; OCEAN CIRCULATION; NORTH-ATLANTIC; PACIFIC OCEANS; INDIAN-OCEAN; SEAWATER SR; CEARA RISE</t>
  </si>
  <si>
    <t>Dissolved and particulate neodymium (Nd) are mainly supplied to the oceans via rivers, dust, and release from marine sediments along continental margins. This process, together with the short oceanic residence time of Nd, gives rise to pronounced spatial gradients in oceanic Nd-143/Nd-144 ratios (epsilon(Nd)). However, we do not yet have a good understanding of the extent to which the influence of riverine point-source Nd supply can be distinguished from changes in mixing between different water masses in the marine geological record. This gap in knowledge is important to fill because there is growing awareness that major global climate transitions may be associated not only with changes in large-scale ocean water mass mixing, but also with important changes in continental hydroclimate and weathering. Here we present epsilon(Nd) data for fossilised fish teeth, planktonic foraminifera, and the Fe-Mn oxyhydroxide and detrital fractions of sediments recovered from Ocean Drilling Project (ODP) Site 926 on Ceara Rise, situated approximately 800 km from the mouth of the River Amazon. Our records span the Mi-1 glaciation event during the Oligocene-Miocene transition (OMT; similar to 23 Ma). We compare our epsilon(Nd) records with data for ambient deep Atlantic northern and southern component waters to assess the influence of particulate input from the Amazon River on Nd in ancient deep waters at this site. epsilon(Nd) values for all of our fish teeth, foraminifera, and Fe-Mn oxyhydroxide samples are extremely unradiogenic (epsilon(Nd) approximate to -15); much lower than the epsilon(Nd) for deep waters of modern or Oligocene-Miocene age from the North Atlantic (epsilon(Nd) approximate to -10) and South Atlantic (epsilon(Nd) approximate to -8). This finding suggests that partial dissolution of detrital particulate material from the Amazon (epsilon(Nd) approximate to 18) strongly influences the epsilon(Nd) values of deep waters at Ceara Rise across the OMT. We conclude that terrestrially derived inputs of Nd can affect epsilon(Nd) values of deep water many hundreds of kilometres from source. Our results both underscore the need for care in reconstructing changes in large-scale oceanic water-mass mixing using sites proximal to major rivers, and highlight the potential of these marine archives for tracing changes in continental hydroclimate and weathering. (C) 2016 The Authors. Published by Elsevier B.V.</t>
  </si>
  <si>
    <t>[Stewart, Joseph A.; James, Rachael H.; Wilson, Paul A.] Univ Southampton, Natl Oceanog Ctr Southampton, European Way, Southampton SO14 3ZH, Hants, England; [Stewart, Joseph A.] NIST, Hollings Marine Lab, 331 Ft Johnson Rd, Charleston, SC 29412 USA; [Gutjahr, Marcus] GEOMAR Helmholtz Ctr Ocean Res Kiel, Wischhofstr 1-3, D-24148 Kiel, Germany; [Anand, Pallavi] Open Univ, Sch Environm Earth &amp; Ecosyst Sci, Walton Hall, Milton Keynes MK7 6AA, Bucks, England</t>
  </si>
  <si>
    <t>University of Southampton; NERC National Oceanography Centre; National Institute of Standards &amp; Technology (NIST) - USA; Helmholtz Association; GEOMAR Helmholtz Center for Ocean Research Kiel; Open University - UK</t>
  </si>
  <si>
    <t>Stewart, JA (corresponding author), NIST, Hollings Marine Lab, 331 Ft Johnson Rd, Charleston, SC 29412 USA.</t>
  </si>
  <si>
    <t>Joseph.Stewart@noaa.gov</t>
  </si>
  <si>
    <t>Gutjahr, Marcus/L-9158-2013; Anand, Pallavi/Q-6725-2019; James, Rachael H/G-8613-2011; Gutjahr, Marcus/ABC-2674-2020</t>
  </si>
  <si>
    <t>Gutjahr, Marcus/0000-0003-2556-2619; Anand, Pallavi/0000-0002-3159-0096; Gutjahr, Marcus/0000-0003-2556-2619; James, Rachael/0000-0001-7402-2315; Wilson, Paul/0000-0001-6425-8906; Stewart, Joseph/0000-0003-3092-5058</t>
  </si>
  <si>
    <t>US National Science Foundation; UK Natural Environment Research Council [NE/D005108/1, NE/K014137/1]; Royal Society Research Merit Award; NERC [NE/K008390/1, NE/D005108/1, NE/K014137/1] Funding Source: UKRI; Natural Environment Research Council [NE/K014137/1, NE/K008390/1, NE/D005108/1] Funding Source: researchfish</t>
  </si>
  <si>
    <t>US National Science Foundation(National Science Foundation (NSF)); UK Natural Environment Research Council(UK Research &amp; Innovation (UKRI)Natural Environment Research Council (NERC)); Royal Society Research Merit Award; NERC(UK Research &amp; Innovation (UKRI)Natural Environment Research Council (NERC)); Natural Environment Research Council(UK Research &amp; Innovation (UKRI)Natural Environment Research Council (NERC))</t>
  </si>
  <si>
    <t>This work used samples provided by the (Integrated) Ocean Drilling Program (ODP), which is sponsored by the US National Science Foundation and participating countries under management of the Joint Oceanographic Institutions (JOI), Inc. We thank Walter Hale and staff at the Bremen Core Repository for their help in obtaining core material and also Guy Rothwell of BOSCORF for providing core top material for production of our in-house foraminiferal calcite standards. We thank Dieter Garbe-Schonberg (University Kiel) and Ana Kolevica (GEOMAR Kiel) for their help in detrital sample processing. We are indebted to Gavin Foster, Carrie Lear, Dan Murphy, Fred Le Moigne, Helen Griffin and Anya Crocker for their advice and helpful discussion of the manuscript. We also thank Derek Vance for assistance with deconvolution of Nd isotope data and Matt Cooper, Darryl Green and Andy Milton for their help with laboratory work. Three anonymous reviewers and the editor provided constructive reviews that improved an earlier version of the manuscript.; Financial support was provided by the UK Natural Environment Research Council, award # NE/D005108/1 to R.H.J and NE/K014137/1 and a Royal Society Research Merit Award to P.A.W.</t>
  </si>
  <si>
    <t>10.1016/j.epsl.2016.08.037</t>
  </si>
  <si>
    <t>WOS:000386645700015</t>
  </si>
  <si>
    <t>Thresher, RE; Fallon, SJ; Townsend, AT</t>
  </si>
  <si>
    <t>Thresher, Ronald E.; Fallon, Stewart J.; Townsend, Ashley T.</t>
  </si>
  <si>
    <t>A core-top screen for trace element proxies of environmental conditions and growth rates in the calcite skeletons of bamboo corals (Isididae)</t>
  </si>
  <si>
    <t>Barium; Growth rate; Manganese; Magnesium; Phosphorous; Strontium; Silicate; Temperature</t>
  </si>
  <si>
    <t>FORAMINIFERAL MG/CA-PALEOTHERMOMETRY; STRONTIUM CONCENTRATIONS; BENTHIC FORAMINIFERA; NORTH-ATLANTIC; BARIUM UPTAKE; NEW-ZEALAND; WATER; SEA; TEMPERATURE; MAGNESIUM</t>
  </si>
  <si>
    <t>We test for trace element proxies in the high-magnesium calcite fraction of bamboo coral internodes by comparing environmental conditions and growth rates to the specimen-mean compositions of 73 corals that were live-caught at depths ranging from 3 to 3950 m and collected from habitats ranging from tropical coral reefs to the Antarctic slope. Comparisons were done at a large geographic scale (LGS) and for a well sampled area south of Australia, across depths at a single site, in order to help separate the effects of environmental variables that co-vary at one spatial scale, but not the other. Thirty-seven trace elements were measured using solution-based Sector Field ICP-MS, of which seventeen were significantly detected in more than a third of the specimens. Only eight element/calcium ratios correlated significantly with any environmental variable at the large geographic scale, and only four did so at the local level. At the LGS, the highest correlation was between ambient temperature and Mg/Ca, which accounted for 89% of the variance across specimens, spanned all four Isidid sub-families and was independently significant in the two best sampled sub-families. The predictive (geometric mean) relationship is T (degrees C) = -23.9(+/- 2.46) +0: 34(+/- 0.25) Mg/Ca (mmol/mol) spanning a temperature range of -1.9 to 26.8 degrees C, Mg/Ca ratios from 58.6 to 155.1 mmol/mol, and an uncertainty (RMS) of 2.78 degrees C. The numbers in parentheses are 95% CIs. The slope of the regression does not differ significantly from that of abiotic high-Mg calcites, which suggests that the temperature-dependent incorporation of Mg into the carbonate results from kinetic reactions at the crystal surface. Analysis at the SH scale for the sub-set of specimens for which we had data suggests is also affected by growth rates. There were no obvious trace element correlates at either spatial scale of salinity or oxygen levels that could not be accounted for by covariance between these environmental parameters and, in most cases, temperature. Single and multiple correlation analyses also confirm previous suggestions that Ba/Ca in bamboo coral calcite is a proxy for seawater barium and hence refractory nutrients, suggest that Sr/Ca is influenced by specimen-mean Mg/Ca ratios and water temperature as well as possibly seawater Sr/Ca, and falsify for bamboo corals P/Ca (as well as P/Cd and Cd/Ca) as a proxy for seawater phosphate levels. The predictive relationship between Isidid skeletal-mean Ba/Ca and seawater silicate concentrations appears to be linear, and is given by silicate(mu mol kg(-1)) = 56.7(+/- 20.8) broken vertical bar 9217(+/- 1632) Ba/Ca(mmol/mol) spanning a silicate range of 0.5 to 120 mu mol kg(-1) , a Ba/Ca range of 0.0042 to 0.0195 mmol/mol, and with an uncertainty (RMS) of 33.1 mu mol kg(-1) . Mn/Ca differences among specimens and sites are highly significant and appear to reflect seawater Mn, suggesting a proxy for this micronutrient. The compilation of growth rate data across 34 specimens indicates a wide range of growth rates even among con-familial specimens from within a single habitat, and suggests both ambient temperature and food availability underlie at least part of this variability.Crown Copyright (C) 2016 Published by Elsevier Ltd. All rights reserved.</t>
  </si>
  <si>
    <t>[Thresher, Ronald E.] CSIRO Oceans &amp; Atmosphere, GPO Box 1538, Hobart, Tas 7001, Australia; [Fallon, Stewart J.] Australian Natl Univ, Res Sch Earth Sci, Canberra, ACT 0200, Australia; [Townsend, Ashley T.] Univ Tasmania, Cent Sci Lab, Sandy Bay, Tas 7005, Australia</t>
  </si>
  <si>
    <t>Commonwealth Scientific &amp; Industrial Research Organisation (CSIRO); Australian National University; University of Tasmania</t>
  </si>
  <si>
    <t>Thresher, RE (corresponding author), CSIRO Oceans &amp; Atmosphere, GPO Box 1538, Hobart, Tas 7001, Australia.</t>
  </si>
  <si>
    <t>Ron.Thresher@csiro.au</t>
  </si>
  <si>
    <t>Townsend, Ashley/J-7445-2014; Thresher, Ronald/C-7442-2009; Fallon, Stewart/G-6645-2011</t>
  </si>
  <si>
    <t>Townsend, Ashley/0000-0002-2972-2678; Fallon, Stewart/0000-0002-8064-5903</t>
  </si>
  <si>
    <t>ARC LIEF [LE0989539]</t>
  </si>
  <si>
    <t>ARC LIEF(Australian Research Council)</t>
  </si>
  <si>
    <t>We thank P. Alderslade, N. Barrett, R. Berkelmans, S. Cairns, L. Evans-Illidge, K. Gowlett-Holmes, E. Lazlo, J. Lough, F. McEnnulty, K. Moore, D. Tracey and the crews of the RV Thomas Thompson and the ROV Jason2 for valuable assistance in obtaining specimens, A. Gronell, S. Rintoul, P. Thompson and B. Tilbrook for equally valuable assistance in delving into oceanographic data bases and advice on relevant literature, and E. Butler for advice on procedures for the chemical analysis. The analysis of environmental correlates of growth rates was prompted by useful correspondence with J. Farmer. Access to ICP-MS instrumentation was supported through ARC LIEF LE0989539.</t>
  </si>
  <si>
    <t>10.1016/j.gca.2016.07.033</t>
  </si>
  <si>
    <t>DZ0DP</t>
  </si>
  <si>
    <t>WOS:000385507900006</t>
  </si>
  <si>
    <t>Stark, JS; Corbett, PA; Dunshea, G; Johnstone, G; King, C; Mondon, JA; Power, ML; Samuel, A; Snape, I; Riddle, M</t>
  </si>
  <si>
    <t>Stark, Jonathan S.; Corbett, Patricia A.; Dunshea, Glenn; Johnstone, Glenn; King, Catherine; Mondon, Julie A.; Power, Michelle L.; Samuel, Angelingifta; Snape, Ian; Riddle, Martin</t>
  </si>
  <si>
    <t>The environmental impact of sewage and wastewater outfalls in Antarctica: An example from Davis station, East Antarctica</t>
  </si>
  <si>
    <t>WATER RESEARCH</t>
  </si>
  <si>
    <t>Antibiotic resistance; Escherichia coli; Benthic communities; Coastal ecosystem; Pollution; Stable isotopes</t>
  </si>
  <si>
    <t>TREMATOMUS-BERNACCHII PISCES; SOFT-SEDIMENT ASSEMBLAGES; ESCHERICHIA-COLI; MCMURDO-STATION; MULTIVARIATE-ANALYSIS; BENTHIC COMMUNITIES; FECAL-COLIFORMS; VESTFOLD HILLS; CASEY STATION; URINARY-TRACT</t>
  </si>
  <si>
    <t>We present a comprehensive scientific assessment of the environmental impacts of an Antarctic wastewater ocean outfall, at Davis station in East Antarctica. We assessed the effectiveness of current wastewater treatment and disposal requirements under the Protocol on Environmental Protection to the Antarctic Treaty. Macerated wastewater has been discharged from an outfall at Davis since the failure of the secondary treatment plant in 2005. Water, sediment and wildlife were tested for presence of human enteric bacteria and antibiotic resistance mechanisms. Epibiotic and sediment macrofaunal communities were tested for differences between sites near the outfall and controls. Local fish were examined for evidence of histopathological abnormalities. Sediments, fish and gastropods were tested for uptake of sewage as measured by stable isotopes of N and C. Escherichia coli carrying antibiotic resistance determinants were found in water, sediments and wildlife (the filter feeding bivalve Laternula eliptica). Fish (Trematomus bernacchii) within close proximity to the outfall had significantly more severe and greater occurrences of histopathological abnormalities than at controls, consistent with exposure to sewage. There was significant enrichment of N-15 in T. bernacchii and the predatory gastropod Neobuccinum eatoni around the outfall, providing evidence of uptake of sewage. There were significant differences between epibiotic and sediment macrofaunal communities at control and outfall sites (&lt;1.5 km), when sites were separated into groups of similar habitat types. Benthic community composition was also strongly related to habitat and environmental drivers such as sea ice. The combined evidence indicated that the discharge of wastewater from the Davis outfall is causing environmental impacts. These findings suggest that conditions in Antarctic coastal locations, such as Davis, are unlikely to be conducive to initial dilution and rapid dispersal of wastewater as required under the Protocol on Environmental Protection to the Antarctic Treaty. Current minimum requirements for wastewater treatment and disposal in Antarctica are insufficient to ameliorate these risks and are likely to lead to accumulation of contaminants and introduction of non-native microbes and associated genetic elements. This new understanding suggests that modernised approaches to the treatment and disposal of wastewater are required in Antarctica. The most effective solution is advanced levels of wastewater treatment, which are now possible, feasible and a high priority for installation. As a direct outcome of the study, a new advanced treatment system is being installed at Davis, effectively avoiding environmental risks. (C) 2016 Elsevier Ltd. All rights reserved.</t>
  </si>
  <si>
    <t>[Stark, Jonathan S.; Johnstone, Glenn; King, Catherine; Snape, Ian; Riddle, Martin] Australian Antarctic Div, Antarctic Conservat &amp; Management Theme, Channel Hwy, Kingston, Tas 7050, Australia; [Corbett, Patricia A.; Mondon, Julie A.] Deakin Univ, Ctr Integrat Ecol, Sch Life &amp; Environm Sci, Warrnambool Campus,POB 423, Warrnambool, Vic 3280, Australia; [Dunshea, Glenn] Ecol Marine Serv Pty Ltd, 2-3 Thomsen St, Millbank, Qld 4670, Australia; [Power, Michelle L.] Macquarie Univ, Dept Biol Sci, N Ryde, NSW 2109, Australia; [Samuel, Angelingifta] Australian Natl Univ, Res Sch Biol, Div Evolut Ecol &amp; Genet, 116 Daley Rd, Acton, ACT 2601, Australia</t>
  </si>
  <si>
    <t>Australian Antarctic Division; Deakin University; Macquarie University; Australian National University</t>
  </si>
  <si>
    <t>Stark, JS (corresponding author), Australian Antarctic Div, Antarctic Conservat &amp; Management Theme, Channel Hwy, Kingston, Tas 7050, Australia.</t>
  </si>
  <si>
    <t>jonny.stark@aad.gov.au</t>
  </si>
  <si>
    <t>King, Catherine K/0000-0003-3356-0381; Stark, Jonathan/0000-0002-4268-8072; Dunshea, Glenn/0000-0002-8683-0181; Johnstone, Glenn/0000-0002-9302-4794; Power, Michelle/0000-0003-3160-4301; Corbett, Patricia/0000-0002-0867-9113</t>
  </si>
  <si>
    <t>Australian Antarctic Division [3217]</t>
  </si>
  <si>
    <t>This project was made possible by the contributions of the following people: Helena Baird, Peter Barnes, Damon Bolton, Kathryn Brown, Lachlan Byatt, Cawthorn, Ben Coombe, Chris Gillies, Roger Handsworth, Melanie Ho, Greg Hince, Teresa O'Leary, Ewan McIvor, Michael Packer, Mark Pekin, Simon Reeves, Bianca Sfiligoj, Kate Stark, Scott Stark, Aaron Spur, Michelle Thums, Patti Virtue, Lauren Wise, Ellen Woolfenden, Mike Woolridge. This study was funded by the Australian Antarctic Division, project 3217.</t>
  </si>
  <si>
    <t>0043-1354</t>
  </si>
  <si>
    <t>1879-2448</t>
  </si>
  <si>
    <t>WATER RES</t>
  </si>
  <si>
    <t>Water Res.</t>
  </si>
  <si>
    <t>10.1016/j.watres.2016.09.026</t>
  </si>
  <si>
    <t>Engineering, Environmental; Environmental Sciences; Water Resources</t>
  </si>
  <si>
    <t>Engineering; Environmental Sciences &amp; Ecology; Water Resources</t>
  </si>
  <si>
    <t>DZ5KW</t>
  </si>
  <si>
    <t>WOS:000385902000062</t>
  </si>
  <si>
    <t>McWatters, RS; Wilkins, D; Spedding, T; Hince, G; Raymond, B; Lagerewskij, G; Terry, D; Wise, L; Snape, I</t>
  </si>
  <si>
    <t>McWatters, R. S.; Wilkins, D.; Spedding, T.; Hince, G.; Raymond, B.; Lagerewskij, G.; Terry, D.; Wise, L.; Snape, I.</t>
  </si>
  <si>
    <t>On site remediation of a fuel spill and soil reuse in Antarctica</t>
  </si>
  <si>
    <t>Biopiles; Bioremediation; Cold regions; Hydrocarbons; Contaminated soils</t>
  </si>
  <si>
    <t>HYDROCARBON-CONTAMINATED SOILS; COLD-ADAPTED MICROORGANISMS; PERMEABLE REACTIVE BARRIER; PETROLEUM-HYDROCARBONS; CASEY STATION; DIESEL FUEL; BIOREMEDIATION; BIODEGRADATION; TEMPERATURE; NITROGEN</t>
  </si>
  <si>
    <t>The first large-scale remediation of fuel contamination in Antarctica treated 10000 L of diesel dispersed in 1700 t of soil, and demonstrated the efficacy of on-site bioremediation. The project progressed through initial site assessment and natural attenuation, passive groundwater management, then active remediation and the managed reuse of soil. Monitoring natural attenuation for the first 12 years showed contaminant levels in surface soil remained elevated, averaging 5000 mg/kg. By contrast, in five years of active remediation (excavation and biopile treatment) contaminant levels decreased by a factor of four. Chemical indicators showed hydrocarbon loss was apportioned to both biodegradation and evaporative processes. Hydrocarbon degradation rates were assessed against biopile soil temperatures, showing a phase of rapid degradation (first 100 days above soil temperature threshold of 0 degrees C) followed by slower degradation (beyond 100 days above threshold). The biopiles operated successfully within constraints typical of harsh climates and remote sites, including limitations on resources, no external energy inputs and short field seasons. Non-native microorganisms (e.g. inoculations) and other organic materials (e.g. bulking agents) are prohibited in Antarctica making this cold region more challenging for remediation than the Arctic. Biopile operations included an initial fertiliser application, biannual mechanical turning of the soil and minimal leachate recirculation. The biopiles are a practical approach to remediate large quantities of contaminated soil in the Antarctic and already 370 t have been reused in a building foundation. The findings presented demonstrate that bioremediation is a viable strategy for Antarctica and other cold regions. Operators can potentially use the modelled relationship between days above 0 degrees C (threshold temperature) and the change in degradation rates to estimate how long it would take to remediate other sites using the biopile technology with similar soil and contaminant types. Crown Copyright (C) 2016 Published by Elsevier B.V. All rights reserved.</t>
  </si>
  <si>
    <t>[McWatters, R. S.; Wilkins, D.; Spedding, T.; Hince, G.; Raymond, B.; Lagerewskij, G.; Terry, D.; Wise, L.; Snape, I.] Australian Antarctic Div, Antarctic Conservat &amp; Management, Kingston, Tas, Australia</t>
  </si>
  <si>
    <t>McWatters, RS (corresponding author), Australian Antarctic Div, Antarctic Conservat &amp; Management, Kingston, Tas, Australia.</t>
  </si>
  <si>
    <t>rebecca.mcwatters@aad.gov.au</t>
  </si>
  <si>
    <t>Wilkins, Daniel/AAF-3959-2020</t>
  </si>
  <si>
    <t>Spedding, Tim/0000-0002-4023-2469; Wilkins, Daniel/0000-0003-2081-483X</t>
  </si>
  <si>
    <t>Australian Antarctic Science grant [1136, 4036]</t>
  </si>
  <si>
    <t>Australian Antarctic Science grant</t>
  </si>
  <si>
    <t>This Work was conducted under Australian Antarctic Science grant 1136 and 4036, and insurance funding. The authors acknowledge the work and assistance of past and present persons at the Australian Antarctic Division and Casey Station and of research collaborators from University of Melbourne, Macquarie University, Monash University, University of Tasmania, University of New South Wales, University of Saskatchewan, and Queen's University.</t>
  </si>
  <si>
    <t>10.1016/j.scitotenv.2016.07.084</t>
  </si>
  <si>
    <t>DW8UG</t>
  </si>
  <si>
    <t>WOS:000383930400097</t>
  </si>
  <si>
    <t>Picard, G; Libois, Q; Arnaud, L</t>
  </si>
  <si>
    <t>Picard, Ghislain; Libois, Quentin; Arnaud, Laurent</t>
  </si>
  <si>
    <t>Refinement of the ice absorption spectrum in the visible using radiance profile measurements in Antarctic snow</t>
  </si>
  <si>
    <t>OPTICAL-PROPERTIES; SOLAR-RADIATION; LIGHT TRANSMISSION; ALBEDO FEEDBACK; DOME C; ULTRAVIOLET; SURFACE; MODEL; APPROXIMATION; PENETRATION</t>
  </si>
  <si>
    <t>Ice is a highly transparent material in the visible. According to the most widely used database (IA2008; Warren and Brandt, 2008), the ice absorption coefficient reaches values lower than 10(-3) m(-1) around 400 nm. These values were obtained from a vertical profile of spectral radiance measured in a single snow layer at Dome C in Antarctica. We reproduced this experiment using an optical fiber inserted in the snow to record 56 profiles from which 70 homogeneous layers were identified. Applying the same estimation method on every layer yields 70 ice absorption spectra. They present a significant variability but absorption coefficients are overall larger than IA2008 by 1 order of magnitude at 400-450 nm. We devised another estimation method based on Bayesian inference that treats all the profiles simultaneously. It reduces the statistical variability and confirms the higher absorption, around 2 x 10(-2) m(-1) near the minimum at 440 nm. We explore potential instrumental artifacts by developing a 3-D radiative transfer model able to explicitly account for the presence of the fiber in the snow. The simulation shows that the radiance profile is indeed perturbed by the fiber intrusion, but the error on the ice absorption estimate is not larger than a factor of 2. This is insufficient to explain the difference between our new estimate and IA2008. The same conclusion applies regarding the plausible contamination by black carbon or dust, concentrations reported in the literature are insufficient. Considering the large number of profiles acquired for this study and other estimates from the Antarctic Muon and Neutrino Detector Array (AMANDA), we nevertheless estimate that ice absorption values around 10(-2) m(-1) at the minimum are more likely than under 10(-3) m(-1). A new estimate in the range 400-600 nm is provided for future modeling of snow, cloud, and sea-ice optical properties. Most importantly, we recommend that modeling studies take into account the large uncertainty of the ice absorption coefficient in the visible and that future estimations of the ice absorption coefficient should also thoroughly account for the impact of the measurement method.</t>
  </si>
  <si>
    <t>[Picard, Ghislain; Libois, Quentin; Arnaud, Laurent] UGA CNRS, UMR5183, LGGE, F-38041 Grenoble, France; [Picard, Ghislain] Univ Tasmania, ACE CRC, Private Bag 80, Hobart, Tas 7001, Australia; [Libois, Quentin] Univ Quebec, Dept Earth &amp; Atmospher Sci, Montreal, PQ, Canada</t>
  </si>
  <si>
    <t>Communaute Universite Grenoble Alpes; Universite Grenoble Alpes (UGA); University of Tasmania; Antarctic Climate &amp; Ecosystems Cooperative Research Centre (ACE CRC); University of Quebec; University of Quebec Montreal</t>
  </si>
  <si>
    <t>Picard, G (corresponding author), UGA CNRS, UMR5183, LGGE, F-38041 Grenoble, France.;Picard, G (corresponding author), Univ Tasmania, ACE CRC, Private Bag 80, Hobart, Tas 7001, Australia.</t>
  </si>
  <si>
    <t>ghislain.picard@univ-grenoble-alpes.fr</t>
  </si>
  <si>
    <t>Picard, Ghislain/D-4246-2013</t>
  </si>
  <si>
    <t>Picard, Ghislain/0000-0003-1475-5853; arnaud, laurent/0000-0002-4432-4205; libois, quentin/0000-0001-8963-4170</t>
  </si>
  <si>
    <t>ANR program [1-JS56-005-01 MONISNOW]; French Polar Institute (IPEV)</t>
  </si>
  <si>
    <t>ANR program(Agence Nationale de la Recherche (ANR)); French Polar Institute (IPEV)</t>
  </si>
  <si>
    <t>This study was supported by the ANR program 1-JS56-005-01 MONISNOW. The authors acknowledge the French Polar Institute (IPEV) for the financial and logistic support at Concordia station in Antarctica through the NIVO program. The computations have been done on the CIMENT cluster. The authors thank S. G. Warren and R. E. Brandt for discussions about their experimental setup and their comments on an earlier version of the manuscript. The editor and two anonymous reviewers are acknowledge for their suggestions to improve the manuscript, especially regarding the differences between the various ice absorption estimates. M. Dumont is also acknowledged for her comments on the initial manuscript.</t>
  </si>
  <si>
    <t>NOV 14</t>
  </si>
  <si>
    <t>10.5194/tc-10-2655-2016</t>
  </si>
  <si>
    <t>EC1MP</t>
  </si>
  <si>
    <t>WOS:000387870100001</t>
  </si>
  <si>
    <t>Turner, EC; Withington, S; Newnham, DA; Wadhams, P; Jones, AE; Clancy, R</t>
  </si>
  <si>
    <t>Turner, Emma C.; Withington, Stafford; Newnham, David A.; Wadhams, Peter; Jones, Anna E.; Clancy, Robin</t>
  </si>
  <si>
    <t>Simulation of submillimetre atmospheric spectra for characterising potential ground-based remote sensing observations</t>
  </si>
  <si>
    <t>ATMOSPHERIC MEASUREMENT TECHNIQUES</t>
  </si>
  <si>
    <t>WATER-VAPOR CONTINUUM; FOURIER-TRANSFORM SPECTROMETER; POLAR TROPOSPHERIC OZONE; MICROWAVE LIMB SOUNDER; EARTHS ENERGY-BALANCE; MEASURE CLOUD ICE; STRATOSPHERIC OZONE; AURA SATELLITE; MAUNA-KEA; EOS MLS</t>
  </si>
  <si>
    <t>The submillimetre is an understudied region of the Earth's atmospheric electromagnetic spectrum. Prior technological gaps and relatively high opacity due to the prevalence of rotational water vapour lines at these wavelengths have slowed progress from a ground-based remote sensing perspective; however, emerging superconducting detector technologies in the fields of astronomy offer the potential to address key atmospheric science challenges with new instrumental methods. A site study, with a focus on the polar regions, is performed to assess theoretical feasibility by simulating the downwelling (zenith angle = 0 degrees) clear-sky submillimetre spectrum from 30 mm (10 GHz) to 150 mu m (2000 GHz) at six locations under annual mean, summer, winter, daytime, night-time and low-humidity conditions. Vertical profiles of temperature, pressure and 28 atmospheric gases are constructed by combining radiosonde, meteorological reanalysis and atmospheric chemistry model data. The sensitivity of the simulated spectra to the choice of water vapour continuum model and spectroscopic line database is explored. For the atmospheric trace species hypobromous acid (HOBr), hydrogen bromide (HBr), perhydroxyl radical (HO2) and nitrous oxide (N2O) the emission lines producing the largest change in brightness temperature are identified. Signal strengths, centre frequencies, bandwidths, estimated minimum integration times and maximum receiver noise temperatures are determined for all cases. HOBr, HBr and HO2 produce brightness temperature peaks in the mK to mu K range, whereas the N2O peaks are in the K range. The optimal submillimetre remote sensing lines for the four species are shown to vary significantly between location and scenario, strengthening the case for future hyperspectral instruments that measure over a broad wavelength range. The techniques presented here provide a framework that can be applied to additional species of interest and taken forward to simulate retrievals and guide the design of future submillimetre instruments.</t>
  </si>
  <si>
    <t>[Turner, Emma C.; Withington, Stafford] Univ Cambridge, Cavendish Lab, Madingley Rd, Cambridge CB3 0HE, England; [Newnham, David A.; Jones, Anna E.] British Antarctic Survey, High Cross, Madingley Rd, Cambridge CB3 0ET, England; [Wadhams, Peter; Clancy, Robin] Univ Cambridge, Dept Appl Math &amp; Theoret Phys, Wilberforce Rd, Cambridge CB3 0WA, England; [Turner, Emma C.] Met Off, FitzRoy Rd, Exeter EX1 3PB, Devon, England</t>
  </si>
  <si>
    <t>University of Cambridge; UK Research &amp; Innovation (UKRI); Natural Environment Research Council (NERC); NERC British Antarctic Survey; University of Cambridge; Met Office - UK</t>
  </si>
  <si>
    <t>Turner, EC (corresponding author), Univ Cambridge, Cavendish Lab, Madingley Rd, Cambridge CB3 0HE, England.;Turner, EC (corresponding author), Met Off, FitzRoy Rd, Exeter EX1 3PB, Devon, England.</t>
  </si>
  <si>
    <t>emma.turner@metoffice.gov.uk</t>
  </si>
  <si>
    <t>Jones, Anna/0000-0002-2040-4841; Newnham, David/0000-0001-8422-1289</t>
  </si>
  <si>
    <t>UK Higher Education Innovation; UK's Natural Environment Research Council; NERC [bas0100032, NE/P003478/1, NE/J022187/1, bas0100031] Funding Source: UKRI; STFC [ST/M000818/1] Funding Source: UKRI; Natural Environment Research Council [bas0100032, bas0100031, NE/J022187/1, NE/P003478/1] Funding Source: researchfish; Science and Technology Facilities Council [ST/M000818/1] Funding Source: researchfish</t>
  </si>
  <si>
    <t>UK Higher Education Innovation; UK's Natural Environment Research Council(UK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</si>
  <si>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work, carried out as part of the SPECTRO-ICE project at the University of Cambridge and the British Antarctic Survey (BAS), was supported by UK Higher Education Innovation funding for E. C. Turner and R. Clancy. D. A. Newnham and A. E. Jones, were supported in part by the UK's Natural Environment Research Council. We thank Michael Simmons for his contributions to the SPECTRO-ICE project, Xin Yang (BAS) for producing UKCA model data, and Patrick Eriksson, Stefan Buehler and Jana Mendrok for providing guidance for using the ARTS radiative transfer model. Peter Kirsch provided computer support for running ARTS at BAS. The authors gratefully acknowledge two anonymous reviewers for their constructive comments.</t>
  </si>
  <si>
    <t>1867-1381</t>
  </si>
  <si>
    <t>1867-8548</t>
  </si>
  <si>
    <t>ATMOS MEAS TECH</t>
  </si>
  <si>
    <t>Atmos. Meas. Tech.</t>
  </si>
  <si>
    <t>10.5194/amt-9-5461-2016</t>
  </si>
  <si>
    <t>EC2VA</t>
  </si>
  <si>
    <t>WOS:000387981100002</t>
  </si>
  <si>
    <t>Toohey, M; Stevens, B; Schmidt, H; Timmreck, C</t>
  </si>
  <si>
    <t>Toohey, Matthew; Stevens, Bjorn; Schmidt, Hauke; Timmreck, Claudia</t>
  </si>
  <si>
    <t>Easy Volcanic Aerosol (EVA v1.0): an idealized forcing generator for climate simulations</t>
  </si>
  <si>
    <t>OPTICAL DEPTHS; STRATOSPHERE; ERUPTION; SULFUR; MODEL; SO2; VARIABILITY; TROPOSPHERE; IMPACT; INDEX</t>
  </si>
  <si>
    <t>Stratospheric sulfate aerosols from volcanic eruptions have a significant impact on the Earth's climate. To include the effects of volcanic eruptions in climate model simulations, the Easy Volcanic Aerosol (EVA) forcing generator provides stratospheric aerosol optical properties as a function of time, latitude, height, and wavelength for a given input list of volcanic eruption attributes. EVA is based on a parameterized three-box model of stratospheric transport and simple scaling relationships used to derive mid-visible (550 nm) aerosol optical depth and aerosol effective radius from stratospheric sulfate mass. Precalculated look-up tables computed from Mie theory are used to produce wavelength-dependent aerosol extinction, single scattering albedo, and scattering asymmetry factor values. The structural form of EVA and the tuning of its parameters are chosen to produce best agreement with the satellite-based reconstruction of stratospheric aerosol properties following the 1991 Pinatubo eruption, and with prior millennial-timescale forcing reconstructions, including the 1815 eruption of Tambora. EVA can be used to produce volcanic forcing for climate models which is based on recent observations and physical understanding but internally self-consistent over any timescale of choice. In addition, EVA is constructed so as to allow for easy modification of different aspects of aerosol properties, in order to be used in model experiments to help advance understanding of what aspects of the volcanic aerosol are important for the climate system.</t>
  </si>
  <si>
    <t>[Toohey, Matthew; Stevens, Bjorn; Schmidt, Hauke; Timmreck, Claudia] Max Planck Inst Meteorol, Hamburg, Germany; [Toohey, Matthew] GEOMAR Helmholtz Ctr Ocean Res Kiel, Kiel, Germany</t>
  </si>
  <si>
    <t>Max Planck Society; Helmholtz Association; GEOMAR Helmholtz Center for Ocean Research Kiel</t>
  </si>
  <si>
    <t>Toohey, M (corresponding author), Max Planck Inst Meteorol, Hamburg, Germany.;Toohey, M (corresponding author), GEOMAR Helmholtz Ctr Ocean Res Kiel, Kiel, Germany.</t>
  </si>
  <si>
    <t>mtoohey@geomar.de</t>
  </si>
  <si>
    <t>Stevens, Bjorn/A-1757-2013; Toohey, Matthew/AAL-1896-2021; Schmidt, Hauke/J-4469-2013</t>
  </si>
  <si>
    <t>Stevens, Bjorn/0000-0003-3795-0475; Toohey, Matthew/0000-0002-7070-405X; Schmidt, Hauke/0000-0001-7977-5041; Timmreck, Claudia/0000-0001-5355-0426</t>
  </si>
  <si>
    <t>Deutsche Forschungsgemeinschaft (DFG) [TO 967/1-1]; German Federal Ministry of Education (BMBF) [FKZ: 01LP1517B]; [603557-STRATOCLIM]; [FP7-ENV.2013.6.1-2]</t>
  </si>
  <si>
    <t>Deutsche Forschungsgemeinschaft (DFG)(German Research Foundation (DFG)); German Federal Ministry of Education (BMBF)(Federal Ministry of Education &amp; Research (BMBF)); ;</t>
  </si>
  <si>
    <t>The authors thank the many researchers who have collected and processed observations of volcanic aerosol, providing the basis of understanding upon which this work is based. The authors also thank Alan Robock and Stephanie Fiedler for constructive comments on the manuscript, and Sebastian Wahl and Ingo Bethke for feedback on the module code. Matthew Toohey acknowledges support by the Deutsche Forschungsgemeinschaft (DFG) in the framework of the priority programme Antarctic Research with comparative investigations in Arctic ice areas by grant TO 967/1-1. Claudia Timmreck acknowledges support from the German Federal Ministry of Education (BMBF), research program MiKlip (FKZ: 01LP1517B) and the European Project 603557-STRATOCLIM under program FP7-ENV.2013.6.1-2.</t>
  </si>
  <si>
    <t>NOV 11</t>
  </si>
  <si>
    <t>10.5194/gmd-9-4049-2016</t>
  </si>
  <si>
    <t>EC2XQ</t>
  </si>
  <si>
    <t>WOS:000387988200002</t>
  </si>
  <si>
    <t>Sleight, VA; Marie, B; Jackson, DJ; Dyrynda, EA; Marie, A; Clark, MS</t>
  </si>
  <si>
    <t>Sleight, Victoria A.; Marie, Benjamin; Jackson, Daniel J.; Dyrynda, Elisabeth A.; Marie, Arul; Clark, Melody S.</t>
  </si>
  <si>
    <t>An Antarctic molluscan biomineralisation tool-kit</t>
  </si>
  <si>
    <t>SHELL-FORMING PROTEOME; LATERNULA-ELLIPTICA; CALCIUM-CARBONATE; MATRIX PROTEIN; MANTLE; TRANSCRIPTOME; MUSSEL; GENES; DEPOSITION; EVOLUTION</t>
  </si>
  <si>
    <t>The Antarctic clam Laternula elliptica lives almost permanently below 0 degrees C and therefore is a valuable and tractable model to study the mechanisms of biomineralisation in cold water. The present study employed a multidisciplinary approach using histology, immunohistochemistry, electron microscopy, proteomics and gene expression to investigate this process. Thirty seven proteins were identified via proteomic extraction of the nacreous shell layer, including two not previously found in nacre; a novel T-rich Mucin-like protein and a Zinc-dependent metalloprotease. In situ hybridisation of seven candidate biomineralisation genes revealed discrete spatial expression patterns within the mantle tissue, hinting at modular organisation, which is also observed in the mantle tissues of other molluscs. All seven of these biomineralisation candidates displayed evidence of multifunctionality and strong association with vesicles, which are potentially involved in shell secretion in this species.</t>
  </si>
  <si>
    <t>[Sleight, Victoria A.; Clark, Melody S.] British Antarctic Survey, Nat Environm Res Council, Madingley Rd, Cambridge CB3 0ET, England; [Sleight, Victoria A.; Dyrynda, Elisabeth A.] Heriot Watt Univ, Ctr Marine Biodivers &amp; Biotechnol, Inst Life &amp; Earth Sci, Edinburgh EH14 4AS, Midlothian, Scotland; [Marie, Benjamin; Marie, Arul] Sorbonne Univ, Museum Natl Hist Nat, UMR MNHN CNRS Mol Commun &amp; Adaptat Microorganisme, CP 39,12 Rue Buffon, F-75005 Paris, France; [Jackson, Daniel J.] Georg August Univ Gottingen, Dept Geobiol, Goldschmidtstr 3, D-37077 Gottingen, Germany</t>
  </si>
  <si>
    <t>UK Research &amp; Innovation (UKRI); Natural Environment Research Council (NERC); NERC British Antarctic Survey; Heriot Watt University; Sorbonne Universite; Museum National d'Histoire Naturelle (MNHN); University of Gottingen</t>
  </si>
  <si>
    <t>Sleight, VA (corresponding author), British Antarctic Survey, Nat Environm Res Council, Madingley Rd, Cambridge CB3 0ET, England.;Sleight, VA (corresponding author), Heriot Watt Univ, Ctr Marine Biodivers &amp; Biotechnol, Inst Life &amp; Earth Sci, Edinburgh EH14 4AS, Midlothian, Scotland.</t>
  </si>
  <si>
    <t>viceig15@bas.ac.uk</t>
  </si>
  <si>
    <t>Jackson, Daniel John/J-5158-2012; MARIE, Arul/JXL-6199-2024; Sleight, Victoria A./AHE-7337-2022; Clark, Melody/D-7371-2014; Marie, Benjamin/A-3930-2012</t>
  </si>
  <si>
    <t>Jackson, Daniel John/0000-0001-9045-381X; MARIE, Arul/0000-0003-4104-140X; Sleight, Victoria A./0000-0003-0550-8500; Clark, Melody/0000-0002-3442-3824; Marie, Benjamin/0000-0001-9880-5541</t>
  </si>
  <si>
    <t>NERC DTG studentship [NE/J500173/1]; NERC core; Natural Environment Research Council [1384018, bas0100036] Funding Source: researchfish; NERC [bas0100036] Funding Source: UKRI</t>
  </si>
  <si>
    <t>NERC DTG studentship; NERC core; Natural Environment Research Council(UK Research &amp; Innovation (UKRI)Natural Environment Research Council (NERC)); NERC(UK Research &amp; Innovation (UKRI)Natural Environment Research Council (NERC))</t>
  </si>
  <si>
    <t>VAS was funded by a NERC DTG studentship (Project Reference: NE/J500173/1) to the British Antarctic Survey. MSC was financed by NERC core funding to the British Antarctic Survey. We would like to thank Jeremy Skepper for advising us on TEM procedures and processing the mantle tissue samples prior to TEM, Elizabeth M. Harper for advice on Laternula elliptica mantle anatomy for the schematic, Jamie Oliver for technical help with digitising the schematic, Deborah M. Power for in situ hybridisation advice, Valerie J. Smith for advice on immunology and histology, Lloyd S. Peck for vesicle discussions and critical reading of the manuscript and the dive team at Rothera research station, Antarctica for support in animal collection. Diving oversight was provided by the NERC National Facility for Scientific Diving, Oban.</t>
  </si>
  <si>
    <t>10.1038/srep36978</t>
  </si>
  <si>
    <t>EB7FH</t>
  </si>
  <si>
    <t>WOS:000387551400001</t>
  </si>
  <si>
    <t>Schmidt, D; Boyd, PW</t>
  </si>
  <si>
    <t>Schmidt, Daniela; Boyd, Philip W.</t>
  </si>
  <si>
    <t>Forecast ocean variability</t>
  </si>
  <si>
    <t>[Schmidt, Daniela] Univ Bristol, Sch Earth Sci, Palaeobiol, Bristol BS8 1TH, Avon, England; [Boyd, Philip W.] Univ Tasmania, Inst Marine &amp; Antarctic Studies, Hobart, Tas, Australia</t>
  </si>
  <si>
    <t>University of Bristol; University of Tasmania</t>
  </si>
  <si>
    <t>Schmidt, D (corresponding author), Univ Bristol, Sch Earth Sci, Palaeobiol, Bristol BS8 1TH, Avon, England.</t>
  </si>
  <si>
    <t>d.schmidt@bristol.ac.uk</t>
  </si>
  <si>
    <t>Schmidt, Daniela/0000-0001-8419-2721; Boyd, Philip/0000-0001-7850-1911</t>
  </si>
  <si>
    <t>NOV 10</t>
  </si>
  <si>
    <t>10.1038/539162a</t>
  </si>
  <si>
    <t>EB4CZ</t>
  </si>
  <si>
    <t>Bronze, Green Submitted</t>
  </si>
  <si>
    <t>WOS:000387318500013</t>
  </si>
  <si>
    <t>Seybold, AC; Wharton, DA; Thorne, MAS; Marshall, CJ</t>
  </si>
  <si>
    <t>Seybold, Anna C.; Wharton, David A.; Thorne, Michael A. S.; Marshall, Craig J.</t>
  </si>
  <si>
    <t>Establishing RNAi in a Non-Model Organism: The Antarctic Nematode Panagrolaimus sp DAW1</t>
  </si>
  <si>
    <t>ELEGANS CHROMOSOME-I; CAENORHABDITIS-ELEGANS; CRYOPROTECTIVE DEHYDRATION; INTERFERENCE; DAVIDI; PROTEINS; EMBRYOGENESIS; DIVERSITY; SURVIVAL; EFFICACY</t>
  </si>
  <si>
    <t>The Antarctic nematode Panagrolaimus sp. DAW1 is one of the only organisms known to survive extensive intracellular freezing throughout its tissues. Although the physiological mechanisms of this extreme adaptation are partly understood, the molecular mechanisms remain largely unknown. RNAi is a method that allows the examination of gene function in a direct, targeted manner, by knocking out specific mRNAs and revealing the effects on the phenotype. In this study we have explored the viability of RNAi in Panagrolaimus sp. DAW1. In the first trial, nematodes were fed E. coli expressing Panagrolaimus sp. DAW1 dsRNA of the embryonic lethal genes rps-2 and dhc, and the blister gene duox. Pd-rps-2(RNAi)-treated nematodes showed a significant decrease in larval hatching. However, qPCR showed no significant decrease in the amount of rps-2 mRNA in Pd-rps-2(RNAi)-treated animals. Several soaking protocols for dsRNA uptake were investigated using the fluorescent dye FITC. Desiccation-enhanced soaking showed the strongest uptake of FITC and resulted in a significant and consistent decrease of mRNA levels of two of the four tested genes (rps-2 and tps-2a), suggesting effective uptake of dsRNA-containing solution by the nematode. These findings suggest that RNAi by desiccation-enhanced soaking is viable in Panagrolaimus sp. DAW1 and provide the first functional genomic approach to investigate freezing tolerance in this non-model organism. RNAi, in conjunction with qPCR, can be used to screen for candidate genes involved in intracellular freezing tolerance in Panagrolaimus sp. DAW1.</t>
  </si>
  <si>
    <t>[Seybold, Anna C.; Marshall, Craig J.] Univ Otago, Dept Biochem, Dunedin, New Zealand; [Wharton, David A.] Univ Otago, Dept Zool, Dunedin, New Zealand; [Thorne, Michael A. S.] NERC, British Antarctic Survey, Cambridge, England; [Marshall, Craig J.] Univ Otago, Genet Otago, Dunedin, New Zealand</t>
  </si>
  <si>
    <t>University of Otago; University of Otago; UK Research &amp; Innovation (UKRI); Natural Environment Research Council (NERC); NERC British Antarctic Survey; University of Otago</t>
  </si>
  <si>
    <t>Marshall, CJ (corresponding author), Univ Otago, Dept Biochem, Dunedin, New Zealand.;Marshall, CJ (corresponding author), Univ Otago, Genet Otago, Dunedin, New Zealand.</t>
  </si>
  <si>
    <t>craig.marshall@otago.ac.nz</t>
  </si>
  <si>
    <t>Marshall, Craig J./C-6668-2009</t>
  </si>
  <si>
    <t>Marshall, Craig J./0000-0003-4186-0368; Thorne, Michael/0000-0001-7759-612X</t>
  </si>
  <si>
    <t>e0166228</t>
  </si>
  <si>
    <t>10.1371/journal.pone.0166228</t>
  </si>
  <si>
    <t>EB9ON</t>
  </si>
  <si>
    <t>Green Published, Green Submitted, gold, Green Accepted</t>
  </si>
  <si>
    <t>WOS:000387725000079</t>
  </si>
  <si>
    <t>Lübcker, N; Condit, R; Beltran, RS; de Bruyn, PJN; Bester, MN</t>
  </si>
  <si>
    <t>Luebcker, Nico; Condit, Richard; Beltran, Roxanne S.; de Bruyn, P. J. Nico; Bester, Marthan N.</t>
  </si>
  <si>
    <t>Vibrissal growth parameters of southern elephant seals Mirounga leonina: obtaining fine-scale, time-based stable isotope data</t>
  </si>
  <si>
    <t>Biomonitoring; Marine mammals; Moult; Pinnipeds; Shedding; Whiskers</t>
  </si>
  <si>
    <t>MARION ISLAND; FORAGING STRATEGIES; TROPHIC ECOLOGY; PHOCA-VITULINA; DIET; CARBON; PATTERNS; WHISKERS</t>
  </si>
  <si>
    <t>Stable isotopes provide a powerful, indirect approach to assess the trophic ecology of individuals on a spatial and temporally integrated basis (especially when combined with telemetry). However, using stable isotopes requires accurate, species-specific quantification of the period of biomolecule deposition in the sampled tissue. Sequentially sampled vibrissae (whiskers) provide a chronology of biogeochemical data, although knowledge of vibrissal growth is required for temporal interpretations. We sampled vibrissae from southern elephant seals Mirounga leonina (hereafter SES) at Marion Island, southern Indian Ocean, to address the following aims: (1) define the prevalence and timing of their vibrissal replacement, (2) determine the vibrissal regrowth rate and temporal resolution of isotopic data captured along the length of sequentially sampled vibrissae, and (3) explore assumptions regarding their vibrissal growth. Contrary to the previously described asynchronous vibrissal shedding pattern of SES, 71.1% of individuals displayed vibrissal shedding during the annual pelage moult. Furthermore, vibrissal growth ceased once the asymptotic length was reached, and the vibrissae were retained before being replaced. Vibrissae with known growth histories were resampled at multiple known intervals to control for unknown growth starting dates. Vibrissae followed a von Bertalanffy growth function as the growth rate decreased near the asymptotic length. The resolution of the isotopic data obtainable per 2 mm section ranged from 3.5 d at the vibrissal tip to &gt;40 d at the base. Using these defined growth rates and shedding patterns, researchers can prudently apply timestamps to stable isotope values along vibrissae.</t>
  </si>
  <si>
    <t>[Luebcker, Nico; de Bruyn, P. J. Nico; Bester, Marthan N.] Univ Pretoria, Mammal Res Inst, Dept Zool &amp; Entomol, Private Bag X20, ZA-0028 Pretoria, South Africa; [Condit, Richard] Smithsonian Trop Res Inst, Panama City 084303092, Panama; [Beltran, Roxanne S.] Univ Alaska Anchorage, Dept Biol Sci, Anchorage, AK 99508 USA; [Beltran, Roxanne S.] Univ Alaska, Dept Biol &amp; Wildlife, Fairbanks, AK 99775 USA</t>
  </si>
  <si>
    <t>University of Pretoria; Smithsonian Institution; Smithsonian Tropical Research Institute; University of Alaska System; University of Alaska Anchorage; University of Alaska System; University of Alaska Fairbanks</t>
  </si>
  <si>
    <t>Lübcker, N (corresponding author), Univ Pretoria, Mammal Res Inst, Dept Zool &amp; Entomol, Private Bag X20, ZA-0028 Pretoria, South Africa.</t>
  </si>
  <si>
    <t>nlubcker@zoology.up.ac.za</t>
  </si>
  <si>
    <t>Lubcker, Nico/I-7622-2019; Bester, Marthán N/E-5387-2010; de Bruyn, P. J. Nico/E-4176-2010</t>
  </si>
  <si>
    <t>Lubcker, Nico/0000-0001-7141-6669; de Bruyn, P. J. Nico/0000-0002-9114-9569; Beltran, Roxanne/0000-0002-8520-1105</t>
  </si>
  <si>
    <t>South African Department of Science and Technology; National Research Foundation (NRF), within the South African National Antarctic Programme (SANAP)</t>
  </si>
  <si>
    <t>Field personnel followed the guidelines for handling and treatment of marine mammals in field research supported by the Society for Marine Mammalogy (Gales et al. 2009). The tagging and handling of seals at Marion Island are carried out under the provisions of the South African Sea Birds and Seals Protection Act, 1973 (Act 46, 1973), the Marine Living Resources Act, 1998 (Act 18 of 1998) and the Prince Edward Islands Management Plan. The project has ethics clearance from the Animal Use and Care Committee (AUCC) of the Faculty of Veterinary Science, University of Pretoria, under AUCC 040827-022, AUCC 040827-023, AUCC 040827-024 and EC030602-016 and is carried out under permit from the Director-General: Department of Environmental Affairs, South Africa. Funding was provided by the South African Department of Science and Technology, through the National Research Foundation (NRF), within the South African National Antarctic Programme (SANAP). The Department of Environmental Affairs (DEA) provided logistical support at Marion Island. The opinions and conclusions drawn and discussed are attributed to the authors and not necessarily to the NRF. We thank the various dedicated collaborators, as well as field and laboratory assistants, in particular, Wiam Haddad, Mia Wege, Hennie Louw, Christiaan Brink, Frikkie van der Vyver, Dr Grant Hall, Nicolas Prinsloo, Andre van Tonder, Tanita Cronje, Inger Fabris-Rotelli and Christine Kraam winkel.</t>
  </si>
  <si>
    <t>NOV 9</t>
  </si>
  <si>
    <t>10.3354/meps11899</t>
  </si>
  <si>
    <t>EC6CW</t>
  </si>
  <si>
    <t>WOS:000388225000019</t>
  </si>
  <si>
    <t>Leroy, EC; Samaran, F; Bonnel, J; Royer, JY</t>
  </si>
  <si>
    <t>Leroy, Emmanuelle C.; Samaran, Flore; Bonnel, Julien; Royer, Jean-Yves</t>
  </si>
  <si>
    <t>Seasonal and Diel Vocalization Patterns of Antarctic Blue Whale (Balaenoptera musculus intermedia) in the Southern Indian Ocean: A Multi-Year and Multi-Site Study</t>
  </si>
  <si>
    <t>VERTICAL MIGRATION; ACOUSTIC PRESENCE; CALLS; SOUND; SITE; HEMISPHERE; INCREASES; FREQUENCY; ISLAND</t>
  </si>
  <si>
    <t>Passive acoustic monitoring is an efficient way to provide insights on the ecology of large whales. This approach allows for long-term and species-specific monitoring over large areas. In this study, we examined six years (2010 to 2015) of continuous acoustic recordings at up to seven different locations in the Central and Southern Indian Basin to assess the peak periods of presence, seasonality and migration movements of Antarctic blue whales (Balaenoptera musculus intermedia). An automated method is used to detect the Antarctic blue whale stereotyped call, known as Z-call. Detection results are analyzed in terms of distribution, seasonal presence and diel pattern of emission at each site. Z-calls are detected year-round at each site, except for one located in the equatorial Indian Ocean, and display highly seasonal distribution. This seasonality is stable across years for every site, but varies between sites. Z-calls are mainly detected during autumn and spring at the subantarctic locations, suggesting that these sites are on the Antarctic blue whale migration routes, and mostly during winter at the subtropical sites. In addition to these seasonal trends, there is a significant diel pattern in Z-call emission, with more Z-calls in daytime than in nighttime. This diel pattern may be related to the blue whale feeding ecology.</t>
  </si>
  <si>
    <t>[Leroy, Emmanuelle C.; Royer, Jean-Yves] Univ Brest, F-29280 Plouzane, France; [Leroy, Emmanuelle C.; Royer, Jean-Yves] IUEM, CNRS, Lab Geosci Brest, F-29280 Plouzane, France; [Leroy, Emmanuelle C.; Samaran, Flore; Bonnel, Julien] ENSTA Bretagne, UMR CNRS Lab STICC 6285, F-29806 Brest, France</t>
  </si>
  <si>
    <t>Universite de Bretagne Occidentale; Universite de Bretagne Occidentale; Institut Universitaire Europeen de la Mer (IUEM); Centre National de la Recherche Scientifique (CNRS); ENSTA Bretagne</t>
  </si>
  <si>
    <t>Royer, JY (corresponding author), Univ Brest, F-29280 Plouzane, France.;Royer, JY (corresponding author), IUEM, CNRS, Lab Geosci Brest, F-29280 Plouzane, France.</t>
  </si>
  <si>
    <t>jean-yves.royer@univ-brest.fr</t>
  </si>
  <si>
    <t>Leroy, Emmanuelle/Q-9995-2019; Royer, Jean-Yves/B-4312-2010</t>
  </si>
  <si>
    <t>Leroy, Emmanuelle/0000-0002-6469-1758; Royer, Jean-Yves/0000-0002-7653-7715</t>
  </si>
  <si>
    <t>French Polar Institute (IPEV) [MD174/175, MD185, MD189, MD193, MD197, MD200, MD201 cruises, VT109/112-MD174/175, VT115-MD185, VT119-MD189, VT128-MD193, VT135-MD197, VT141-MD200, VT146-MD201]; NOAA/PMEL; INCOIS [SK 307]; Institut National des Sciences de l'Univers of CNRS; University of Brest; Regional Council of Brittany (Conseil Regional de Bretagne); Regional Council of Brittany (CPER); INSU-CNRS</t>
  </si>
  <si>
    <t>French Polar Institute (IPEV); NOAA/PMEL(National Oceanic Atmospheric Admin (NOAA) - USA); INCOIS; Institut National des Sciences de l'Univers of CNRS; University of Brest; Regional Council of Brittany (Conseil Regional de Bretagne)(Region Bretagne); Regional Council of Brittany (CPER)(Region Bretagne); INSU-CNRS(Centre National de la Recherche Scientifique (CNRS))</t>
  </si>
  <si>
    <t>Deployment and recovery cruises were funded by the French Polar Institute (IPEV; MD174/175, MD185, MD189, MD193, MD197, MD200, MD201 cruises) and by NOAA/PMEL and INCOIS (SK 307). Additional support for the acoustic experiments was provided by the Institut National des Sciences de l'Univers of CNRS. E.C.L. was supported by a Ph.D. fellowship from the University of Brest and from the Regional Council of Brittany (Conseil Regional de Bretagne). Moorings and hydrophones were funded by the Regional Council of Brittany (CPER). The funders had no role in study design, data collection and analysis, decision to publish, or preparation of the manuscript.; The authors wish to thank the Captains and crews of RV Marion Dufresne for the successful deployments and recoveries of the hydrophones of the OHASISBIO experiment and of ORV Sagar Kanya for the recovery of the RAMA hydrophone. French cruises were funded by the French Polar Institute (IPEV; cruises VT109/112-MD174/175, VT115-MD185, VT119-MD189, VT128-MD193, VT135-MD197, VT141-MD200 and VT146-MD201), with additional support from INSU-CNRS. We thank NOAA/PMEL and INCOIS for the opportunity to recover the RAMA hydrophone. E.C.L. was supported by a Ph.D. fellowship from the University of Brest and from the Regional Council of Brittany (Conseil Regional de Bretagne). The contribution of Mickael Beauverger at LGO in the preparation and realization of the cruises is greatly appreciated. Comments from three anonymous reviewers greatly helped improving this manuscript.</t>
  </si>
  <si>
    <t>e0163587</t>
  </si>
  <si>
    <t>10.1371/journal.pone.0163587</t>
  </si>
  <si>
    <t>EB9OG</t>
  </si>
  <si>
    <t>WOS:000387724300008</t>
  </si>
  <si>
    <t>Eom, HJ; Gupta, D; Cho, HR; Hwang, HJ; Do Hur, S; Gim, Y; Ro, CU</t>
  </si>
  <si>
    <t>Eom, Hyo-Jin; Gupta, Dhrubajyoti; Cho, Hye-Rin; Hwang, Hee Jin; Do Hur, Soon; Gim, Yeontae; Ro, Chul-Un</t>
  </si>
  <si>
    <t>Single-particle investigation of summertime and wintertime Antarctic sea spray aerosols using low-Z particle EPMA, Raman microspectrometry, and ATR-FTIR imaging techniques</t>
  </si>
  <si>
    <t>X-RAY-MICROANALYSIS; KING GEORGE ISLAND; ASIAN DUST PARTICLES; ORGANIC-MATTER; SALT PARTICLES; SYOWA STATION; MIXING STATE; PHYTOPLANKTON; CONSTITUENTS; SPECTROSCOPY</t>
  </si>
  <si>
    <t>Two aerosol samples collected at King Sejong Korean scientific research station, Antarctica, on 9 December 2011 in the austral summer (sample S1) and 23 July 2012 in the austral winter (sample S2), when the oceanic chlorophyll a levels on the collection days of the samples were quite different, by similar to 19 times (2.46 vs. 0.13 mu g L-1, respectively), were investigated on a single-particle basis using quantitative energy-dispersive electron probe X-ray microanalysis (ED-EPMA), called low-Z particle EPMA, Raman microspectrometry (RMS), and attenuated total reflection Fourier transform infrared (ATR-FTIR) imaging techniques to obtain their characteristics based on the elemental chemical compositions, molecular species, and mixing state. X-ray analysis showed that the supermicron summertime and wintertime Antarctic aerosol samples have different elemental chemical compositions, even though all the individual particles analyzed were sea spray aerosols (SSAs); i.e., the contents of C, O, Ca, S, and Si were more elevated, whereas Cl was more depleted, for sample S1 than for sample S2. Based on qualitative analysis of the chemical species present in individual SSAs by the combined application of RMS and ATR-FTIR imaging, different organic species were observed in samples S1 and S2; i.e., Mg hydrate salts of alanine were predominant in samples S1 and S2, whereas Mg salts of fatty acids internally mixed with Mg hydrate salts of alanine were significant in sample S2. Although CaSO4 was observed significantly in both samples S1 and S2, other inorganic species, such as Na2SO4, NaNO3, Mg(NO3)(2), SiO2, and CH3SO3Mg, were observed more significantly in sample S1, suggesting that those compounds may be related to the higher phytoplankton activity in summer.</t>
  </si>
  <si>
    <t>[Eom, Hyo-Jin; Gupta, Dhrubajyoti; Cho, Hye-Rin; Ro, Chul-Un] Inha Univ, Dept Chem, Inchon, South Korea; [Hwang, Hee Jin; Do Hur, Soon] Korea Polar Res Inst, Polar Climate Change Res Div, Inchon, South Korea; [Gim, Yeontae] Korea Polar Res Inst, Arctic Res Ctr, Inchon, South Korea</t>
  </si>
  <si>
    <t>Inha University; Korea Polar Research Institute (KOPRI); Korea Institute of Ocean Science &amp; Technology (KIOST); Korea Polar Research Institute (KOPRI); Korea Institute of Ocean Science &amp; Technology (KIOST)</t>
  </si>
  <si>
    <t>Ro, CU (corresponding author), Inha Univ, Dept Chem, Inchon, South Korea.</t>
  </si>
  <si>
    <t>curo@inha.ac.kr</t>
  </si>
  <si>
    <t>Ro, Chul-Un/R-3410-2019; Gupta, Dhrubajyoti/C-1803-2012</t>
  </si>
  <si>
    <t>Ro, Chul-Un/0000-0001-9357-1854; Gupta, Dhrubajyoti/0000-0001-5185-0310</t>
  </si>
  <si>
    <t>Basic Science Research Programs through the National Research Foundation of Korea (NRF) - Ministry of Education, Science, and Technology [NRF-2015R1A2A1A09003573]</t>
  </si>
  <si>
    <t>Basic Science Research Programs through the National Research Foundation of Korea (NRF) - Ministry of Education, Science, and Technology(National Research Foundation of Korea)</t>
  </si>
  <si>
    <t>This study was supported by Basic Science Research Programs through the National Research Foundation of Korea (NRF) funded by the Ministry of Education, Science, and Technology (NRF-2015R1A2A1A09003573).</t>
  </si>
  <si>
    <t>10.5194/acp-16-13823-2016</t>
  </si>
  <si>
    <t>EB5XI</t>
  </si>
  <si>
    <t>WOS:000387453600001</t>
  </si>
  <si>
    <t>van Dorst, JM; Hince, G; Snape, I; Ferrari, BC</t>
  </si>
  <si>
    <t>van Dorst, J. M.; Hince, G.; Snape, I.; Ferrari, B. C.</t>
  </si>
  <si>
    <t>Novel Culturing Techniques Select for Heterotrophs and Hydrocarbon Degraders in a Subantarctic Soil</t>
  </si>
  <si>
    <t>BACTERIAL DIVERSITY; PURE CULTURE; DIESEL FUEL; CULTIVATION; MICROORGANISMS; CONTAMINATION; TOXICITY; PH; BACTERIOPLANKTON; COMMUNITIES</t>
  </si>
  <si>
    <t>The soil substrate membrane system (SSMS) is a novel micro-culturing technique targeted at terrestrial soil systems. We applied the SSMS to pristine and diesel fuel spiked polar soils, along with traditional solid media culturing and culture independent 454 tag pyrosequencing to elucidate the effects of diesel fuel on the soil community. The SSMS enriched for up to 76% of the total soil diversity within high diesel fuel concentration soils, in contrast to only 26% of the total diversity for the control soils. The majority of organisms originally recovered with the SSMS were lost in the transfer to solid media, with all 300 isolates belonging to Proteobacteria, Firmicutes, Actinobacteria or Bacteroidetes, the four phyla most frequently associated with soil culturing efforts. The soils spiked with high diesel fuel concentrations exhibited reduced species richness, diversity and a selection towards heterotrophs and hydrocarbon degraders in comparison to the control soils. Based on these observations and the unusually high level of overlap in microbial taxa observed between methods, we suggest the SSMS holds potential to exploit hydrocarbon degraders and other targets within simplified bacterial systems, yet is inadequate for soil ecology and ecotoxicology studies where identifying rare oligotrophic species is paramount.</t>
  </si>
  <si>
    <t>[van Dorst, J. M.; Ferrari, B. C.] UNSW Australia, Sch Biotechnol &amp; Biomol Sci, Sydney, NSW 2052, Australia; [Hince, G.; Snape, I.] Australian Antarctic Div, Dept Environm, 205 Channel Highway, Kingston, Tas 7050, Australia</t>
  </si>
  <si>
    <t>Ferrari, BC (corresponding author), UNSW Australia, Sch Biotechnol &amp; Biomol Sci, Sydney, NSW 2052, Australia.</t>
  </si>
  <si>
    <t>b.ferrari@unsw.edu.au</t>
  </si>
  <si>
    <t>Ferrari, Belinda/AAI-3022-2020</t>
  </si>
  <si>
    <t>Ferrari, Belinda/0000-0001-5043-3726; van Dorst, Josie/0000-0002-9353-8787</t>
  </si>
  <si>
    <t>10.1038/srep36724</t>
  </si>
  <si>
    <t>EB7BM</t>
  </si>
  <si>
    <t>WOS:000387540300001</t>
  </si>
  <si>
    <t>Zatko, M; Erbland, J; Savarino, J; Geng, L; Easley, L; Schauer, A; Bates, T; Quinn, PK; Light, B; Morison, D; Osthoff, HD; Lyman, S; Neff, W; Yuan, B; Alexander, B</t>
  </si>
  <si>
    <t>Zatko, Maria; Erbland, Joseph; Savarino, Joel; Geng, Lei; Easley, Lauren; Schauer, Andrew; Bates, Timothy; Quinn, Patricia K.; Light, Bonnie; Morison, David; Osthoff, Hans D.; Lyman, Seth; Neff, William; Yuan, Bin; Alexander, Becky</t>
  </si>
  <si>
    <t>The magnitude of the snow-sourced reactive nitrogen flux to the boundary layer in the Uintah Basin, Utah, USA</t>
  </si>
  <si>
    <t>LIGHT-ABSORBING IMPURITIES; VOLATILE ORGANIC-COMPOUNDS; EAST ANTARCTIC PLATEAU; GREEN RIVER-BASIN; ISOTOPIC COMPOSITION; PHOTOCHEMICAL PRODUCTION; RADIATIVE-TRANSFER; OZONE POLLUTION; NITRIC-ACID; FRESH-WATER</t>
  </si>
  <si>
    <t>Reactive nitrogen(N-r = NO, NO2, HONO) and volatile organic carbon emissions from oil and gas extraction activities play a major role in wintertime ground-level ozone exceedance events of up to 140 ppb in the Uintah Basin in eastern Utah. Such events occur only when the ground is snow covered, due to the impacts of snow on the stability and depth of the boundary layer and ultraviolet actinic flux at the surface. Recycling of reactive nitrogen from the photolysis of snow nitrate has been observed in polar and mid-latitude snow, but snow-sourced reactive nitrogen fluxes in mid-latitude regions have not yet been quantified in the field. Here we present vertical profiles of snow nitrate concentration and nitrogen isotopes (delta N-15) collected during the Uintah Basin Winter Ozone Study 2014 (UBWOS 2014), along with observations of insoluble light-absorbing impurities, radiation equivalent mean ice grain radii, and snow density that determine snow optical properties. We use the snow optical properties and nitrate concentrations to calculate ultraviolet actinic flux in snow and the production of N-r from the photolysis of snow nitrate. The observed delta N-15(NO3-) is used to constrain modeled fractional loss of snow nitrate in a snow chemistry column model, and thus the source of N-r to the overlying boundary layer. Snow-surface delta N-15(NO3-) measurements range from -5 to 10% and suggest that the local nitrate burden in the Uintah Basin is dominated by primary emissions from anthropogenic sources, except during fresh snowfall events, where remote NOx sources from beyond the basin are dominant. Modeled daily averaged snow-sourced N-r fluxes range from 5.6 to 71 x 10(7) molec cm(-2) s(-1) over the course of the field campaign, with a maximum noontime value of 3.1 x 10(9) molec cm(-2) s(-1). The top-down emission estimate of primary, anthropogenic NOx in Uintah and Duchesne counties is at least 300 times higher than the estimated snow NOx emissions presented in this study. Our results suggest that snow-sourced reactive nitrogen fluxes are minor contributors to the N-r boundary layer budget in the highly polluted Uintah Basin boundary layer during winter 2014.</t>
  </si>
  <si>
    <t>[Zatko, Maria; Geng, Lei; Alexander, Becky] Univ Washington, Dept Atmospher Sci, Seattle, WA 98195 USA; [Erbland, Joseph; Savarino, Joel; Geng, Lei] Univ Grenoble Alpes, LGGE, F-38000 Grenoble, France; [Erbland, Joseph; Savarino, Joel; Geng, Lei] CNRS, LGGE, F-38000 Grenoble, France; [Easley, Lauren] Univ Washington, Dept Chem, Seattle, WA 98195 USA; [Schauer, Andrew] Univ Washington, Earth &amp; Space Sci, Seattle, WA 98195 USA; [Quinn, Patricia K.] NOAA, Pacific Marine Environm Lab, 7600 Sand Point Way Ne, Seattle, WA 98115 USA; [Bates, Timothy] Univ Washington, Joint Inst Study Atmosphere &amp; Oceans, Seattle, WA 98195 USA; [Light, Bonnie; Morison, David] Univ Washington, Appl Phys Lab, Polar Sci Ctr, Seattle, WA 98195 USA; [Osthoff, Hans D.] Univ Calgary, Dept Chem, 2500 Univ Dr NW, Calgary, AB T2N 1N4, Canada; [Lyman, Seth] Utah State Univ, Bingham Entrepreneurship &amp; Energy Res Ctr, 320 Aggie Blvd, Vernal, UT 84078 USA; [Neff, William; Yuan, Bin] Univ Colorado, Cooperat Inst Res Environm Sci, Boulder, CO 80309 USA; [Yuan, Bin] NOAA, Earth Syst Res Lab, Div Chem Sci, Boulder, CO 80305 USA; [Easley, Lauren] DSG Solut LLC, Shoreline, WA 98133 USA; [Morison, David] Univ Utah, Dept Phys &amp; Astron, Salt Lake City, UT 84112 USA</t>
  </si>
  <si>
    <t>University of Washington; University of Washington Seattle; Communaute Universite Grenoble Alpes; Universite Grenoble Alpes (UGA); Centre National de la Recherche Scientifique (CNRS); Communaute Universite Grenoble Alpes; Universite Grenoble Alpes (UGA); University of Washington; University of Washington Seattle; University of Washington; University of Washington Seattle; National Oceanic Atmospheric Admin (NOAA) - USA; University of Washington; University of Washington Seattle; University of Washington; University of Washington Seattle; University of Calgary; Utah System of Higher Education; Utah State University; University of Colorado System; University of Colorado Boulder; National Oceanic Atmospheric Admin (NOAA) - USA; Utah System of Higher Education; University of Utah</t>
  </si>
  <si>
    <t>Alexander, B (corresponding author), Univ Washington, Dept Atmospher Sci, Seattle, WA 98195 USA.</t>
  </si>
  <si>
    <t>beckya@uw.edu</t>
  </si>
  <si>
    <t>Alexander, Becky/N-7048-2013; geng, lei/KEZ-8801-2024; Savarino, Joel/H-9730-2012; YUAN, BIN/A-1223-2012; , Lei/M-3418-2018</t>
  </si>
  <si>
    <t>Alexander, Becky/0000-0001-9915-4621; Savarino, Joel/0000-0002-6708-9623; Erbland, Joseph/0000-0002-1186-1370; Osthoff, Hans/0000-0001-7155-6493; Light, Bonnie/0000-0003-2640-5738; YUAN, BIN/0000-0003-3041-0329; , Lei/0000-0003-2175-2538; Schauer, Andrew/0000-0002-5941-5396</t>
  </si>
  <si>
    <t>PMEL [4468]; EPA STAR fellowship; Uintah Impact Mitigation Special Service District (UIMSSD); Bureau of Land Management (BLM); Environmental Protection Agency (EPA); Utah State University; Labex OSUG@2020 [ANR10 LABX56]; [155]; [NSF PLR 1244817]</t>
  </si>
  <si>
    <t>PMEL(National Oceanic Atmospheric Admin (NOAA) - USA); EPA STAR fellowship(United States Environmental Protection Agency); Uintah Impact Mitigation Special Service District (UIMSSD); Bureau of Land Management (BLM); Environmental Protection Agency (EPA)(United States Environmental Protection Agency); Utah State University; Labex OSUG@2020; ;</t>
  </si>
  <si>
    <t>We gratefully acknowledge support from 155 backers from http://www.experiment.com, NSF PLR 1244817, PMEL contribution number 4468, and an EPA STAR fellowship to M. C. Zatko. The Uintah Basin Winter Ozone Studies were a collaborative project led and coordinated by the Utah Department of Environmental Quality (UDEQ) with support from the Uintah Impact Mitigation Special Service District (UIMSSD), the Bureau of Land Management (BLM), the Environmental Protection Agency (EPA), and Utah State University. The authors acknowledge the NOAA/ESRL Chemical Sciences Division and Questar Energy Products for site preparation and support. We thank Kristen Shultz, Jim Johnson, Drew Hamilton, and Derek Coffman for all of their help before, during, and after the field campaign. We would also like to thank Dean Hegg for advice on aerosol sampling, Angela Hong and Jennifer Murphy for helpful discussions about NOy vertical gradients, and Chad Mangum for laboratory assistance at USU. We thank Sarah Doherty for the use of the ISSW spectrophotometer and Stephen Warren for graciously allowing M. C. Zatko to borrow snow sampling instruments and gear and providing comments about this work. We thank Jonathan Raff for helpful discussions about soil microbial activity as well as Joost de Gouw and Gail Tonnesen for useful discussions about boundary layer HONO. Finally, we thank Lyatt Jaegle, Joel Thornton, and Thomas Grenfell for their helpful comments. Joel Savarino and Joseph Erbland have been partly supported by a grant from Labex OSUG@2020 (Investissements d'avenir - ANR10 LABX56) during the development of the TRANSITS model.</t>
  </si>
  <si>
    <t>10.5194/acp-16-13837-2016</t>
  </si>
  <si>
    <t>WOS:000387453600002</t>
  </si>
  <si>
    <t>Favier, L; Pattyn, F; Berger, S; Drews, R</t>
  </si>
  <si>
    <t>Favier, Lionel; Pattyn, Frank; Berger, Sophie; Drews, Reinhard</t>
  </si>
  <si>
    <t>Dynamic influence of pinning points on marine ice-sheet stability: a numerical study in Dronning Maud Land, East Antarctica</t>
  </si>
  <si>
    <t>SHELF; EVOLUTION; GLACIER; DEFORMATION; SIMULATIONS; RETREAT; SURFACE; MODEL</t>
  </si>
  <si>
    <t>The East Antarctic ice sheet is likely more stable than its West Antarctic counterpart because its bed is largely lying above sea level. However, the ice sheet in Dronning Maud Land, East Antarctica, contains marine sectors that are in contact with the ocean through overdeepened marine basins interspersed by grounded ice promontories and ice rises, pinning and stabilising the ice shelves. In this paper, we use the ice-sheet model BISICLES to investigate the effect of sub-ice-shelf melting, using a series of scenarios compliant with current values, on the ice-dynamic stability of the outlet glaciers between the Lazarev and Roi Baudouin ice shelves over the next millennium. Overall, the sub-ice-shelf melting substantially impacts the sea-level contribution. Locally, we predict a short-term rapid grounding-line retreat of the overdeepened outlet glacier Hansenbreen, which further induces the transition of the bordering ice promontories into ice rises. Furthermore, our analysis demonstrated that the onset of the marine ice-sheet retreat and subsequent promontory transition into ice rise is controlled by small pinning points, mostly uncharted in pan-Antarctic datasets. Pinning points have a twofold impact on marine ice sheets. They decrease the ice discharge by buttressing effect, and they play a crucial role in initialising marine ice sheets through data assimilation, leading to errors in ice-shelf rheology when omitted. Our results show that unpinning increases the sea-level rise by 10 %, while omitting the same pinning point in data assimilation decreases it by 10 %, but the more striking effect is in the promontory transition time, advanced by two centuries for unpinning and delayed by almost half a millennium when the pinning point is missing in data assimilation. Pinning points exert a subtle influence on ice dynamics at the kilometre scale, which calls for a better knowledge of the Antarctic margins.</t>
  </si>
  <si>
    <t>[Favier, Lionel; Pattyn, Frank; Berger, Sophie; Drews, Reinhard] Univ Libre Bruxelles, DGES, Lab Glaciol, Brussels, Belgium</t>
  </si>
  <si>
    <t>Favier, L (corresponding author), Univ Libre Bruxelles, DGES, Lab Glaciol, Brussels, Belgium.</t>
  </si>
  <si>
    <t>lionel.favier@ulb.ac.be</t>
  </si>
  <si>
    <t>Pattyn, Frank/AAA-9640-2019; Drews, reinhard/AAP-4134-2021</t>
  </si>
  <si>
    <t>Pattyn, Frank/0000-0003-4805-5636; Drews, reinhard/0000-0002-2328-294X; favier, lionel/0000-0002-5392-3031; Berger, Sophie/0000-0003-4095-9323</t>
  </si>
  <si>
    <t>Belgian Research Programme on the Antarctic (Belgian Federal Science Policy Office) [SD/CA/06A]; Deutsche Forschungsgemeinschaft (DFG) [MA 3347/10-1]; US Department of Energy; UK Natural Environment Research Council; FRS-FNRS (Fonds de la Recherche Scientifique)</t>
  </si>
  <si>
    <t>Belgian Research Programme on the Antarctic (Belgian Federal Science Policy Office); Deutsche Forschungsgemeinschaft (DFG)(German Research Foundation (DFG)); US Department of Energy(United States Department of Energy (DOE)); UK Natural Environment Research Council(UK Research &amp; Innovation (UKRI)Natural Environment Research Council (NERC)); FRS-FNRS (Fonds de la Recherche Scientifique)(Fonds de la Recherche Scientifique - FNRS)</t>
  </si>
  <si>
    <t>This paper forms a contribution to the Belgian Research Programme on the Antarctic (Belgian Federal Science Policy Office), project SD/CA/06A (Constraining Ice Mass Change in Antarctica, IceCon). R. Drews was partially supported by the Deutsche Forschungsgemeinschaft (DFG) in the framework of the priority programme Antarctic Research with comparative investigations in Arctic ice areas by the grant MA 3347/10-1. BISICLES development is led by D. F. Martin at Lawrence Berkeley National Laboratory, California, USA, and S. L. Cornford at the University of Bristol, UK, with financial support provided by the US Department of Energy and the UK Natural Environment Research Council. Simulations were carried out using the computational facilities of the HPC Computing Center at Universite libre de Bruxelles. S. Berger is supported by a FRS-FNRS (Fonds de la Recherche Scientifique) PhD fellowship. We are grateful to M. Depoorter for providing us with current sub-ice-shelf melt rates. We thank Robert J. Arthern and an anonymous reviewer for their insightful comments that helped to improve the manuscript.</t>
  </si>
  <si>
    <t>10.5194/tc-10-2623-2016</t>
  </si>
  <si>
    <t>EC1ML</t>
  </si>
  <si>
    <t>WOS:000387869600001</t>
  </si>
  <si>
    <t>Gregory, JM; Bouttes, N; Griffies, SM; Haak, H; Hurlin, WJ; Jungclaus, J; Kelley, M; Lee, WG; Marshall, J; Romanou, A; Saenko, OA; Stammer, D; Winton, M</t>
  </si>
  <si>
    <t>Gregory, Jonathan M.; Bouttes, Nathaelle; Griffies, Stephen M.; Haak, Helmuth; Hurlin, William J.; Jungclaus, Johann; Kelley, Maxwell; Lee, Warren G.; Marshall, John; Romanou, Anastasia; Saenko, Oleg A.; Stammer, Detlef; Winton, Michael</t>
  </si>
  <si>
    <t>The Flux-Anomaly-Forced Model Intercomparison Project (FAFMIP) contribution to CMIP6: investigation of sea-level and ocean climate change in response to CO2 forcing</t>
  </si>
  <si>
    <t>COUPLED CLIMATE; THERMOHALINE CIRCULATION; MESOSCALE EDDIES; HEAT UPTAKE; RISE; TRANSPORT; DRIVEN; WIND; SIMULATIONS; COMPONENTS</t>
  </si>
  <si>
    <t>The Flux-Anomaly-Forced Model Intercomparison Project (FAFMIP) aims to investigate the spread in simulations of sea-level and ocean climate change in response to CO2 forcing by atmosphere-ocean general circulation models (AOGCMs). It is particularly motivated by the uncertainties in projections of ocean heat uptake, global-mean sea-level rise due to thermal expansion and the geographical patterns of sea-level change due to ocean density and circulation change. FAFMIP has three tier-1 experiments, in which prescribed surface flux perturbations of momentum, heat and freshwater respectively are applied to the ocean in separate AOGCM simulations. All other conditions are as in the pre-industrial control. The prescribed fields are typical of pattern and magnitude of changes in these fluxes projected by AOGCMs for doubled CO2 concentration. Five groups have tested the experimental design with existing AOGCMs. Their results show diversity in the pattern and magnitude of changes, with some common qualitative features. Heat and water flux perturbation cause the dipole in sea-level change in the North Atlantic, while momentum and heat flux perturbation cause the gradient across the Antarctic Circumpolar Current. The Atlantic meridional overturning circulation (AMOC) declines in response to the heat flux perturbation, and there is a strong positive feedback on this effect due to the consequent cooling of sea-surface temperature in the North Atlantic, which enhances the local heat input to the ocean. The momentum and water flux perturbations do not substantially affect the AMOC. Heat is taken up largely as a passive tracer in the Southern Ocean, which is the region of greatest heat input, while the weakening of the AMOC causes redistribution of heat towards lower latitudes. Future analysis of these and other phenomena with the wider range of CMIP6 FAFMIP AOGCMs will benefit from new diagnostics of temperature and salinity tendencies, which will enable investigation of the model spread in behaviour in terms of physical processes as formulated in the models.</t>
  </si>
  <si>
    <t>[Gregory, Jonathan M.] Univ Reading, NCAS, Reading, Berks, England; [Gregory, Jonathan M.] Met Off Hadley Ctr, Exeter, Devon, England; [Bouttes, Nathaelle] Inst Pierre Simon Laplace, Lab Sci Climat &amp; Environm, Gif Sur Yvette, France; [Griffies, Stephen M.; Hurlin, William J.; Winton, Michael] NOAA, Geophys Fluid Dynam Lab, Princeton, NJ USA; [Haak, Helmuth; Jungclaus, Johann] Max Planck Inst Meteorol, Hamburg, Germany; [Kelley, Maxwell; Romanou, Anastasia] Columbia Univ, Goddard Inst Space Sci, New York, NY USA; [Lee, Warren G.; Saenko, Oleg A.] Canadian Ctr Climate Modelling &amp; Anal, Victoria, BC, Canada; [Marshall, John] MIT, Dept Earth Atmospher &amp; Planetary Sci, Cambridge, MA 02139 USA; [Stammer, Detlef] Univ Hamburg, Ctr Earth Syst Res &amp; Sustainabil, Hamburg, Germany</t>
  </si>
  <si>
    <t>UK Research &amp; Innovation (UKRI); Natural Environment Research Council (NERC); NERC National Centre for Atmospheric Science; University of Reading; Met Office - UK; Hadley Centre; CEA; Centre National de la Recherche Scientifique (CNRS); Universite Paris Saclay; Universite Paris Cite; National Oceanic Atmospheric Admin (NOAA) - USA; Max Planck Society; Columbia University; Environment &amp; Climate Change Canada; Canadian Centre for Climate Modelling &amp; Analysis (CCCma); Massachusetts Institute of Technology (MIT); University of Hamburg</t>
  </si>
  <si>
    <t>Gregory, JM (corresponding author), Univ Reading, NCAS, Reading, Berks, England.;Gregory, JM (corresponding author), Met Off Hadley Ctr, Exeter, Devon, England.</t>
  </si>
  <si>
    <t>j.m.gregory@reading.ac.uk</t>
  </si>
  <si>
    <t>Gregory, Jonathan/J-2939-2016; Griffies, Stephen Matthew/N-9144-2019</t>
  </si>
  <si>
    <t>Gregory, Jonathan/0000-0003-1296-8644; Griffies, Stephen Matthew/0000-0002-3711-236X</t>
  </si>
  <si>
    <t>Natural Environment Research Council [ncas10009] Funding Source: researchfish</t>
  </si>
  <si>
    <t>Natural Environment Research Council(UK Research &amp; Innovation (UKRI)Natural Environment Research Council (NERC))</t>
  </si>
  <si>
    <t>10.5194/gmd-9-3993-2016</t>
  </si>
  <si>
    <t>EC2XT</t>
  </si>
  <si>
    <t>WOS:000387988500001</t>
  </si>
  <si>
    <t>Grecian, WJ; Taylor, GA; Loh, G; McGill, RAR; Miskelly, CM; Phillips, RA; Thompson, DR; Furness, RW</t>
  </si>
  <si>
    <t>Grecian, W. James; Taylor, Graeme A.; Loh, Graeme; McGill, Rona A. R.; Miskelly, Colin M.; Phillips, Richard A.; Thompson, David R.; Furness, Robert W.</t>
  </si>
  <si>
    <t>Contrasting migratory responses of two closely related seabirds to long-term climate change</t>
  </si>
  <si>
    <t>Biologging; Conservation; Migration; Moult; Movement; Non-breeding behaviour; Seamounts; Stable isotopes; Upwelling zones</t>
  </si>
  <si>
    <t>SUBTROPICAL FRONT; STABLE-ISOTOPES; RANGE SHIFTS; NEW-ZEALAND; SEA-ICE; MARINE; OCEAN; DELTA-C-13; PHENOLOGY; PREDATOR</t>
  </si>
  <si>
    <t>Many marine predators migrate between breeding and non-breeding areas to target resources that are seasonal but spatio-temporally predictable, and so are vulnerable to climate-induced changes in prey phenology and abundance. In the Southern Ocean, small petrels are major consumers, but perturbations in the ecosystem through ocean warming are altering food-web structure and have been linked to poleward shifts in the distribution of their cold-water zooplankton prey. In this study, we focused on 2 small congeneric petrels: the broad-billed prion Pachyptila vittata and the Antarctic prion P. desolata. Both are planktivorous, but the broad-billed prion specialises in feeding on large copepods. We investigated historical trends in non-breeding distribution by analysing feather stable isotope ratios from a time-series dating back to 1926, and examined contemporary non-breeding distributions of broad-billed prions tracked using miniaturised geolocation-immersion loggers. After controlling temporally for the Suess effect, we found that the delta C-13 signatures of Antarctic prions, but not broad-billed prions, declined during the study period. This suggests a southward shift in Antarctic prion non-breeding distribution over the last century. Both species exhibited significant declines in delta N-15 during the same period, indicative of long-term decreases in marine productivity in their moulting areas, or changes in the trophic structure of prey communities. Tracked broad-billed prions migrated ca. 1000 km to an area east of the breeding colony where the Louisville seamount chain bisects the subtropical front. Topographically driven upwellings are stable and predictable features and may be crucial in aggregating plankton. Targeting seamounts could therefore mitigate the impact of climate-induced prey shifts by providing refugia for the broad-billed prion.</t>
  </si>
  <si>
    <t>[Grecian, W. James; Furness, Robert W.] Univ Glasgow, Coll Med Vet &amp; Life Sci, Inst Biodivers Anim Hlth &amp; Comparat Med, Glasgow G12 8QQ, Lanark, Scotland; [Taylor, Graeme A.] Dept Conservat, POB 10420, Wellington 6143, New Zealand; [Loh, Graeme] Dept Conservat, POB 5244, Dunedin 9058, New Zealand; [McGill, Rona A. R.] Scottish Univ, Environm Res Ctr, NERC Life Sci Mass Spectrometry Facil, Rankine Ave, E Kilbride G75 0QF, Lanark, Scotland; [Miskelly, Colin M.] Museum New Zealand Te Papa Tongarewa, POB 467, Wellington 6140, New Zealand; [Phillips, Richard A.] British Antarctic Survey, Nat Environm Res Council, Madingley Rd, Cambridge CB3 0ET, England; [Thompson, David R.] Natl Inst Water &amp; Atmospher Res Ltd, Wellington 6021, New Zealand</t>
  </si>
  <si>
    <t>University of Glasgow; Scottish Universities Research &amp; Reactor Center; UK Research &amp; Innovation (UKRI); Natural Environment Research Council (NERC); UK Research &amp; Innovation (UKRI); Natural Environment Research Council (NERC); NERC British Antarctic Survey; National Institute of Water &amp; Atmospheric Research (NIWA) - New Zealand</t>
  </si>
  <si>
    <t>Grecian, WJ (corresponding author), Univ Glasgow, Coll Med Vet &amp; Life Sci, Inst Biodivers Anim Hlth &amp; Comparat Med, Glasgow G12 8QQ, Lanark, Scotland.</t>
  </si>
  <si>
    <t>james.grecian@glasgow.ac.uk</t>
  </si>
  <si>
    <t>McGill, Rona/F-1793-2010; McGill, Rona/JAC-6969-2023; Grecian, James/A-7689-2012; Thompson, David/C-3520-2008</t>
  </si>
  <si>
    <t>McGill, Rona/0000-0003-0400-7288; Grecian, James/0000-0002-6428-719X;</t>
  </si>
  <si>
    <t>NERC [NE/I02237X/1]; NERC [NE/I02237X/1, lsmsf010002, bas0100035, NE/I023503/1] Funding Source: UKRI; Natural Environment Research Council [NE/I023503/1, lsmsf010002, bas0100035, NE/I02237X/1]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</si>
  <si>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</si>
  <si>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Fieldwork on Rangatira was conducted with the permission and cooperation of the NZ Department for Conservation and would not have been possible without the support of the Chatham Island Area Office. Sampling of museum specimens was approved by Museum of New Zealand Te Papa Tongarewa and consisted of broad-billed prion OR.001846, OR.001850, OR.010458, OR.010459, OR.013538-OR.013544, OR.015445-OR.015450, OR.015456, OR.016655, OR.016656, OR.017461, OR.017677, OR.022320, OR.025858 and OR.026076; and Antarctic prion OR.008378, OR.010065, OR.013020, OR.013023, OR.013025, OR.013027-OR.013029, OR.013032, OR.013034-OR.013038 and OR.018142-OR.018146. We thank Dave Houston for collecting broad-billed prion feathers from Rangatira in 2010, and both Paul Johnson and Jason Matthiopoulos for statistical advice. This study represents a contribution to the Ecosystems component of the British Antarctic Survey Polar Science for Planet Earth Programme, funded by The Natural Environment Research Council. W.J.G. was funded by a NERC standard grant NE/I02237X/1.</t>
  </si>
  <si>
    <t>10.3354/meps11875</t>
  </si>
  <si>
    <t>Bronze, Green Accepted, Green Submitted</t>
  </si>
  <si>
    <t>WOS:000388225000018</t>
  </si>
  <si>
    <t>Kumar, V; Tiwari, M; Nagoji, S; Tripathi, S</t>
  </si>
  <si>
    <t>Kumar, Vikash; Tiwari, Manish; Nagoji, Siddhesh; Tripathi, Shubham</t>
  </si>
  <si>
    <t>Evidence of Anomalously Low δ13C of Marine Organic Matter in an Arctic Fjord</t>
  </si>
  <si>
    <t>SURFACE SEDIMENTS; CARBON; NITROGEN; OCEAN; WATER; SEA; KONGSFJORDEN; GEOCHEMISTRY; BIOMARKERS; CLIMATE</t>
  </si>
  <si>
    <t>Accurate estimation of relative carbon deposition (marine vs. terrestrial) is required for understanding the global carbon budget, particularly in the Arctic region, which holds disproportionate importance with respect to global carbon cycling. Although the sedimentary organic matter (SOM) concentration and its isotopic composition are important tools for such calculations, uncertainties loom over estimates provided by organic-geochemical bulk parameters. We report carbon and nitrogen concentrations and isotopes (delta C-13 and delta N-15) of SOM at an Arctic fjord namely Kongsfjorden. We find that the bound inorganic nitrogen (ammonium attached to the clay minerals) forms a significant proportion of total nitrogen concentration (similar to 77% in the inner fjord to similar to 24% in the outer part). On removing the bound nitrogen, the C/N ratio shows that the SOM in the inner fjord is made up of terrestrial carbon while the outer fjord shows mixed marine- terrestrial signal. We further show that the marine organic matter is unusually more depleted in C-13 (similar to-24%) than the terrestrial organic matter (similar to-22.5 parts per thousand). This particular finding also helps explain high delta C-13 values of SOM as noted by earlier studies in central Arctic sediments despite a high terrestrial contribution.</t>
  </si>
  <si>
    <t>[Kumar, Vikash; Tiwari, Manish; Nagoji, Siddhesh; Tripathi, Shubham] Natl Ctr Antarctic &amp; Ocean Res, Vasco Da Gama 403804, Goa, India</t>
  </si>
  <si>
    <t>Ministry of Earth Sciences (MoES) - India; National Centre for Polar and Ocean Research (NCPOR)</t>
  </si>
  <si>
    <t>Kumar, V (corresponding author), Natl Ctr Antarctic &amp; Ocean Res, Vasco Da Gama 403804, Goa, India.</t>
  </si>
  <si>
    <t>vikash@ncaor.gov.in</t>
  </si>
  <si>
    <t>Tripathi, Shubham/AAU-9384-2020; Kumar, Vikash/GSN-3140-2022</t>
  </si>
  <si>
    <t>Tripathi, Shubham/0000-0002-0676-4744; Kumar, Vikash/0000-0002-6180-2192; Tiwari, Manish/0000-0003-3143-1658; Nagoji, Siddhesh/0000-0002-9533-3339</t>
  </si>
  <si>
    <t>Ministry of Earth Sciences, Govt. of India and Director, National Centre for Antarctic and Ocean Research</t>
  </si>
  <si>
    <t>This is NCAOR Contribution no. 33/2016. The authors thank the Secretary, Ministry of Earth Sciences, Govt. of India and Director, National Centre for Antarctic and Ocean Research for support. We also thank the Indian Arctic field team for their help during sample collection.</t>
  </si>
  <si>
    <t>10.1038/srep36192</t>
  </si>
  <si>
    <t>EB3QB</t>
  </si>
  <si>
    <t>WOS:000387279400001</t>
  </si>
  <si>
    <t>Burckel, P; Waelbroeck, C; Luo, YM; Roche, DM; Pichat, S; Jaccard, SL; Gherardi, J; Govin, A; Lippold, J; Thil, F</t>
  </si>
  <si>
    <t>Burckel, Pierre; Waelbroeck, Claire; Luo, Yiming; Roche, Didier M.; Pichat, Sylvain; Jaccard, Samuel L.; Gherardi, Jeanne; Govin, Aline; Lippold, Jorg; Thil, Francois</t>
  </si>
  <si>
    <t>Changes in the geometry and strength of the Atlantic meridional overturning circulation during the last glacial (20-50 ka)</t>
  </si>
  <si>
    <t>DEEP-WATER; NORTH-ATLANTIC; OCEAN; CLIMATE; VARIABILITY; ISOTOPE; EVENTS; CARBON; CYCLE; MASS</t>
  </si>
  <si>
    <t>We reconstruct the geometry and strength of the Atlantic meridional overturning circulation during the Heinrich stadial 2 and three Greenland interstadials of the 2050 ka period based on the comparison of new and published sedimentary Pa-231/Th-230 data with simulated sedimentary Pa-231/Th-230. We show that the deep Atlantic circulation during these interstadials was very different from that of the Holocene. Northern-sourced waters likely circulated above 2500 m depth, with a flow rate lower than that of the present-day North Atlantic deep water (NADW). Southern-sourced deep waters most probably flowed northwards below 4000 m depth into the North Atlantic basin and then southwards as a return flow between 2500 and 4000 m depth. The flow rate of this southern-sourced deep water was likely larger than that of the modern Antarctic bottom water (AABW). Our results further show that during Heinrich stadial 2, the deep Atlantic was probably directly affected by a southern-sourced water mass below 2500 m depth, while a slow, southward-flowing water mass originating from the North Atlantic likely influenced depths between 1500 and 2500 m down to the equator.</t>
  </si>
  <si>
    <t>[Burckel, Pierre; Waelbroeck, Claire; Roche, Didier M.; Gherardi, Jeanne; Govin, Aline; Thil, Francois] Univ Paris Saclay, CEA CNRS UVSQ, LSCE IPSL, Lab Sci Climat &amp; Environm, F-91191 Gif Sur Yvette, France; [Burckel, Pierre] Univ Sorbonne Paris Cite, Inst Phys Globe Paris, F-75238 Paris, France; [Luo, Yiming] Dalhousie Univ, Dept Oceanog, 1355 Oxford St,POB 15000, Halifax, NS B3H 4J1, Canada; [Roche, Didier M.] Vrije Univ Amsterdam, Fac Earth &amp; Life Sci, Earth &amp; Climate Cluster, Dept Earth Sci, Amsterdam, Netherlands; [Pichat, Sylvain] Ecole Normale Super Lyon, Lab Geol Lyon LGL TPE, 46 Allee Italie, F-69007 Lyon, France; [Jaccard, Samuel L.; Lippold, Jorg] Univ Bern, Inst Geol Sci, Baltzerstr 1 &amp; 3, CH-3012 Bern, Switzerland; [Jaccard, Samuel L.; Lippold, Jorg] Univ Bern, Oeschger Ctr Climate Change Res, Baltzerstr 1 &amp; 3, CH-3012 Bern, Switzerland</t>
  </si>
  <si>
    <t>CEA; Centre National de la Recherche Scientifique (CNRS); Universite Paris Saclay; Universite Paris Cite; Universite Paris Cite; Dalhousie University; Vrije Universiteit Amsterdam; Universite Claude Bernard Lyon 1; Ecole Normale Superieure de Lyon (ENS de LYON); University of Bern; University of Bern</t>
  </si>
  <si>
    <t>Burckel, P (corresponding author), Univ Paris Saclay, CEA CNRS UVSQ, LSCE IPSL, Lab Sci Climat &amp; Environm, F-91191 Gif Sur Yvette, France.;Burckel, P (corresponding author), Univ Sorbonne Paris Cite, Inst Phys Globe Paris, F-75238 Paris, France.</t>
  </si>
  <si>
    <t>burckel@ipgp.fr</t>
  </si>
  <si>
    <t>Jaccard, Samuel/IZP-9669-2023; Jaccard, Samuel/G-3447-2014; Pichat, Sylvain/C-8407-2012; Govin, Aline/E-6354-2013; Burckel, Pierre/L-3197-2017; Roche, Didier M./C-9875-2010</t>
  </si>
  <si>
    <t>Jaccard, Samuel/0000-0002-5793-0896; Pichat, Sylvain/0000-0001-8558-6298; waelbroeck, claire/0000-0002-7256-5727; Govin, Aline/0000-0001-8512-5571; Burckel, Pierre/0000-0002-2080-1441; Roche, Didier M./0000-0001-6272-9428</t>
  </si>
  <si>
    <t>CNRS/INSU LEFE project ACCENT; Research Council of Norway (RCN); France (CNRS/INSU); European Research Council under the European Union [339108]; Swiss National Foundation [PBEZ2-111588, PP00P2_144811]; ESF EUROMARC project RETRO; IPEV; ANR project [ANR-09-BLAN-0347]; Swiss National Science Foundation (SNF) [PP00P2_144811] Funding Source: Swiss National Science Foundation (SNF); Agence Nationale de la Recherche (ANR) [ANR-09-BLAN-0347] Funding Source: Agence Nationale de la Recherche (ANR)</t>
  </si>
  <si>
    <t>CNRS/INSU LEFE project ACCENT; Research Council of Norway (RCN)(Research Council of Norway); France (CNRS/INSU); European Research Council under the European Union(European Research Council (ERC)); Swiss National Foundation(Swiss National Science Foundation (SNSF)); ESF EUROMARC project RETRO; IPEV; ANR project(Agence Nationale de la Recherche (ANR)); Swiss National Science Foundation (SNF)(Swiss National Science Foundation (SNSF)); Agence Nationale de la Recherche (ANR)(Agence Nationale de la Recherche (ANR))</t>
  </si>
  <si>
    <t>Pa/Th measurements were funded by the CNRS/INSU LEFE project ACCENT. This work is a contribution to the RETRO project, a joint European Science Foundation (ESF)/EUROMARC, funded by Research Council of Norway (RCN), France (CNRS/INSU), Germany and the Netherlands, and to the ACCLIMATE ERC project. The research leading to these results has received funding from the European Research Council under the European Union's Seventh Framework Programme (FP7/2007-2013)/ERC grant agreement no. 339108. Samuel L. Jaccard was funded by the Swiss National Foundation (grants PBEZ2-111588 and PP00P2_144811). Cores MD09-3256Q and MD09-3257 were collected on board R/V Marion Dufresne during RETRO Cruise III, supported by ESF EUROMARC project RETRO, IPEV and ANR project ANR-09-BLAN-0347. We thank the IPEV team, crew members of R/V Marion Dufresne and all scientists who participated in RETRO Cruise III. We are thankful to M. Roy-Barman for expert advice on Pa/Th measurements on LSCE MC-ICP-MS. We acknowledge C. Moreau, J.-P. Dumoulin and the UMS ARTEMIS for AMS 14C dates, and G. Isguder, L. Mauclair and F. Dewilde for invaluable technical assistance. We are thankful to Roger Francois and one anonymous reviewer for their constructive comments which helped to clarify this manuscript. This is LSCE contribution 5757.</t>
  </si>
  <si>
    <t>NOV 8</t>
  </si>
  <si>
    <t>10.5194/cp-12-2061-2016</t>
  </si>
  <si>
    <t>EC2WC</t>
  </si>
  <si>
    <t>WOS:000387984000001</t>
  </si>
  <si>
    <t>Kim, CS; Kim, TW; Cho, KH; Ha, HK; Lee, S; Kim, HC; Lee, JH</t>
  </si>
  <si>
    <t>Kim, Chang-Sin; Kim, Tae-Wan; Cho, Kyoung-Ho; Ha, Ho Kyung; Lee, SangHoon; Kim, Hyun-Cheol; Lee, Jae-Hak</t>
  </si>
  <si>
    <t>Variability of the Antarctic Coastal Current in the Amundsen Sea</t>
  </si>
  <si>
    <t>Antarctic Coastal Current (AACC); Variability; Ekman vertical velocity; Dotson Ice Shelf; Amundsen Sea</t>
  </si>
  <si>
    <t>CIRCUMPOLAR DEEP-WATER; PINE ISLAND GLACIER; ICE; CIRCULATION; SHELF; TRANSPORT; MELTWATER; INFLOW; EXTENT; SLOPE</t>
  </si>
  <si>
    <t>The nature of the Antarctic Coastal Current (AACC) and its seasonal and non-seasonal (several-day) variability were investigated using long-term mooring data obtained near the Dotson Ice Shelf in the Amundsen Sea. The moored instruments were operated from February 2012 to January 2014 in the Dotson Trough, which is one of the deep troughs on the Amundsen Sea shelf. The hydrographic structure of sigma density distribution at the ice shelf (27.25 kg m(-3) at the surface) was found to be higher than at the continental shelf (27.00 kg m(-3)), whereas in the middle layer, 27.45 kg m(-3) isopycnal extended to 300 m depth near the ice shelf but below 200 m depth in the offshore. The surface mixed layer thickened from the shelf break toward the ice shelf. This thickening was caused partially by coastal downwelling resulting from onshore Ekman transport and by Ekman pumping in the coastal area. The baroclinic component of the AACC near the Dotson Ice Shelf increased from July to October and decreased from January to June in 2013. In comparison with other potential driving forces, the seasonal and non-seasonal (short-term) variation of the AACC correlated well with density variability, determined principally by salinity variation. Therefore, it is suggested that the variability of the isopycnocline by Ekman pumping in the coastal area is one of the important factors controlling the seasonality and non-seasonal variability of the AACC. (C) 2016 Elsevier Ltd. All rights reserved.</t>
  </si>
  <si>
    <t>[Kim, Chang-Sin; Kim, Tae-Wan; Cho, Kyoung-Ho; Lee, SangHoon; Kim, Hyun-Cheol] Korea Polar Res Inst, Inchon, South Korea; [Ha, Ho Kyung] Inha Univ, Dept Ocean Sci, Inchon, South Korea; [Lee, Jae-Hak] Korea Inst Ocean Sci &amp; Technol, Ansan, South Korea</t>
  </si>
  <si>
    <t>Korea Polar Research Institute (KOPRI); Korea Institute of Ocean Science &amp; Technology (KIOST); Inha University; Korea Institute of Ocean Science &amp; Technology (KIOST)</t>
  </si>
  <si>
    <t>Kim, TW (corresponding author), Korea Polar Res Inst, Inchon, South Korea.</t>
  </si>
  <si>
    <t>twkim@kopri.re.kr</t>
  </si>
  <si>
    <t>Kim, Hyun-Cheol/AAP-1250-2020; Ha, Ho Kyung/HCH-4138-2022; Kim, Tae-Wan/JGM-9981-2023</t>
  </si>
  <si>
    <t>Kim, Hyun-Cheol/0000-0002-6831-9291; Kim, Tae-Wan/0000-0001-5257-7256</t>
  </si>
  <si>
    <t>Korea Polar Research Institute [PP15020, PE15040]</t>
  </si>
  <si>
    <t>We would like to thank Chang-Su Hong for the acquisition and analysis of the moored station data. We also thank Anna K. Wahlin for discussion on the mechanisms of the ocean circulation in front of ice shelves. This work was supported by grants (PP15020 and PE15040) from the Korea Polar Research Institute.</t>
  </si>
  <si>
    <t>NOV 5</t>
  </si>
  <si>
    <t>10.1016/j.ecss.2016.08.004</t>
  </si>
  <si>
    <t>EA2EV</t>
  </si>
  <si>
    <t>WOS:000386406500012</t>
  </si>
  <si>
    <t>Wang, JC; Zhang, LL; Xie, ZQ</t>
  </si>
  <si>
    <t>Wang, Jiancheng; Zhang, Lulu; Xie, Zhouqing</t>
  </si>
  <si>
    <t>Total gaseous mercury along a transect from coastal to central Antarctic: Spatial and diurnal variations</t>
  </si>
  <si>
    <t>JOURNAL OF HAZARDOUS MATERIALS</t>
  </si>
  <si>
    <t>Total gaseous mercury (TGM); Antarctic; Spatial distribution; Diurnal cycling</t>
  </si>
  <si>
    <t>ATMOSPHERIC MERCURY; BOUNDARY-LAYER; ELEMENTAL MERCURY; ZHONGSHAN STATION; OXIDIZED MERCURY; TRAVERSE ROUTE; DOME; SNOW; TEMPERATURE; CHEMISTRY</t>
  </si>
  <si>
    <t>Total gaseous mercury (TGM) in the atmospheric boundary layer was investigated along a transect from coastal (Zhongshan Station; 69 degrees 22'25S, 76 degrees 22'14E) to central (Kunlun Station; 80 degrees 25'2S, 77 degrees 6'47E) Antarctic from December 16, 2012 to February 6, 2013. TGM varied considerably from 0.32 to 2.34 ng m(-3) with a mean value of 0.91 ng m(-3). Spatially, relatively high values occurred near the coastal region and on the central plateau with altitude higher than 3000 m above sea level. This distribution pattern cannot be accounted for simply by the influence of mercury emission from the ocean. Changes in TGM were also found to be related to the topography. TGM was higher in the inland flat region (290-800 km from the coast) than in the inland transition zones with steep slopes (800-1000 km from the coast). Temporally, diurnal cycling of TGM was clearly observed at Kunlun Station, with the lowest value occurring typically at midnight, and the peak value at midday. This diurnal pattern was attributed to the reemission of gaseous elemental mercury (GEM) from the snow pack, the oxidization of GEM and convective mixing. (C)\ 2016 Elsevier B.V. All rights reserved.</t>
  </si>
  <si>
    <t>[Wang, Jiancheng; Zhang, Lulu; Xie, Zhouqing] Univ Sci &amp; Technol China, Inst Polar Environm, Sch Earth &amp; Space Sci, Hefei 230026, Peoples R China; [Xie, Zhouqing] Chinese Acad Sci, Inst Urban Environm, Ctr Excellence Urban Atmospher Environm, Xiamen 361021, Peoples R China</t>
  </si>
  <si>
    <t>Chinese Academy of Sciences; University of Science &amp; Technology of China, CAS; Chinese Academy of Sciences; Institute of Urban Environment, CAS</t>
  </si>
  <si>
    <t>Xie, ZQ (corresponding author), Univ Sci &amp; Technol China, Inst Polar Environm, Sch Earth &amp; Space Sci, Hefei 230026, Peoples R China.</t>
  </si>
  <si>
    <t>zqxie@ustc.edu.cn</t>
  </si>
  <si>
    <t>xie, zhouqing/P-9661-2019; wang, jian-cheng/AAR-3728-2021</t>
  </si>
  <si>
    <t>wang, jian-cheng/0000-0001-5325-4432</t>
  </si>
  <si>
    <t>National Basic Research Program of China [2013CB430000]; Chinese Arctic and Antarctic Administration (CHINARE); External Cooperation Program of BIC, CAS [211134KYSB20130012]</t>
  </si>
  <si>
    <t>National Basic Research Program of China(National Basic Research Program of China); Chinese Arctic and Antarctic Administration (CHINARE); External Cooperation Program of BIC, CAS</t>
  </si>
  <si>
    <t>This study was supported by grants from the National Basic Research Program of China (2013CB430000), the Chinese Arctic and Antarctic Administration (CHINARE2011-2016) and the External Cooperation Program of BIC, CAS (211134KYSB20130012). We thank the teammates of the 29th CHINARE Antarctic inland research for their help in sampling. We thank Dr. Feiyue Wang of University of Manitoba for his editorial comments on the revised version of the manuscript.</t>
  </si>
  <si>
    <t>0304-3894</t>
  </si>
  <si>
    <t>1873-3336</t>
  </si>
  <si>
    <t>J HAZARD MATER</t>
  </si>
  <si>
    <t>J. Hazard. Mater.</t>
  </si>
  <si>
    <t>10.1016/j.jhazmat.2016.05.068</t>
  </si>
  <si>
    <t>DT5OV</t>
  </si>
  <si>
    <t>WOS:000381533400040</t>
  </si>
  <si>
    <t>Cui, XQ; Zhu, GL; Liu, HS; Jiang, GL; Wang, Y; Zhu, WM</t>
  </si>
  <si>
    <t>Cui, Xiaoqiu; Zhu, Guoliang; Liu, Haishan; Jiang, Guoliang; Wang, Yi; Zhu, Weiming</t>
  </si>
  <si>
    <t>Diversity and function of the Antarctic krill microorganisms from Euphausia superba</t>
  </si>
  <si>
    <t>EDWARDSIELLA-TARDA; CITRININ; DERIVATIVES; INFECTION; SYMBIOSIS; FLUORIDE; ACID</t>
  </si>
  <si>
    <t>The diversity and ecological function of microorganisms associated with Euphausia superba, still remain unknown. This study identified 75 microbial isolates from E. superba, that is 42 fungi and 33 bacteria including eight actinobacteria. And all the isolates showed NaF tolerance in conformity with the nature of the fluoride krill. The maximum concentration was 10%, 3% and 0.5% NaF for actinobacteria, bacteria and fungi, respectively. The results demonstrated that 82.4% bacteria, 81.3% actinobacteria and 12.3% fungi produced antibacterial metabolites against pathogenic bacteria without NaF; the MIC value reached to 3.9 mu g/mL. In addition, more than 60% fungi produced cytotoxic metabolites against A549, MCF-7 or K562 cell lines. The presence of NaF led to a reduction in the producing antimicrobial compounds, but stimulated the production of cytotoxic compounds. Furthermore, seven cytotoxic compounds were identified from the metabolites of Penicillium citrinum OUCMDZ4136 under 0.5% NaF, with the IC50 values of 3.6-13.1 mu M for MCF-7, 2.2-19.8 mu M for A549 and 5.4-15.4 mu M for K562, respectively. These results indicated that the krill microbes exert their chemical defense by producing cytotoxic compounds to the mammalians and antibacterial compounds to inhibiting the pathogenic bacteria.</t>
  </si>
  <si>
    <t>[Cui, Xiaoqiu; Zhu, Guoliang; Liu, Haishan; Wang, Yi; Zhu, Weiming] Ocean Univ China, Sch Med &amp; Pharm, Minist Educ China, Key Lab Marine Drugs, Qingdao 266003, Peoples R China; [Cui, Xiaoqiu] Jining Med Univ, Sch Pharm, Jining 272067, Peoples R China; [Jiang, Guoliang] Ocean Univ China, Coll Marine Life, Qingdao 266003, Peoples R China</t>
  </si>
  <si>
    <t>Ocean University of China; Jining Medical University; Ocean University of China</t>
  </si>
  <si>
    <t>Wang, Y; Zhu, WM (corresponding author), Ocean Univ China, Sch Med &amp; Pharm, Minist Educ China, Key Lab Marine Drugs, Qingdao 266003, Peoples R China.</t>
  </si>
  <si>
    <t>wangyi0213@ouc.edu.cn; weimingzhu@ouc.edu.cn</t>
  </si>
  <si>
    <t>Jiang, Guo/ISR-9858-2023</t>
  </si>
  <si>
    <t>NSFC [41376148, 81561148012]; NSFC-Guangdong Joint Fund for Key Projects [U1501221]; NSFC-Shandong Joint Fund for Marine Science Research Centers [U1406402]</t>
  </si>
  <si>
    <t>NSFC(National Natural Science Foundation of China (NSFC)); NSFC-Guangdong Joint Fund for Key Projects; NSFC-Shandong Joint Fund for Marine Science Research Centers</t>
  </si>
  <si>
    <t>This work was supported by the grants from the NSFC (Nos 41376148 &amp; 81561148012), from the NSFC-Guangdong Joint Fund for Key Projects (No. U1501221), and from the NSFC-Shandong Joint Fund for Marine Science Research Centers (No. U1406402).</t>
  </si>
  <si>
    <t>NOV 4</t>
  </si>
  <si>
    <t>10.1038/srep36496</t>
  </si>
  <si>
    <t>EB0HB</t>
  </si>
  <si>
    <t>WOS:000387023600001</t>
  </si>
  <si>
    <t>Fogwill, CJ; van Sebille, E; Cougnon, EA; Turney, CSM; Rintoul, SR; Galton-Fenzi, BK; Clark, GF; Marzinelli, EM; Rainsley, EB; Carter, L</t>
  </si>
  <si>
    <t>Fogwill, Christopher J.; van Sebille, Erik; Cougnon, Eva A.; Turney, Chris S. M.; Rintoul, Steve R.; Galton-Fenzi, Benjamin K.; Clark, Graeme F.; Marzinelli, E. M.; Rainsley, Eleanor B.; Carter, Lionel</t>
  </si>
  <si>
    <t>Brief communication: Impacts of a developing polynya off Commonwealth Bay, East Antarctica, triggered by grounding of iceberg B09B</t>
  </si>
  <si>
    <t>SEA-ICE PRODUCTION; BOTTOM WATER; GLACIER; OCEAN</t>
  </si>
  <si>
    <t>The dramatic calving of the Mertz Glacier tongue in 2010, precipitated by the movement of iceberg B09B, reshaped the oceanographic regime across the Mertz Polynya and Commonwealth Bay, regions where high-salinity shelf water (HSSW) - the precursor to Antarctic bottom water (AABW) - is formed. Here we present post-calving observations that suggest that this reconfiguration and subsequent grounding of B09B have driven the development of a new polynya and associated HSSW production off Commonwealth Bay. Supported by satellite observations and modelling, our findings demonstrate how local icescape changes may impact the formation of HSSW, with potential implications for large-scale ocean circulation.</t>
  </si>
  <si>
    <t>[Fogwill, Christopher J.; Turney, Chris S. M.] UNSW, Sch Biol Earth &amp; Environm Sci, PANGEA Res Ctr, Sydney, NSW, Australia; [Fogwill, Christopher J.; van Sebille, Erik; Turney, Chris S. M.; Clark, Graeme F.; Marzinelli, E. M.] UNSW, Sch Biol Earth &amp; Environm Sci, Climate Change Res Ctr, Sydney, NSW, Australia; [van Sebille, Erik] Imperial Coll London, Grantham Inst, London, England; [van Sebille, Erik] Imperial Coll London, Dept Phys, London, England; [Cougnon, Eva A.; Rintoul, Steve R.] Univ Tasmania, Inst Marine &amp; Antarctic Studies, Private Bag 129, Hobart, Tas 7001, Australia; [Cougnon, Eva A.; Rintoul, Steve R.; Galton-Fenzi, Benjamin K.] Univ Tasmania, Antarctic Climate &amp; Ecosyst Cooperat Res Ctr, Private Bag 80, Hobart, Tas 7001, Australia; [Cougnon, Eva A.; Rintoul, Steve R.] Commonwealth Sci &amp; Ind Res Org, Ocean &amp; Atmospher Res, Hobart, Tas, Australia; [Galton-Fenzi, Benjamin K.] Australian Antarctic Div, Kingston, Tas, Australia; [Marzinelli, E. M.] UNSW, Sch Biol Earth &amp; Environm Sci, Ctr Marine Bioinnovat, Sydney, NSW, Australia; [Rainsley, Eleanor B.] Univ Wollongong, Sch Earth &amp; Environm Sci, Wollongong Isotope Geochronol Lab, Wollongong, NSW, Australia; [Carter, Lionel] Victoria Univ Wellington, Antarctic Res Ctr, Wellington, New Zealand</t>
  </si>
  <si>
    <t>University of New South Wales Sydney; University of New South Wales Sydney; Imperial College London; Imperial College London; University of Tasmania; University of Tasmania; Antarctic Climate &amp; Ecosystems Cooperative Research Centre (ACE CRC); Commonwealth Scientific &amp; Industrial Research Organisation (CSIRO); Australian Antarctic Division; University of New South Wales Sydney; University of Wollongong; Victoria University Wellington</t>
  </si>
  <si>
    <t>Fogwill, CJ (corresponding author), UNSW, Sch Biol Earth &amp; Environm Sci, PANGEA Res Ctr, Sydney, NSW, Australia.;Fogwill, CJ (corresponding author), UNSW, Sch Biol Earth &amp; Environm Sci, Climate Change Res Ctr, Sydney, NSW, Australia.</t>
  </si>
  <si>
    <t>van Sebille, Erik/F-6781-2010; Fogwill, Christopher/HPF-1150-2023; Rintoul, Stephen R/A-1471-2012; Fogwill, Chris/AAW-3502-2021; Marzinelli, Ezequiel/AAH-2906-2019; Clark, Graeme/M-6448-2017; Cougnon, Eva/C-4110-2014; Turney, Chris/P-8701-2018</t>
  </si>
  <si>
    <t>Rintoul, Stephen R/0000-0002-7055-9876; Fogwill, Chris/0000-0002-6471-1106; Marzinelli, Ezequiel/0000-0002-3762-3389; Clark, Graeme/0000-0002-0230-6631; Cougnon, Eva/0000-0002-8691-5935; Turney, Chris/0000-0001-6733-0993; van Sebille, Erik/0000-0003-2041-0704; Galton-Fenzi, Benjamin Keith/0000-0003-1404-4103</t>
  </si>
  <si>
    <t>Australasian Antarctic Expedition; Australian Research Council [FL100100195, FT120100004, DP130104156]; University of New South Wales; CSIRO; Institute for Marine and Antarctic Studies (University of Tasmania) through the Quantitative Marine Science PhD Program; Australian Research Council [FT120100004] Funding Source: Australian Research Council</t>
  </si>
  <si>
    <t>Australasian Antarctic Expedition; Australian Research Council(Australian Research Council); University of New South Wales; CSIRO(Commonwealth Scientific &amp; Industrial Research Organisation (CSIRO)); Institute for Marine and Antarctic Studies (University of Tasmania) through the Quantitative Marine Science PhD Program; Australian Research Council(Australian Research Council)</t>
  </si>
  <si>
    <t>This work was supported by the Australasian Antarctic Expedition 2013-2014, the Australian Research Council (FL100100195, FT120100004 and DP130104156) and the University of New South Wales. Eva A. Cougnon is supported by CSIRO and the Institute for Marine and Antarctic Studies (University of Tasmania) through the Quantitative Marine Science PhD Program. We would also like to thank Jan Lieser (University of Tasmania) for the sea ice imagery used in Fig. 1 and two anonymous reviewers whose comments significantly strengthened the manuscript. Computing resources were provided by both the Tasmanian Partnership for Advanced Computing and the Australian National Computing Infrastructure under grants m68 and gh8, and analysed and stored on the Tasmanian Partnership for Advanced Computing cluster. We thank members of the AAE 2013-2014, the captain and crew of the MV Akademik Shokalskiy and of the Aurora Australis, and Australian Antarctic Division expeditioners.</t>
  </si>
  <si>
    <t>10.5194/tc-10-2603-2016</t>
  </si>
  <si>
    <t>EB1QE</t>
  </si>
  <si>
    <t>WOS:000387128300001</t>
  </si>
  <si>
    <t>Park, H; Tran, T; Lee, JH; Park, H; Disney, MD</t>
  </si>
  <si>
    <t>Park, HaJeung; Tuan Tran; Lee, Jun Hyuck; Park, Hyun; Disney, Matthew D.</t>
  </si>
  <si>
    <t>Controlled dehydration improves the diffraction quality of two RNA crystals</t>
  </si>
  <si>
    <t>BMC STRUCTURAL BIOLOGY</t>
  </si>
  <si>
    <t>Post-crystallization modification; RNA; Crystal dehydration; Free mounting system; Repeat expansion</t>
  </si>
  <si>
    <t>RELATIVE-HUMIDITY; PROTEIN CRYSTALS; CRYSTALLIZATION; REPEAT; SYSTEM</t>
  </si>
  <si>
    <t>Background: Post-crystallization dehydration methods, applying either vapor diffusion or humidity control devices, have been widely used to improve the diffraction quality of protein crystals. Despite the fact that RNA crystals tend to diffract poorly, there is a dearth of reports on the application of dehydration methods to improve the diffraction quality of RNA crystals. Results: We use dehydration techniques with a Free Mounting System (FMS, a humidity control device) to recover the poor diffraction quality of RNA crystals. These approaches were applied to RNA constructs that model various RNA-mediated repeat expansion disorders. Conclusion: The method we describe herein could serve as a general tool to improve diffraction quality of RNA crystals to facilitate structure determinations.</t>
  </si>
  <si>
    <t>[Park, HaJeung] Scripps Florida, Scripps Res Inst, Xray Core Facil, 130 Scripps Way, Jupiter, FL 33458 USA; [Tuan Tran; Disney, Matthew D.] Scripps Florida, Scripps Res Inst, Dept Chem, 130 Scripps Way, Jupiter, FL 33458 USA; [Lee, Jun Hyuck; Park, Hyun] Korea Polar Res Inst, Unit Polar Genom, Inchon 21990, South Korea; [Lee, Jun Hyuck; Park, Hyun] Univ Sci &amp; Technol, Dept Polar Sci, Inchon 21990, South Korea</t>
  </si>
  <si>
    <t>State University System of Florida; University of Florida; Herbert Wertheim UF Scripps Institute for Biomedical Innovation &amp; Technology; State University System of Florida; University of Florida; Herbert Wertheim UF Scripps Institute for Biomedical Innovation &amp; Technology; Korea Polar Research Institute (KOPRI)</t>
  </si>
  <si>
    <t>Park, H (corresponding author), Scripps Florida, Scripps Res Inst, Xray Core Facil, 130 Scripps Way, Jupiter, FL 33458 USA.;Disney, MD (corresponding author), Scripps Florida, Scripps Res Inst, Dept Chem, 130 Scripps Way, Jupiter, FL 33458 USA.</t>
  </si>
  <si>
    <t>hajpark@scripps.edu; disney@scripps.edu</t>
  </si>
  <si>
    <t>Disney, Matthew/0000-0001-8486-1796; Park, Hyun/0000-0002-8055-2010</t>
  </si>
  <si>
    <t>National Institutes of Health [R01-GM097455]; Scripps Research Institute; Antarctic Organisms: Cold-Adaptation Mechanisms and Its Application grant - Korea Polar Research Institute [PE15070, PE16070]</t>
  </si>
  <si>
    <t>National Institutes of Health(United States Department of Health &amp; Human ServicesNational Institutes of Health (NIH) - USA); Scripps Research Institute; Antarctic Organisms: Cold-Adaptation Mechanisms and Its Application grant - Korea Polar Research Institute</t>
  </si>
  <si>
    <t>This work was funded by the National Institutes of Health (R01-GM097455 to MDD), The Scripps Research Institute, and the Antarctic Organisms: Cold-Adaptation Mechanisms and Its Application grant funded by the Korea Polar Research Institute (PE15070 and PE16070 to HJP and HP).</t>
  </si>
  <si>
    <t>1472-6807</t>
  </si>
  <si>
    <t>BMC STRUCT BIOL</t>
  </si>
  <si>
    <t>BMC Struct. Biol.</t>
  </si>
  <si>
    <t>NOV 3</t>
  </si>
  <si>
    <t>10.1186/s12900-016-0069-1</t>
  </si>
  <si>
    <t>Biophysics</t>
  </si>
  <si>
    <t>EA9KA</t>
  </si>
  <si>
    <t>WOS:000386961200001</t>
  </si>
  <si>
    <t>Luria, CM; Amaral-Zettler, LA; Ducklow, HW; Rich, JJ</t>
  </si>
  <si>
    <t>Luria, Catherine M.; Amaral-Zettler, Linda A.; Ducklow, Hugh W.; Rich, Jeremy J.</t>
  </si>
  <si>
    <t>Seasonal Succession of Free-Living Bacterial Communities in Coastal Waters of the Western Antarctic Peninsula</t>
  </si>
  <si>
    <t>16S rRNAgene; ecological succession; Antarctica; bacterial production; bacterial community composition; Polaribacter; pelagibacter ubique (SAR11); Rhodobacteraceae</t>
  </si>
  <si>
    <t>MARINE BACTERIAL; SUMMER BACTERIOPLANKTON; PLANKTONIC BACTERIA; SPATIAL VARIABILITY; BRANSFIELD STRAIT; ORGANIC-MATTER; NORTH-SEA; ROSS SEA; PHYTOPLANKTON; DIVERSITY</t>
  </si>
  <si>
    <t>The marine ecosystem along the Western Antarctic Peninsula undergoes a dramatic seasonal transition every spring, from almost total darkness to almost continuous sunlight, resulting in a cascade of environmental changes, including phytoplankton blooms that support a highly productive food web. Despite having important implications for the movement of energy and materials through this ecosystem, little is known about how these changes impact bacterial succession in this region. Using 16S rRNA gene amplicon sequencing, we measured changes in free-living bacterial community composition and richness during a 9-month period that spanned winter to the end of summer. Chlorophyll a concentrations were relatively low until summer when a major phytoplankton bloom occurred, followed 3 weeks later by a high peak in bacterial production. Richness in bacterial communities varied between similar to 1,200 and 1,800 observed operational taxonomic units (OTUs) before the major phytoplankton bloom (out of similar to 43,000 sequences per sample). During peak bacterial production, OTU richness decreased to similar to 700 OTUs. The significant decrease in OTU richness only lasted a few weeks, after which time OTU richness increased again as bacterial production declined toward pre-bloom levels. OTU richness was negatively correlated with bacterial production and chlorophyll a concentrations. Unlike the temporal pattern in OTU richness, community composition changed from winter to spring, prior to onset of the summer phytoplankton bloom. Community composition continued to change during the phytoplankton bloom, with increased relative abundance of several taxa associated with phytoplankton blooms, particularly Polaribacter. Bacterial community composition began to revert toward pre-bloom conditions as bacterial production declined. Overall, our findings clearly demonstrate the temporal relationship between phytoplankton blooms and seasonal succession in bacterial growth and community composition. Our study highlights the importance of high-resolution time series sampling, especially during the relatively under-sampled Antarctic winter and spring, which enabled us to discover seasonal changes in bacterial community composition that preceded the summertime phytoplankton bloom.</t>
  </si>
  <si>
    <t>[Luria, Catherine M.] Brown Univ, Dept Ecol &amp; Evolutionary Biol, Providence, RI 02912 USA; [Amaral-Zettler, Linda A.] Marine Biol Lab, Josephine Bay Paul Ctr Comparat Mol Biol &amp; Evolut, Woods Hole, MA 02543 USA; [Amaral-Zettler, Linda A.] Brown Univ, Dept Earth Environm &amp; Planetary Sci, Providence, RI 02912 USA; [Ducklow, Hugh W.] Columbia Univ, Lamont Doherty Earth Observ, Dept Earth &amp; Environm Sci, Palisades, NY USA; [Rich, Jeremy J.] Univ Maine, Sch Marine Sci, Walpole, ME 04573 USA; [Rich, Jeremy J.] Univ Maine, Darling Marine Ctr, Walpole, ME 04573 USA</t>
  </si>
  <si>
    <t>Brown University; Marine Biological Laboratory - Woods Hole; Brown University; Columbia University; University of Maine System; University of Maine Orono; University of Maine System; University of Maine Orono</t>
  </si>
  <si>
    <t>Amaral-Zettler, LA (corresponding author), Marine Biol Lab, Josephine Bay Paul Ctr Comparat Mol Biol &amp; Evolut, Woods Hole, MA 02543 USA.;Amaral-Zettler, LA (corresponding author), Brown Univ, Dept Earth Environm &amp; Planetary Sci, Providence, RI 02912 USA.;Rich, JJ (corresponding author), Univ Maine, Sch Marine Sci, Walpole, ME 04573 USA.;Rich, JJ (corresponding author), Univ Maine, Darling Marine Ctr, Walpole, ME 04573 USA.</t>
  </si>
  <si>
    <t>amaral@mbl.edu; jeremy.rich@maine.edu</t>
  </si>
  <si>
    <t>Luria, Catherine/0000-0003-0134-5804</t>
  </si>
  <si>
    <t>Graduate School and the Department of Ecology and Evolutionary Biology at Brown University; Brown University-Marine Biological Laboratory Joint Graduate Program; National Science Foundation [ANT-1142114, OPP-0823101, ANT-1141993, PLR-1440435]; Office of Polar Programs (OPP); Directorate For Geosciences [1440435, 1612956] Funding Source: National Science Foundation</t>
  </si>
  <si>
    <t>Graduate School and the Department of Ecology and Evolutionary Biology at Brown University; Brown University-Marine Biological Laboratory Joint Graduate Program; National Science Foundation(National Science Foundation (NSF)); Office of Polar Programs (OPP); Directorate For Geosciences(National Science Foundation (NSF)NSF - Directorate for Geosciences (GEO))</t>
  </si>
  <si>
    <t>CL was partially funded by the Graduate School and the Department of Ecology and Evolutionary Biology at Brown University and the Brown University-Marine Biological Laboratory Joint Graduate Program. This material is based upon work supported by the National Science Foundation under Grant Nos. ANT-1142114 to LA-Z, OPP-0823101 and PLR-1440435 to HD, and ANT-1141993 to JR.</t>
  </si>
  <si>
    <t>10.3389/fmicb.2016.01731</t>
  </si>
  <si>
    <t>ED2NL</t>
  </si>
  <si>
    <t>WOS:000388683600001</t>
  </si>
  <si>
    <t>Engrand, C; Duprat, J; Dartois, E; Benzerara, K; Leroux, H; Baklouti, D; Bardyn, A; Briois, C; Cottin, H; Fischer, H; Fray, N; Godard, M; Hilchenbach, M; Langevin, Y; Paquette, J; Rynö, J; Schulz, R; Silén, J; Stenzel, O; Thirkell, L</t>
  </si>
  <si>
    <t>Engrand, Cecile; Duprat, Jean; Dartois, Emmanuel; Benzerara, Karim; Leroux, Hugues; Baklouti, Donia; Bardyn, Anais; Briois, Christelle; Cottin, Herve; Fischer, Henning; Fray, Nicolas; Godard, Marie; Hilchenbach, Martin; Langevin, Yves; Paquette, John; Ryno, Jouni; Schulz, Rita; Silen, Johan; Stenzel, Oliver; Thirkell, Laurent</t>
  </si>
  <si>
    <t>COSIMA Team</t>
  </si>
  <si>
    <t>Variations in cometary dust composition from Giotto to Rosetta, clues to their formation mechanisms</t>
  </si>
  <si>
    <t>MONTHLY NOTICES OF THE ROYAL ASTRONOMICAL SOCIETY</t>
  </si>
  <si>
    <t>50th ESLAB Symposium</t>
  </si>
  <si>
    <t>MAR 14-18, 2016</t>
  </si>
  <si>
    <t>Leiden, NETHERLANDS</t>
  </si>
  <si>
    <t>comets: general; interplanetary medium; meteorites, meteors, meteoroids; minor planets, asteroids: general; ISM: abundances; dust, extinction</t>
  </si>
  <si>
    <t>ULTRACARBONACEOUS ANTARCTIC MICROMETEORITES; FINE-GRAINED MATERIAL; MOLECULAR-OXYGEN; CRYSTALLINE SILICATES; MASS-SPECTROMETER; INTERSTELLAR DUST; HALE-BOPP; WILD 2; INTERPLANETARY DUST; ORGANIC RADICALS</t>
  </si>
  <si>
    <t>This paper reviews the current knowledge on the composition of cometary dust (ice, minerals and organics) in order to constrain their origin and formation mechanisms. Comets have been investigated by astronomical observations, space missions (Giottoto Rosetta), and by the analysis of cometary dust particles collected on Earth, chondritic porous interplanetary dust particles (CP-IDPs) and ultracarbonaceous Antarctic micrometeorites (UCAMMs). Most ices detected in the dense phases of the interstellar medium (ISM) have been identified in cometary volatiles. However, differences also suggest that cometary ices cannot be completely inherited from the ISM. Cometary minerals are dominated by crystalline Mg-rich silicates, Fe sulphides and glassy phases including GEMS (glass with embedded metals and sulphides). The crystalline nature and refractory composition of a significant fraction of the minerals in comets imply a high temperature formation/processing close to the proto-Sun, resetting a possible presolar signature of these phases. These minerals were further transported up to the external regions of the disc and incorporated in comet nuclei. Cometary matter contains a low abundance of isotopically anomalous minerals directly inherited from the presolar cloud. At least two different kinds of organic matter are found in dust of cometary origin, with low or high nitrogen content. N-poor organic matter is also observed in primitive interplanetary materials (like carbonaceous chondrites) and its origin is debated. The N-rich organic matter is only observed in CP-IDPs and UCAMMs and can be formed by Galactic cosmic ray irradiation of N-2- and CH4- rich icy surface at large heliocentric distance beyond a ` nitrogen snow line'.</t>
  </si>
  <si>
    <t>[Engrand, Cecile; Duprat, Jean; Godard, Marie] Univ Paris Saclay, Univ Paris Sud, CNRS, CSNSM,IN2P3, Bat 104,Orsay Campus, F-91405 Orsay, France; [Dartois, Emmanuel; Baklouti, Donia] Univ Paris Saclay, Univ Paris Sud, CNRS, IAS,INSU, Bat 121,Orsay Campus, F-91405 Orsay, France; [Benzerara, Karim] Sorbonne Univ, MNHN, CNRS, Inst Mineral Phys Mat &amp; Cosmochim,UMR 7590, Paris, France; [Benzerara, Karim] UPMC, Case Postale 115,4 Pl Jussieu, F-75252 Paris 05, France; [Leroux, Hugues] Univ Lille 1, CNRS, UMET, F-59655 Villeneuve Dascq, France; [Bardyn, Anais; Cottin, Herve; Fray, Nicolas] Univ Paris Est Creteil, CNRS, UMR 7583, LISA, Creteil, France; [Bardyn, Anais; Cottin, Herve; Fray, Nicolas] Univ Paris Diderot, Inst Pierre Simon Laplace, F-94000 Creteil, France; [Bardyn, Anais; Briois, Christelle; Thirkell, Laurent] Univ Orleans, CNRS, Lab Phys &amp; Chim Environm &amp; Espace LPC2E, F-45071 Orleans, France; [Fischer, Henning; Hilchenbach, Martin; Paquette, John; Stenzel, Oliver] Max Planck Inst Sonnensyst Forsch MPS, Justus Von Liebig Weg 3, D-37077 Gottingen, Germany; [Ryno, Jouni; Silen, Johan] Finnish Meteorol Inst, Erik Palmenin Aukio 1, FI-00560 Helsinki, Finland; [Schulz, Rita] ESA, Sci Support Off, Keplerlaan 1,Postbus 299, NL-2200 AG Noordwijk, Netherlands</t>
  </si>
  <si>
    <t>Centre National de la Recherche Scientifique (CNRS); CNRS - National Institute of Nuclear and Particle Physics (IN2P3); Universite Paris Saclay; Universite Paris Cite; Centre National de la Recherche Scientifique (CNRS); CNRS - National Institute for Earth Sciences &amp; Astronomy (INSU); Universite Paris Cite; Universite Paris Saclay; Centre National de la Recherche Scientifique (CNRS); CNRS - Institute of Physics (INP); Sorbonne Universite; Universite Paris Cite; Museum National d'Histoire Naturelle (MNHN); Sorbonne Universite; Centre National de la Recherche Scientifique (CNRS); Universite de Lille; Universite Paris-Est-Creteil-Val-de-Marne (UPEC); Universite Gustave-Eiffel; Universite Paris Cite; Centre National de la Recherche Scientifique (CNRS); CNRS - National Institute for Earth Sciences &amp; Astronomy (INSU); Universite Paris Saclay; Universite Paris Cite; Centre National de la Recherche Scientifique (CNRS); Universite de Orleans; Max Planck Society; Finnish Meteorological Institute</t>
  </si>
  <si>
    <t>Engrand, C; Duprat, J (corresponding author), Univ Paris Saclay, Univ Paris Sud, CNRS, CSNSM,IN2P3, Bat 104,Orsay Campus, F-91405 Orsay, France.;Dartois, E (corresponding author), Univ Paris Saclay, Univ Paris Sud, CNRS, IAS,INSU, Bat 121,Orsay Campus, F-91405 Orsay, France.</t>
  </si>
  <si>
    <t>cecile.engrand@csnsm.in2p3.fr; jean.duprat@csnsm.in2p3.fr; emmanuel.dartois@ias.u-psud.fr</t>
  </si>
  <si>
    <t>briois, christelle/B-2170-2015; Cottin, Hervé/M-6154-2019; Godard, Marie/H-6451-2011; Benzerara, Karim/J-1532-2016; Leroux, Hugues/S-4570-2017</t>
  </si>
  <si>
    <t>Cottin, Hervé/0000-0001-9170-5265; Godard, Marie/0000-0002-7276-4021; Fischer, Henning/0000-0002-2407-7227; BRIOIS, Christelle/0000-0002-5616-0180; Benzerara, Karim/0000-0002-0553-0137; Fray, Nicolas/0000-0002-9140-5462; Dartois, Emmanuel/0000-0003-1197-7143; Leroux, Hugues/0000-0002-8806-8434; Baklouti, Donia/0000-0002-2754-7829; Stenzel, Oliver/0000-0001-7253-8588</t>
  </si>
  <si>
    <t>CNES in France; CNRS/IN2P3 in France; DIM-ACAV in France; ANR project OGRESSE in France [11-BS56-026-01]; French Polar Institute (IPEV); Labex ESEP through the Idex PSL [2011-LABX-030, ANR-10-IDEX-0001-02]; national funding agency of Germany (DLR) [50 QP 1302]; national funding agency of France (CNES); national funding agency of Austria; national funding agency of Finland; ESA Technical Directorate; CNES through Idex PSL [ANR-10-IDEX-0001-02]</t>
  </si>
  <si>
    <t>CNES in France; CNRS/IN2P3 in France; DIM-ACAV in France; ANR project OGRESSE in France(Agence Nationale de la Recherche (ANR)); French Polar Institute (IPEV); Labex ESEP through the Idex PSL; national funding agency of Germany (DLR); national funding agency of France (CNES); national funding agency of Austria; national funding agency of Finland; ESA Technical Directorate; CNES through Idex PSL</t>
  </si>
  <si>
    <t>This work was supported by CNES, CNRS/IN2P3, DIM-ACAV and ANR project OGRESSE (11-BS56-026-01) in France. The micrometeorite collection at the French-Italian Concordia station at Dome C in Antarctica is supported by the French Polar Institute (IPEV) and benefits from logistical support of PNRA (Italy) at Dome C. AB acknowledges support from the CNES and the Labex ESEP (No 2011-LABX-030) for its support and funding through the Idex PSL (No ANR-10-IDEX-0001-02). COSIMA was built by a consortium led by the Max-Planck-Institut fur Extraterrestrische Physik, Garching, Germany in collaboration with Laboratoire de Physique et Chimie de l'Environnement et de l'Espace, Orleans, France, Institut d'Astrophysique Spatiale, CNRS/Universite Paris Sud, Orsay, France, Finnish Meteorological Institute, Helsinki, Finland, Universitat Wuppertal, Wuppertal, Germany, von Hoerner und Sulger GmbH, Schwetzingen, Germany, Universitat der Bundeswehr, Neubiberg, Germany, Institut fur Physik, Forschungszentrum Seibersdorf, Seibersdorf, Austria, Space Research Institute, Austrian Academy of Sciences, Graz, Austria and is led by the Max-Planck-Institut fur Sonnensystemforschung, Gottingen, Germany. The support of the national funding agencies of Germany (DLR, grant 50 QP 1302), France (CNES), Austria, Finland and the ESA Technical Directorate is gratefully acknowledged. We thank the Rosetta Science Ground Segment at ESAC, the Rosetta Mission Operations Centre at ESOC and the Rosetta Project at ESTEC for their outstanding work enabling the Science return of the Rosetta Mission. Rosetta is an ESA mission with contributions from its Member States and NASA.</t>
  </si>
  <si>
    <t>0035-8711</t>
  </si>
  <si>
    <t>1365-2966</t>
  </si>
  <si>
    <t>MON NOT R ASTRON SOC</t>
  </si>
  <si>
    <t>Mon. Not. Roy. Astron. Soc.</t>
  </si>
  <si>
    <t>NOV</t>
  </si>
  <si>
    <t>S323</t>
  </si>
  <si>
    <t>S330</t>
  </si>
  <si>
    <t>10.1093/mnras/stw2844</t>
  </si>
  <si>
    <t>EX3ZA</t>
  </si>
  <si>
    <t>WOS:000403172000030</t>
  </si>
  <si>
    <t>Jackson, G; Ryan, KL; Green, TJ; Pollock, KH; Lyle, JM</t>
  </si>
  <si>
    <t>Jackson, Gary; Ryan, Karina L.; Green, Timothy J.; Pollock, Kenneth H.; Lyle, Jeremy M.</t>
  </si>
  <si>
    <t>Assessing the effectiveness of harvest tags in the management of a small-scale, iconic marine recreational fishery in Western Australia</t>
  </si>
  <si>
    <t>ICES JOURNAL OF MARINE SCIENCE</t>
  </si>
  <si>
    <t>compliance; illegal fishing; Pagrus auratus; Shark Bay; snapper; stock recovery; World Heritage</t>
  </si>
  <si>
    <t>GULF-OF-MEXICO; SHARK BAY; SECTOR; CONSERVATION; RESOURCES; FRAMEWORK; SCIENCE; AREA</t>
  </si>
  <si>
    <t>Fisheries managers are increasingly required to develop regulatory frameworks to more effectively manage recreational catches in the marine environment. Although the limitations of conventional controls such as size and bag limits and restricted seasons are recognized, harvest tags that are commonly used to regulate hunting, are rarely applied in marine recreational fisheries. Following overfishing of snapper (Chrysophrys auratus) in Shark Bay, Western Australia, a broad range of management reforms were progressively introduced from 1998 onwards to limit recreational catches and assist stock recovery. Since 2003, these included a harvest tag system in Freycinet Estuary whereby a limited number of harvest tags were made available each year via a ballot. The effectiveness of harvest tags in terms of stock rebuilding and acceptance by recreational fishers was evaluated using: annual phone surveys of all harvest tag recipients between 2011 and 2013; analysis of compliance statistics collected between 2004 and 2015; and interviews with experienced compliance officers. The overall costs of administration and compliance were also assessed. The capacity of harvest tags to successfully constrain the total annual recreational catch contributed to the recovery of the snapper stock in Freycinet Estuary to management target levels within a 10-12 year timeframe. The majority of harvest tag recipients interviewed considered harvest tags were effective in the management of snapper; cost per tag was reasonable; and compliance in the fishery was high. High levels of compliance are essential if harvest tags are to provide a robust management tool to limit total catch and a useful reference frame for angler surveys. Harvest tags have considerable potential with other marine recreational fisheries where catch limits are required to rebuild and sustain valuable but vulnerable fish stocks.</t>
  </si>
  <si>
    <t>[Jackson, Gary; Ryan, Karina L.; Green, Timothy J.] WA Fisheries &amp; Marine Res Labs, Dept Fisheries, Hillarys, WA, Australia; [Pollock, Kenneth H.] North Carolina State Univ, Dept Appl Ecol, Box 7617, Raleigh, NC 27695 USA; [Lyle, Jeremy M.] Univ Tasmania, Inst Marine &amp; Antarctic Studies, Hobart, Tas, Australia</t>
  </si>
  <si>
    <t>North Carolina State University; University of Tasmania</t>
  </si>
  <si>
    <t>Jackson, G (corresponding author), WA Fisheries &amp; Marine Res Labs, Dept Fisheries, Hillarys, WA, Australia.</t>
  </si>
  <si>
    <t>Gary.Jackson@fish.wa.gov.au</t>
  </si>
  <si>
    <t>Ryan, Karina L/AHA-8569-2022; Green, Tim/AAA-8601-2019; Lyle, Jeremy/J-7170-2014</t>
  </si>
  <si>
    <t>Ryan, Karina L/0000-0001-9712-252X; Green, Tim/0000-0002-0667-4300; Lyle, Jeremy/0000-0001-9670-5854</t>
  </si>
  <si>
    <t>1054-3139</t>
  </si>
  <si>
    <t>1095-9289</t>
  </si>
  <si>
    <t>ICES J MAR SCI</t>
  </si>
  <si>
    <t>ICES J. Mar. Sci.</t>
  </si>
  <si>
    <t>10.1093/icesjms/fsw093</t>
  </si>
  <si>
    <t>EW3DW</t>
  </si>
  <si>
    <t>WOS:000402376300022</t>
  </si>
  <si>
    <t>d'Aspremont, J</t>
  </si>
  <si>
    <t>d'Aspremont, Jean</t>
  </si>
  <si>
    <t>The International Court of Justice, the Whales, and the Blurring of the Lines between Sources and Interpretation</t>
  </si>
  <si>
    <t>EUROPEAN JOURNAL OF INTERNATIONAL LAW</t>
  </si>
  <si>
    <t>In the contemporary mainstream configuration of most legal orders, a given norm or standard of behaviour is said to be binding upon legal relations between subjects if that norm or standard can be validated by virtue of the doctrine of sources of that legal order. In most legal orders, including international law, the doctrine of sources even enjoys a monopoly on the tracing of bindingness, bearing only remotely or indirectly upon the interpretation of the content of those standards and norms that sources recognize as valid. The idea that the doctrine of sources enjoys a monopoly on the tracing of bindingness and does not constrain interpretation has been seriously eroded by the International Court of Justice in its 31 March 2014 judgment concerning Whaling in the Antarctic. As will be explained in this article, the Court comes very close to calibrate the interpretive effects of the resolutions of the International Whaling Commission through the doctrine of sources. As will be shown, this blurring between sources and interpretation warrants the attention given the efforts that the Court had, over the years, invested in consolidating two distinct doctrines -that is, the doctrine of sources and the doctrine of interpretation. After briefly recalling how the relation between interpretation and sources was approached by the Court, a critical look is taken at the implications of the judgment from the vantage point of the distinction between bindingness and interpretive effects. This brief article ends with a few remarks on the oscillations between sources and interpretation witnessed in contemporary international legal discourses.</t>
  </si>
  <si>
    <t>[d'Aspremont, Jean] Univ Manchester, Publ Int Law, Manchester, Lancs, England; [d'Aspremont, Jean] Univ Amsterdam, Int Legal Theory, Amsterdam, Netherlands; [d'Aspremont, Jean] Manchester Int Law Ctr, Manchester, Lancs, England</t>
  </si>
  <si>
    <t>University of Manchester; University of Amsterdam</t>
  </si>
  <si>
    <t>d'Aspremont, J (corresponding author), Univ Manchester, Publ Int Law, Manchester, Lancs, England.;d'Aspremont, J (corresponding author), Univ Amsterdam, Int Legal Theory, Amsterdam, Netherlands.;d'Aspremont, J (corresponding author), Manchester Int Law Ctr, Manchester, Lancs, England.</t>
  </si>
  <si>
    <t>d'Aspremont, Jean/GSD-6216-2022</t>
  </si>
  <si>
    <t>d'Aspremont, Jean/0000-0002-0121-2334</t>
  </si>
  <si>
    <t>0938-5428</t>
  </si>
  <si>
    <t>1464-3596</t>
  </si>
  <si>
    <t>EUR J INT LAW</t>
  </si>
  <si>
    <t>Eur. J. Int. Law</t>
  </si>
  <si>
    <t>10.1093/ejil/chw055</t>
  </si>
  <si>
    <t>International Relations; Law</t>
  </si>
  <si>
    <t>International Relations; Government &amp; Law</t>
  </si>
  <si>
    <t>EQ7NA</t>
  </si>
  <si>
    <t>WOS:000398269500009</t>
  </si>
  <si>
    <t>Raffeiner, S</t>
  </si>
  <si>
    <t>Raffeiner, Stefan</t>
  </si>
  <si>
    <t>Organ Practice in the Whaling Case: Consensus and Dissent between Subsequent Practice, Other Practice and a Duty to Give Due Regard</t>
  </si>
  <si>
    <t>Whaling in the Antarctic Sea on the admissibility of Japan's whale programme under the Whaling Convention highlights the importance of organ practice for the interpretation of the underlying treaty. Analysing the Court's reasoning against its earlier case-law, this article first assesses and affirms that plenary organ practice amounts to practice ` between the States' and, thus, to a subsequent agreement or subsequent practice within the meaning of Article 31(3)(a) and (b) of the Vienna Convention on the Law of Treaties (VCLT). It then assesses and denies that this goes with a special rule on subsequent practice to the effect of lowering the requirement for an agreement within treaty organs. While within organs silence is easily taken for a tacit agreement, this cannot overcome dissent. And this holds true with regard to organs within general treaty regimes as well as organs of international organizations with legal personality. Whereas the Court therefore rightly rejected the resolution calling for a proportionality test on lethal sampling as subsequent practice under Article 31 of the VCLT because it was not adopted by consensus, the Court is criticized for relying on resolutions of the International Whaling Commission (IWC) by way of a duty of cooperation to give due regard to organ practice. Instead, the more established category of other confirmatory practice pursuant to Article 32 of the VCLT is introduced, which would have permitted the Court to explicitly buttress its affirmation on a proportionality test by relying on a resolution still reflecting the view of a considerable majority of states parties.</t>
  </si>
  <si>
    <t>[Raffeiner, Stefan] Humboldt Univ, Berlin, Germany; [Raffeiner, Stefan] Sapienza Univ Rome, Rome, Italy</t>
  </si>
  <si>
    <t>Humboldt University of Berlin; Sapienza University Rome</t>
  </si>
  <si>
    <t>Raffeiner, S (corresponding author), Humboldt Univ, Berlin, Germany.;Raffeiner, S (corresponding author), Sapienza Univ Rome, Rome, Italy.</t>
  </si>
  <si>
    <t>stefan.raffeiner@jura.hu-berlin.de</t>
  </si>
  <si>
    <t>10.1093/ejil/chw067</t>
  </si>
  <si>
    <t>WOS:000398269500010</t>
  </si>
  <si>
    <t>Cannizzaro, E</t>
  </si>
  <si>
    <t>Cannizzaro, Enzo</t>
  </si>
  <si>
    <t>Proportionality and Margin of Appreciation in the Whaling Case: Reconciling Antithetical Doctrines?</t>
  </si>
  <si>
    <t>In its decision on the Whaling in the Antarctic case, the International Court of Justice used a sophisticated methodology for assessing the legality of a whaling program allegedly designed to pursue purposes of scientific research. Based on the combination of two instruments - margin of appreciation and proportionality review - this methodology ultimately enabled the Court to reconcile apparently divergent needs: to grant a measure of discretion to states in determining their domestic policy requirements and to exert an international control over discretionary powers. From a theoretical viewpoint, this approach can have farreaching implications and contribute to untie some still unresolved knots of the proportionality doctrine.</t>
  </si>
  <si>
    <t>[Cannizzaro, Enzo] Univ Roma La Sapienza, Int Law &amp; European Union Law, Rome, Italy</t>
  </si>
  <si>
    <t>Sapienza University Rome</t>
  </si>
  <si>
    <t>Cannizzaro, E (corresponding author), Univ Roma La Sapienza, Int Law &amp; European Union Law, Rome, Italy.</t>
  </si>
  <si>
    <t>enzo.cannizzaro@uniroma1.it</t>
  </si>
  <si>
    <t>10.1093/ejil/chw058</t>
  </si>
  <si>
    <t>WOS:000398269500011</t>
  </si>
  <si>
    <t>Woodworth, PL; Hunter, JR; Marcos, M; Caldwell, P; Menéndez, M; Haigh, I</t>
  </si>
  <si>
    <t>Woodworth, P. L.; Hunter, J. R.; Marcos, M.; Caldwell, P.; Menendez, M.; Haigh, I.</t>
  </si>
  <si>
    <t>Towards a global higher-frequency sea level dataset</t>
  </si>
  <si>
    <t>GEOSCIENCE DATA JOURNAL</t>
  </si>
  <si>
    <t>tide gauges; sea level data; international data centres</t>
  </si>
  <si>
    <t>This paper describes the assembly of an updated quasi-global dataset of higher-frequency sea level information obtained from tide gauges operated by many agencies around the world. We believe that the construction of such a dataset is fundamental to scientific research in sea level variability and also to practical aspects of coastal engineering. A first version of the dataset was used in approximately a dozen published studies, and this second version is about twice the size, containing longer and more geographically representative sea level records. The dataset has acquired a digital object identifier and may be obtained from several sources. The paper mentions some of the merits of and deficiencies with the present version and takes a forward look at how the dataset may be updated in the future.</t>
  </si>
  <si>
    <t>[Woodworth, P. L.] Natl Oceanog Ctr, Liverpool L3 5DA, Merseyside, England; [Hunter, J. R.] Antarctic Climate &amp; Ecosyst Cooperat Res Ctr, Hobart, Tas 7001, Australia; [Marcos, M.] UIB, IMEDEA, CSIC, Esporles 07190, Balearic Island, Spain; [Caldwell, P.] Univ Hawaii Manoa, Dept Oceanog, Joint Arch Sea Level, Honolulu, HI 96822 USA; [Menendez, M.] Univ Cantabria, Environm Hydraul Inst IH Cantabria, Santander, Spain; [Haigh, I.] Univ Southampton, Natl Oceanog Ctr, Ocean &amp; Earth Sci, Southampton SO14 3ZH, Hants, England</t>
  </si>
  <si>
    <t>NERC National Oceanography Centre; Antarctic Climate &amp; Ecosystems Cooperative Research Centre (ACE CRC); Universitat de les Illes Balears; Consejo Superior de Investigaciones Cientificas (CSIC); ATTITUS Educacao; University of Hawaii System; University of Hawaii Manoa; Universidad de Cantabria; IHCantabria - Instituto de Hidraulica Ambiental de la Universidad de Cantabria; University of Southampton; NERC National Oceanography Centre</t>
  </si>
  <si>
    <t>Woodworth, PL (corresponding author), Natl Oceanog Ctr, Liverpool L3 5DA, Merseyside, England.</t>
  </si>
  <si>
    <t>plw@noc.ac.uk</t>
  </si>
  <si>
    <t>Marcos, Marta/C-7053-2012; Haigh, Ivan D/A-6575-2010; Menendez, Melisa/L-4600-2014</t>
  </si>
  <si>
    <t>Woodworth, Philip/0000-0002-6681-239X; Menendez, Melisa/0000-0002-5168-257X</t>
  </si>
  <si>
    <t>Leverhulme Trust; UK Natural Environment Research Council National Capability funding; Natural Environment Research Council [noc010012] Funding Source: researchfish</t>
  </si>
  <si>
    <t>Leverhulme Trust(Leverhulme Trust); UK Natural Environment Research Council National Capability funding(UK Research &amp; Innovation (UKRI)Natural Environment Research Council (NERC)); Natural Environment Research Council(UK Research &amp; Innovation (UKRI)Natural Environment Research Council (NERC))</t>
  </si>
  <si>
    <t>Many thanks are due to the providers of data to the GESLA-2 set. We would like to acknowledge the help of many colleagues involved in global sea level data collection including Lesley Rickards (BODC/PSMSL), Mark Merrifield (UHSLC), Gary Mitchum (University of South Florida), and Thorkild Aarup (IOC). This work was undertaken when PLW was an Honorary Research Fellow at the National Oceanography Centre in Liverpool in receipt of an Emeritus Fellowship from the Leverhulme Trust. Part of this work was funded by UK Natural Environment Research Council National Capability funding. Some of the figures in this paper were generated using the Generic Mapping Tools (Wessel and Smith, 1998).</t>
  </si>
  <si>
    <t>2049-6060</t>
  </si>
  <si>
    <t>GEOSCI DATA J</t>
  </si>
  <si>
    <t>Geosci. Data J.</t>
  </si>
  <si>
    <t>10.1002/gdj3.42</t>
  </si>
  <si>
    <t>ER0GA</t>
  </si>
  <si>
    <t>WOS:000398464200002</t>
  </si>
  <si>
    <t>Hammond, MD; Jones, DC</t>
  </si>
  <si>
    <t>Hammond, Mark D.; Jones, Daniel C.</t>
  </si>
  <si>
    <t>Freshwater flux from ice sheet melting and iceberg calving in the Southern Ocean</t>
  </si>
  <si>
    <t>freshwater; Southern Ocean; modelling; Antarctica</t>
  </si>
  <si>
    <t>ANTARCTICA; THICKNESS</t>
  </si>
  <si>
    <t>This dataset is a multiyear mean Southern Ocean freshwater flux field that uses recently compiled measurements of ice sheet melting, iceberg calving, iceberg tracking, and river runoff. It has a horizontal resolution of 1/6 degrees and uses BEDMAP2 for identifying and placing individual ice sheets. The aim of this work is to improve the representation of Antarctic freshwater input in Southern Ocean models.</t>
  </si>
  <si>
    <t>[Hammond, Mark D.; Jones, Daniel C.] British Antarctic Survey, Nat Environm Res Council, Cambridge, England; [Hammond, Mark D.] Univ Cambridge, Dept Phys, Cambridge, England</t>
  </si>
  <si>
    <t>UK Research &amp; Innovation (UKRI); Natural Environment Research Council (NERC); NERC British Antarctic Survey; University of Cambridge</t>
  </si>
  <si>
    <t>Jones, DC (corresponding author), British Antarctic Survey, Madingley Rd, Cambridge CB3 0ET, England.</t>
  </si>
  <si>
    <t>dannes@bas.ac.uk</t>
  </si>
  <si>
    <t>Hammond, Mark/ABB-4608-2020</t>
  </si>
  <si>
    <t>Hammond, Mark/0000-0002-6893-522X; Jones, Dani/0000-0002-8701-4506</t>
  </si>
  <si>
    <t>Natural Environment Research Council (NERC) [NE/J007757/1]; NERC Undergraduate Research Experience Placement via the University of Cambridge Earth System Science NERC DTP [NE/L002507/1]; NERC [bas0100033, NE/J008494/1, NE/N018028/1, NE/N018001/1, NE/J007757/1] Funding Source: UKRI; Natural Environment Research Council [NE/N018001/1, NE/N018028/1, NE/J007757/1, bas0100033] Funding Source: researchfish</t>
  </si>
  <si>
    <t>Natural Environment Research Council (NERC)(UK Research &amp; Innovation (UKRI)Natural Environment Research Council (NERC)); NERC Undergraduate Research Experience Placement via the University of Cambridge Earth System Science NERC DTP; NERC(UK Research &amp; Innovation (UKRI)Natural Environment Research Council (NERC)); Natural Environment Research Council(UK Research &amp; Innovation (UKRI)Natural Environment Research Council (NERC))</t>
  </si>
  <si>
    <t>DJ was funded by the Natural Environment Research Council (NERC), grant number NE/J007757/1. MH was supported by a NERC Undergraduate Research Experience Placement via the University of Cambridge Earth System Science NERC DTP (grant number NE/L002507/1). The authors wish to thank two anonymous reviewers for comments that greatly improved the quality of our paper and the accessibility of our data product.</t>
  </si>
  <si>
    <t>10.1002/gdj3.43</t>
  </si>
  <si>
    <t>WOS:000398464200003</t>
  </si>
  <si>
    <t>Smirnov, IS</t>
  </si>
  <si>
    <t>Smirnov, I. S.</t>
  </si>
  <si>
    <t>Brittle stars (Echinodermata: Ophiuroidea) of the Cooperation Sea, Eastern Antarctica</t>
  </si>
  <si>
    <t>The brittle stars inhabiting the Cooperation Sea, Eastern Antarctica, are described. Since the publication by Fritz Jensenius Madsen (1967), who completed analysis of the data collected by the British, Australian, and New Zealand Antarctic Research Expedition after Theodor Mortensen, the list of brittle stars has somewhat changed and currently comprises 44 species. It was found that the brittle stars of the Cooperation Sea in their species composition are the closest to the brittle stars of the Weddell and Cosmonauts seas.</t>
  </si>
  <si>
    <t>[Smirnov, I. S.] Russian Acad Sci, Inst Zool, Univ Skaya Nab 1, St Petersburg 199034, Russia</t>
  </si>
  <si>
    <t>Smirnov, IS (corresponding author), Russian Acad Sci, Inst Zool, Univ Skaya Nab 1, St Petersburg 199034, Russia.</t>
  </si>
  <si>
    <t>smiris@zin.ru</t>
  </si>
  <si>
    <t>Smirnov, Igor/R-2792-2017</t>
  </si>
  <si>
    <t>Smirnov, Igor/0000-0003-3098-3346</t>
  </si>
  <si>
    <t>Russian Foundation for Basic Research [15-04-02971, 15-29-02457]; Antarctic project; Biodiversity program of the Presidium of the Russian Academy of Sciences</t>
  </si>
  <si>
    <t>Russian Foundation for Basic Research(Russian Foundation for Basic Research (RFBR)Spanish Government); Antarctic project; Biodiversity program of the Presidium of the Russian Academy of Sciences(Russian Academy of Sciences)</t>
  </si>
  <si>
    <t>This work was supported by the Russian Foundation for Basic Research (project nos. 15-04-02971 and 15-29-02457), the Antarctic project, and the Biodiversity program of the Presidium of the Russian Academy of Sciences.</t>
  </si>
  <si>
    <t>10.1134/S1062359016060157</t>
  </si>
  <si>
    <t>EK8NV</t>
  </si>
  <si>
    <t>WOS:000394181600002</t>
  </si>
  <si>
    <t>Zhao, X; Xu, L; Stein, A; Pang, XP</t>
  </si>
  <si>
    <t>Zhao, Xi; Xu, Lei; Stein, Alfred; Pang, Xiaoping</t>
  </si>
  <si>
    <t>The impact of averaging methods on the trend analysis of the Antarctic sea ice extent and perimeter</t>
  </si>
  <si>
    <t>SPATIAL STATISTICS</t>
  </si>
  <si>
    <t>Sea ice; Random set; Trend; Extent; Averaging method; Antarctic</t>
  </si>
  <si>
    <t>RANDOM SETS; VARIABILITY; SATELLITE</t>
  </si>
  <si>
    <t>To estimate the long-term trends in changes for the Antarctic sea ice, daily extents of sea ice were integrated to monthly averages. Different integration methods, however, result in monthly ice extents with inconsistent boundaries that may have further impact on the estimated trend rates. We used random sets to model the sea ice extent and we compared five averaging methods to derive the monthly expectation from a set of daily ice extents and examined their differences in the trend analysis. The Antarctic sea ice extent exhibited consistent statistically significant upward trends for the period November 1978-December 2014 at a rate of approximately 24 +/- 2.3 x 10(3) km(2)yr(-1). The trends in the sea ice perimeter, however, do not agree and its estimation is more sensitive to the averaging methods. Large gaps among monthly sea ice boundaries occurred in the regions where sea ice retreated or expanded dramatically in a single month, especially in the Weddell Sea and the Indian Ocean during the month of December. The study showed that more attention should be given to these regions during periods that the daily sea ice experiences more notable dynamics. We finally commented that the median set can serve as a widely applicable method for both ice extent and perimeter and that the Vorob'ev expectation is appropriate only for the extent estimation. (C) 2016 Elsevier B.V. All rights reserved.</t>
  </si>
  <si>
    <t>[Zhao, Xi; Pang, Xiaoping] Wuhan Univ, Chinese Antarctic Ctr Surveying &amp; Mapping, Wuhan 430079, Peoples R China; [Xu, Lei] Wuhan Univ, Sch Resource &amp; Environm Sci, Wuhan 430079, Peoples R China; [Stein, Alfred] Univ Twente, Fac Geoinformat Sci &amp; Earth Observat, Enschede, Netherlands</t>
  </si>
  <si>
    <t>Wuhan University; Wuhan University; University of Twente</t>
  </si>
  <si>
    <t>Pang, XP (corresponding author), Wuhan Univ, Chinese Antarctic Ctr Surveying &amp; Mapping, Wuhan 430079, Peoples R China.</t>
  </si>
  <si>
    <t>pxp@whu.edu.cn</t>
  </si>
  <si>
    <t>zhao, xi/HJY-6017-2023</t>
  </si>
  <si>
    <t>Zhao, Xi/0000-0003-2274-891X</t>
  </si>
  <si>
    <t>National Natural Science Foundation of China [41301463, 41576188]</t>
  </si>
  <si>
    <t>This work was partially supported by the National Natural Science Foundation of China (Grant Nos. 41301463 and 41576188). We thank two anonymous referees for their helpful comments.</t>
  </si>
  <si>
    <t>2211-6753</t>
  </si>
  <si>
    <t>SPAT STAT-NETH</t>
  </si>
  <si>
    <t>Spat. Stat.</t>
  </si>
  <si>
    <t>10.1016/j.spasta.2016.04.002</t>
  </si>
  <si>
    <t>Geosciences, Multidisciplinary; Mathematics, Interdisciplinary Applications; Remote Sensing; Statistics &amp; Probability</t>
  </si>
  <si>
    <t>Geology; Mathematics; Remote Sensing</t>
  </si>
  <si>
    <t>EJ5BZ</t>
  </si>
  <si>
    <t>WOS:000393232800014</t>
  </si>
  <si>
    <t>Boyd, PW</t>
  </si>
  <si>
    <t>Boyd, Philip W.</t>
  </si>
  <si>
    <t>Development of geopolitically relevant ranking criteria for geoengineering methods</t>
  </si>
  <si>
    <t>Earths Future</t>
  </si>
  <si>
    <t>MOUNT-PINATUBO ERUPTION; CARBON-DIOXIDE; IRON FERTILIZATION; CLIMATE-CHANGE; OCEAN; CO2; STRATOSPHERE; BASALT; IMPACT</t>
  </si>
  <si>
    <t>A decade has passed since Paul Crutzen published his editorial essay on the potential for stratospheric geoengineering to cool the climate in the Anthropocene. He synthesized the effects of the 1991 Pinatubo eruption on the planet's radiative budget and used this large-scale event to broaden and deepen the debate on the challenges and opportunities of large-scale geoengineering. Pinatubo had pronounced effects, both in the short and longer term (months to years), on the ocean, land, and the atmosphere. This rich set of data on how a large-scale natural event influences many regional and global facets of the Earth System provides a comprehensive viewpoint to assess the wider ramifications of geoengineering. Here, I use the Pinatubo archives to develop a range of geopolitically relevant ranking criteria for a suite of different geoengineering approaches. The criteria focus on the spatial scales needed for geoengineering and whether large-scale dispersal is a necessary requirement for a technique to deliver significant cooling or carbon dioxide reductions. These categories in turn inform whether geoengineering approaches are amenable to participation (the democracy of geoengineering) and whether they will lead to transboundary issues that could precipitate geopolitical conflicts. The criteria provide the requisite detail to demarcate different geoengineering approaches in the context of geopolitics. Hence, they offer another tool that can be used in the development of a more holistic approach to the debate on geoengineering.</t>
  </si>
  <si>
    <t>[Boyd, Philip W.] Univ Tasmania, Inst Marine &amp; Antarctic Studies, Hobart, Tas, Australia</t>
  </si>
  <si>
    <t>Boyd, PW (corresponding author), Univ Tasmania, Inst Marine &amp; Antarctic Studies, Hobart, Tas, Australia.</t>
  </si>
  <si>
    <t>Philip.Boyd@utas.edu.au</t>
  </si>
  <si>
    <t>Boyd, Philip/0000-0001-7850-1911</t>
  </si>
  <si>
    <t>Australian Research Council Australian Laureate Fellowship [FL160100131]</t>
  </si>
  <si>
    <t>Australian Research Council Australian Laureate Fellowship(Australian Research Council)</t>
  </si>
  <si>
    <t>We thank Andreas Oschlies and an anonymous reviewer for constructive comments that helped to improve this manuscript. PWB was supported by an Australian Research Council Australian Laureate Fellowship (project number FL160100131). The data used in this study are from the cited references.</t>
  </si>
  <si>
    <t>10.1002/2016EF000447</t>
  </si>
  <si>
    <t>EI9FI</t>
  </si>
  <si>
    <t>WOS:000392812800005</t>
  </si>
  <si>
    <t>Trujillo, E; Leonard, K; Maksym, T; Lehning, M</t>
  </si>
  <si>
    <t>Trujillo, Ernesto; Leonard, Katherine; Maksym, Ted; Lehning, Michael</t>
  </si>
  <si>
    <t>Changes in snow distribution and surface topography following a snowstorm on Antarctic sea ice</t>
  </si>
  <si>
    <t>lidar; sea ice; snow; snow distribution; blowing snow</t>
  </si>
  <si>
    <t>LATE WINTER; EAST ANTARCTICA; SOUTHERN-OCEAN; ERA-INTERIM; WEDDELL SEA; PACK-ICE; DEPTH; VARIABILITY; THICKNESS; BELLINGSHAUSEN</t>
  </si>
  <si>
    <t>Snow distribution over sea ice is an important control on sea ice physical and biological processes. We combine measurements of the atmospheric boundary layer and blowing snow on an Antarctic sea ice floe with terrestrial laser scanning to characterize a typical storm and its influence on the spatial patterns of snow distribution at resolutions of 1-10cm over an area of 100mx100m. The pre-storm surface exhibits multidirectional elongated snow dunes formed behind aerodynamic obstacles. Newly deposited dunes are elongated parallel to the predominant wind direction during the storm. Snow erosion and deposition occur over 62% and 38% of the area, respectively. Snow deposition volume is more than twice that of erosion (351m(3) versus 158m(3)), resulting in a modest increase of 21cm in mean snow depth, indicating a small net mass gain despite large mass relocation. Despite significant local snow depth changes due to deposition and erosion, the statistical distributions of elevation and the two-dimensional correlation functions remain similar to those of the pre-storm surface. Pre-storm and post-storm surfaces also exhibit spectral power law relationships with little change in spectral exponents. These observations suggest that for sea ice floes with mature snow cover features under conditions similar to those observed in this study, spatial statistics and scaling properties of snow surface morphology may be relatively invariant. Such an observation, if confirmed for other ice types and conditions, may be a useful tool for model parameterizations of the subgrid variability of sea ice surfaces.</t>
  </si>
  <si>
    <t>[Trujillo, Ernesto; Leonard, Katherine; Lehning, Michael] Ecole Polytech Fed Lausanne, Sch Architecture Civil &amp; Environm Engn, Lausanne, Switzerland; [Trujillo, Ernesto; Leonard, Katherine; Lehning, Michael] WSL Inst Snow &amp; Avalanche Res SLF, Davos, Switzerland; [Leonard, Katherine] Univ Colorado, Cooperat Inst Res Environm Sci, Boulder, CO 80309 USA; [Maksym, Ted] Woods Hole Oceanog Inst, Woods Hole, MA 02543 USA</t>
  </si>
  <si>
    <t>Swiss Federal Institutes of Technology Domain; Ecole Polytechnique Federale de Lausanne; Swiss Federal Institutes of Technology Domain; Swiss Federal Institute for Forest, Snow &amp; Landscape Research; University of Colorado System; University of Colorado Boulder; Woods Hole Oceanographic Institution</t>
  </si>
  <si>
    <t>Maksym, T (corresponding author), Woods Hole Oceanog Inst, Woods Hole, MA 02543 USA.</t>
  </si>
  <si>
    <t>tmaksym@whoi.edu</t>
  </si>
  <si>
    <t>Lehning, Michael/AFS-9462-2022; Trujillo, Ernesto/A-6890-2013</t>
  </si>
  <si>
    <t>Lehning, Michael/0000-0002-8442-0875; Trujillo, Ernesto/0000-0001-9731-7482</t>
  </si>
  <si>
    <t>AAD Science grant [4073]; NSF [OPP-1142075]; NASA [NNX15AC69G]; Swiss National Science Foundation; National Science Foundation; NASA under NSF Cooperative agreement [EAR-0735156]; Directorate For Geosciences; Office of Polar Programs (OPP) [1142075] Funding Source: National Science Foundation; NASA [808237, NNX15AC69G] Funding Source: Federal RePORTER</t>
  </si>
  <si>
    <t>AAD Science grant; NSF(National Science Foundation (NSF)); NASA(National Aeronautics &amp; Space Administration (NASA)); Swiss National Science Foundation(Swiss National Science Foundation (SNSF)); National Science Foundation(National Science Foundation (NSF)); NASA under NSF Cooperative agreement; Directorate For Geosciences; Office of Polar Programs (OPP)(National Science Foundation (NSF)NSF - Directorate for Geosciences (GEO)); NASA(National Aeronautics &amp; Space Administration (NASA))</t>
  </si>
  <si>
    <t>This research was supported by AAD Science grant 4073, NSF grant OPP-1142075, NASA grant NNX15AC69G, and funding from the Swiss National Science Foundation. GPS equipment was provided by the UNAVCO Facility with support from the National Science Foundation and NASA under NSF Cooperative agreement EAR-0735156. The authors thank the Australian Antarctic Division (AAD) for their support during SIPEX-2; Raphael Hoesli, Adam Steer, and Seth White for their help with data processing and surveying; Jan Skalound, Pierre-Yves Gillieron, and Audrey Ueberschlag for the loan of the laser scanner; and Jennifer Hutchings, Petra Heil, and Ruhi Humphries for their assistance in the field. Aerial image is provided by Adam Steer and Jan Lieser (AAD and the University of Tasmania, Australia). The TLS data used in this study is published alongside this publication [Trujillo et al., 2016].</t>
  </si>
  <si>
    <t>10.1002/2016JF003893</t>
  </si>
  <si>
    <t>EI9KD</t>
  </si>
  <si>
    <t>WOS:000392825900011</t>
  </si>
  <si>
    <t>Kosempa, M; Chambers, DP</t>
  </si>
  <si>
    <t>Kosempa, Michael; Chambers, Don P.</t>
  </si>
  <si>
    <t>Mapping error in Southern Ocean transport computed from satellite altimetry and argo</t>
  </si>
  <si>
    <t>snow; reconstruction; Airborne Snow Observatory</t>
  </si>
  <si>
    <t>HEMISPHERE WINDS; CIRCULATION; TRENDS</t>
  </si>
  <si>
    <t>In an effort to better estimate transport dynamics in response to wind forcing (primarily the Southern Annual Mode), this study quantifies the uncertainty in mapping zonal geostrophic transport of the Antarctic Circumpolar Current from sparse temperature, salinity and sea surface height observations. To do this, we sampled an ocean state estimate at the locations of both Argo floats and the Jason-1 altimeter groundtrack. These sampled values were then optimally interpolated to create SSH and temperature/salinity grids with 1 degrees resolution. The temperature, salinity and SSH grids were then combined to compute the zonal geostrophic transport and compared to that estimated from the full state estimate. There are significant correlations between the baroclinic and barotropic error contributions to the total transport error. The increase in Argo floats in the Southern Ocean is effective in reducing mapping error. However, that error improvement is not uniform. By analyzing systematic errors in transport time series, we find the transects that are most appropriate for analyzing the dynamics of ACC transport using Argo and altimetric gridded fields. Based on our analysis, we conclude region south of Tasmania is most appropriate, with lowest uncertainty. Using real-world data, we calculated zonal transport variability at a transect south of Tasmania. There is an insignificant trend (0.30.4 Sv yr(-1), 90% confidence) but significant low-frequency variability correlated with the Southern Annular Mode (0.53, p&lt;0.05). The barotropic component is most responsible for the low-frequency variability, and this would be unobservable from ship casts without velocity measurements at depth.</t>
  </si>
  <si>
    <t>[Kosempa, Michael; Chambers, Don P.] Univ S Florida, Coll Marine Sci, St Petersburg, FL 33701 USA</t>
  </si>
  <si>
    <t>Kosempa, M (corresponding author), Univ S Florida, Coll Marine Sci, St Petersburg, FL 33701 USA.</t>
  </si>
  <si>
    <t>mkosempa@mail.usf.edu</t>
  </si>
  <si>
    <t>NASA Ocean Surface Topography Science Team [NNX13AG98G]</t>
  </si>
  <si>
    <t>NASA Ocean Surface Topography Science Team(National Aeronautics &amp; Space Administration (NASA))</t>
  </si>
  <si>
    <t>The authors thank Greg Johnson and two anonymous reviewers for their helpful comments in preparing the final version of this paper. This research was carried out under grant number NNX13AG98G from the NASA Ocean Surface Topography Science Team. The Argo data were collected and made freely available by the International Argo Program and the national programs that contribute to it. The Argo program is part of the Global Ocean Observing System. Jason-1 and Jason-2 GDR-C records were downloaded from the AVISO data archive at http://www.aviso.oceanobs.com. The SOSE output was downloaded from http://sose.ucsd.edu/sose_state-estimation_data_08.html. The SAM index is from the British Antarctic Survey (http://www.nerc-bas.ac.uk/icd/gjma/sam.html).</t>
  </si>
  <si>
    <t>10.1002/2016JC011956</t>
  </si>
  <si>
    <t>EI9PP</t>
  </si>
  <si>
    <t>WOS:000392841000008</t>
  </si>
  <si>
    <t>Lemaitre, N; Planquette, H; Dehairs, F; van der Merwe, P; Bowie, AR; Trull, TW; Laurenceau-Cornec, EC; Davies, D; Bollinger, C; Le Goff, M; Grossteffan, E; Planchon, F</t>
  </si>
  <si>
    <t>Lemaitre, N.; Planquette, H.; Dehairs, F.; van der Merwe, P.; Bowie, A. R.; Trull, T. W.; Laurenceau-Cornec, E. C.; Davies, D.; Bollinger, C.; Le Goff, M.; Grossteffan, E.; Planchon, F.</t>
  </si>
  <si>
    <t>Impact of the natural Fe-fertilization on the magnitude, stoichiometry and efficiency of particulate biogenic silica, nitrogen and iron export fluxes</t>
  </si>
  <si>
    <t>Particulate export fluxes; Thorium-234; Natural Fe-fertilization; Biological pump</t>
  </si>
  <si>
    <t>ORGANIC-CARBON EXPORT; UPPER OCEAN CARBON; SOUTHERN-OCEAN; KERGUELEN PLATEAU; PHYTOPLANKTON BLOOM; COMMUNITY STRUCTURE; FECAL PELLETS; SPRING BLOOM; TIME-SERIES; TH-234</t>
  </si>
  <si>
    <t>The Kerguelen Plateau is characterized by a naturally Fe-fertilized phytoplanlcton bloom that extends more than 1000 km downstream in the Antarctic Circumpolar Current. During the KEOPS2 study, in austral spring, we measured particulate nitrogen (PN), biogenic silica (BSi) and particulate iron (PFe) export fluxes in order to investigate how the natural fertilization impacts the stoichiometry and the magnitude of export fluxes and therefore the efficiency of the biological carbon pump. At 9 stations, we estimated elemental export fluxes based on element concentration to Th-234 activity ratios for particulate material collected with in-situ pumps and Th-234 export fluxes (Planchon et al., 2015). This study revealed that the natural Fe-fertilization increased export fluxes but to variable degrees. Export fluxes for the bloom impacted area were compared with those of a high-nutrient, low-chlorophyll (HNLC), low-productive reference site located to the south-west of Kerguelen and which had the lowest BSi and PFe export fluxes (2.55 mmol BSi m(-2) d(-1) and 1.92 mu mol PFem(-2) d(-1)) and amongst the lowest PN export flux (0.73 mmol PN m(-2) d(-1)). The impact of the Fe fertilization was the greatest within a meander of the polar front (PF), to the east of Kerguelen, with fluxes reaching 1.26 mmol PN m(-2) d(-1); 20.4 mmol BSi m(-2) d(-1) and 22.4 mu mol PFe m(-2) d(-1). A highly productive site above the Kerguelen Plateau, on the contrary, was less impacted by the fertilization with export fluxes reaching 0.72 mmol PN m(-2) d(-1); 4.50 mmol BSi m(-2) d(-1) and 21.4 mu mol PFe d(-1). Our results suggest that ecosystem features (i.e. type of diatom community) could play an important role in setting the magnitude of export fluxes of these elements. Indeed, for the PF meander, the moderate productivity was sustained by the presence of large and strongly silicified diatom species while at the higher productivity sites, smaller and slightly silicified diatoms dominated. Interestingly, our results suggest that PFe export fluxes can be driven by the lithogenic pool of particles, especially over the Plateau where such inputs from the sediments are important. Finally, for the Plateau and the PF meander, the comparison between PFe export and the particulate PFe stock integrated over the mixed layer depth revealed an efficient PFe export out of the mixed layer at these sites. Export efficiencies (i.e. the ratio between export and uptake) exhibit a very efficient silica pump especially at the HNLC reference station where heavily silicified diatoms were present. On the contrary, the increase with depth of the C:N ratio and the low nitrogen export efficiencies support the idea of a strong remineralization and nitrification activity. (C) 2016 Elsevier Ltd. All rights reserved.</t>
  </si>
  <si>
    <t>[Lemaitre, N.; Planquette, H.; Le Goff, M.; Planchon, F.] IUEM, Technopole Brest Iroise, UMR 6539, Lab Sci Environm Marin LEMAR, F-29280 Plouzane, France; [Lemaitre, N.; Dehairs, F.] Vrije Univ Brussel, Analyt Environm &amp; Geochem Earth Syst Sci Res Grp, Brussels, Belgium; [Bowie, A. R.; Trull, T. W.; Laurenceau-Cornec, E. C.] Univ Tasmania, Inst Marine &amp; Antarctic Studies, Hobart, Tas 7001, Australia; [Bowie, A. R.; Trull, T. W.; Laurenceau-Cornec, E. C.; Davies, D.] Antarctic Climate &amp; Ecosyst Cooperat Res Ctr, Hobart, Tas 7001, Australia; [Trull, T. W.; Laurenceau-Cornec, E. C.] CSIRO Marine &amp; Atmospher Res, Hobart, Tas 7001, Australia; [Bollinger, C.; Grossteffan, E.] IUEM, Technopole Brest Iroise, UMS 3113, F-29280 Plouzane, France</t>
  </si>
  <si>
    <t>Centre National de la Recherche Scientifique (CNRS); CNRS - Institute of Ecology &amp; Environment (INEE); Universite de Bretagne Occidentale; Institut Universitaire Europeen de la Mer (IUEM); Ifremer; Institut de Recherche pour le Developpement (IRD); Vrije Universiteit Brussel; University of Tasmania; Antarctic Climate &amp; Ecosystems Cooperative Research Centre (ACE CRC); Commonwealth Scientific &amp; Industrial Research Organisation (CSIRO); Centre National de la Recherche Scientifique (CNRS); CNRS - National Institute for Earth Sciences &amp; Astronomy (INSU); Universite de Bretagne Occidentale; Institut Universitaire Europeen de la Mer (IUEM)</t>
  </si>
  <si>
    <t>Lemaitre, N (corresponding author), IUEM, Technopole Brest Iroise, UMR 6539, Lab Sci Environm Marin LEMAR, F-29280 Plouzane, France.</t>
  </si>
  <si>
    <t>nolwenn.lemaitre@univ-brest.fr</t>
  </si>
  <si>
    <t>Frederic, Planchon A.M./A-8651-2010; Bowie, Andrew/C-8677-2013; Planquette, Helene/B-4990-2013; van der Merwe, Pier/C-9210-2015</t>
  </si>
  <si>
    <t>Laurenceau-Cornec, Emmanuel/0000-0002-4041-4377; Davies, Diana M./0000-0001-6304-3938; Bowie, Andrew/0000-0002-5144-7799; Planquette, Helene/0000-0002-2235-5158; Lemaitre, Nolwenn/0000-0003-3222-5880; van der Merwe, Pier/0000-0002-7428-8030; Planchon, Frederic/0000-0003-1288-9698</t>
  </si>
  <si>
    <t>French Agency of National Research [ANR-10-BLAN-0614]; Program LEFE-CYBER of the Institut des Sciences de l'Univers (INSU); Institut Paul Emile Victor; Science Policy, Belgium (BELSPO) [SD/CA/05A]; Flanders Research Foundation (FWO) [G071512N]; Vrije Universiteit Brussel (Strategic Research Plan 2); Antarctic Climate and Ecosystem Cooperative Research Center (ACE-CRC, Hobart, Australia); ANR grant BITMAP [ANR-12-PDOC-0025-01]; Laboratoire d'Excellence LabexMer [ANR-10-LABX-19]; Agence Nationale de la Recherche (ANR) [ANR-12-PDOC-0025] Funding Source: Agence Nationale de la Recherche (ANR)</t>
  </si>
  <si>
    <t>French Agency of National Research(Agence Nationale de la Recherche (ANR)); Program LEFE-CYBER of the Institut des Sciences de l'Univers (INSU); Institut Paul Emile Victor; Science Policy, Belgium (BELSPO); Flanders Research Foundation (FWO)(FWO); Vrije Universiteit Brussel (Strategic Research Plan 2); Antarctic Climate and Ecosystem Cooperative Research Center (ACE-CRC, Hobart, Australia)(Australian GovernmentDepartment of Industry, Innovation and ScienceCooperative Research Centres (CRC) Programme); ANR grant BITMAP(Agence Nationale de la Recherche (ANR)); Laboratoire d'Excellence LabexMer; Agence Nationale de la Recherche (ANR)(Agence Nationale de la Recherche (ANR))</t>
  </si>
  <si>
    <t>We would like to thank the captain, the crew, the scientific participants and chief scientists, Stephane Blain and Bernard Queguiner for their assistance at sea during the KEOPS2 expedition, onboard the R/V Marion Dufresne. We acknowledge P. Nonnotte, K. Quessette, M.L. Rouget and C. Liorzou (IUEM, France) for the use of the clean lab and F. Nenciolli (MIO, France) for the composite satellite image. The KEOPS project was supported by the French Agency of National Research (grant: ANR-10-BLAN-0614), the Program LEFE-CYBER of the Institut des Sciences de l'Univers (INSU) and the Institut Paul Emile Victor. Funding for this research was also obtained from Science Policy, Belgium (BELSPO, grant SD/CA/05A), Flanders Research Foundation (FWO, grant G071512N), Vrije Universiteit Brussel (Strategic Research Plan 2), the Antarctic Climate and Ecosystem Cooperative Research Center (ACE-CRC, Hobart, Australia). Finally, this work was funded by ANR grant BITMAP (ANR-12-PDOC-0025-01) to H. Planquette and by the Laboratoire d'Excellence LabexMer (ANR-10-LABX-19).</t>
  </si>
  <si>
    <t>10.1016/j.dsr.2016.09.002</t>
  </si>
  <si>
    <t>EF7MX</t>
  </si>
  <si>
    <t>WOS:000390514800002</t>
  </si>
  <si>
    <t>Obbard, RW; Lieb-Lappen, RM; Nordick, KV; Golden, EJ; Leonard, JR; Lanzirotti, A; Newville, MG</t>
  </si>
  <si>
    <t>Obbard, Rachel W.; Lieb-Lappen, Ross M.; Nordick, Katherine V.; Golden, Ellyn J.; Leonard, Jeremiah R.; Lanzirotti, Antonio; Newville, Mathew G.</t>
  </si>
  <si>
    <t>Synchrotron X-ray fluorescence spectroscopy of salts in natural sea ice</t>
  </si>
  <si>
    <t>EARTH AND SPACE SCIENCE</t>
  </si>
  <si>
    <t>sea ice; synchrotron; X-ray fluorescence spectroscopy</t>
  </si>
  <si>
    <t>FROST FLOWERS; PLATELET ICE; SALINITY; SNOW; CHEMISTRY; BROMINE; MICROSTRUCTURE; RELEASE</t>
  </si>
  <si>
    <t>We describe the use of synchrotron-based X-ray fluorescence spectroscopy to examine the microstructural location of specific elements, primarily salts, in sea ice. This work was part of an investigation of the location of bromine in the sea ice-snowpack-blowing snow system, where it plays a part in the heterogeneous chemistry that contributes to tropospheric ozone depletion episodes. We analyzed samples at beamline 13-ID-E of the Advanced Photon Source at Argonne National Laboratory. Using an 18keV incident energy beam, we produced elemental maps of salts for sea ice samples from the Ross Sea, Antarctica. The distribution of salts in sea ice depends on ice type. In our columnar ice samples, Br was located in parallel lines spaced roughly 0.5mm apart, corresponding to the spacing of lamellae in the skeletal region during initial ice growth. The maps revealed concentrations of Br in linear features in samples from all but the topmost and bottommost depths. For those samples, the maps revealed rounded features. Calibration of the Br elemental maps showed bulk concentrations to be 5-10g/m(3), with concentrations ten times larger in the linear features. Through comparison with horizontal thin sections, we could verify that these linear features were brine sheets or layers.</t>
  </si>
  <si>
    <t>[Obbard, Rachel W.; Lieb-Lappen, Ross M.; Nordick, Katherine V.; Golden, Ellyn J.] Dartmouth Coll, Thayer Sch Engn, Hanover, NH 03755 USA; [Leonard, Jeremiah R.] Worcester Polytech Inst, Worcester, MA 01609 USA; [Lanzirotti, Antonio; Newville, Mathew G.] Univ Chicago, Ctr Adv Radiat Sources, Chicago, IL 60637 USA</t>
  </si>
  <si>
    <t>Dartmouth College; Worcester Polytechnic Institute; University of Chicago</t>
  </si>
  <si>
    <t>Obbard, RW (corresponding author), Dartmouth Coll, Thayer Sch Engn, Hanover, NH 03755 USA.</t>
  </si>
  <si>
    <t>Rachel.W.Obbard@Dartmouth.edu</t>
  </si>
  <si>
    <t>Lieblappen, Ross/R-1081-2019; Newville, Matthew G/B-3372-2009; Newville, Matthew/GNP-3282-2022</t>
  </si>
  <si>
    <t>Lieblappen, Ross/0000-0002-5840-7538; Newville, Matthew G/0000-0001-6938-1014; Obbard, Rachel/0000-0003-2532-5648; Lanzirotti, Antonio/0000-0002-7597-5924</t>
  </si>
  <si>
    <t>US National Science Foundation (NSF) [OPP-1043145]; US Antarctic Program; GSECARS (APS Sector 13); National Science Foundation-Earth Sciences [EAR-1128799]; Department of Energy, Geosciences [DE-FG02-94ER14466]</t>
  </si>
  <si>
    <t>US National Science Foundation (NSF)(National Science Foundation (NSF)); US Antarctic Program; GSECARS (APS Sector 13); National Science Foundation-Earth Sciences(National Science Foundation (NSF)); Department of Energy, Geosciences(United States Department of Energy (DOE))</t>
  </si>
  <si>
    <t>This research was supported by US National Science Foundation (NSF) grant OPP-1043145 and the US Antarctic Program. The views and conclusions contained herein are those of the authors and should not be interpreted as representing official policies, either expressed or implied, of the NSF or the United States Government. We also acknowledge the support of Mark Rivers and GSECARS (APS Sector 13). GSECARS is supported by the National Science Foundation-Earth Sciences (EAR-1128799) and the Department of Energy, Geosciences (DE-FG02-94ER14466). The data associated with this research are archived in the NASA Global Change Master Directory and can be freely accessed at the following URL: http://gcmd.nasa.gov/getdif.htm?NSF-ANT10-43145.</t>
  </si>
  <si>
    <t>2333-5084</t>
  </si>
  <si>
    <t>EARTH SPACE SCI</t>
  </si>
  <si>
    <t>Earth Space Sci.</t>
  </si>
  <si>
    <t>10.1002/2016EA000172</t>
  </si>
  <si>
    <t>EF8UY</t>
  </si>
  <si>
    <t>WOS:000390606700002</t>
  </si>
  <si>
    <t>Anton-Solanas, A; O'Neill, BV; Morris, TE; Dunbar, J</t>
  </si>
  <si>
    <t>Anton-Solanas, Ana; O'Neill, Barry V.; Morris, Tessa E.; Dunbar, Joe</t>
  </si>
  <si>
    <t>Physiological and Cognitive Responses to an Antarctic Expedition:. A Case Report</t>
  </si>
  <si>
    <t>INTERNATIONAL JOURNAL OF SPORTS PHYSIOLOGY AND PERFORMANCE</t>
  </si>
  <si>
    <t>Antarctica; cognitive function; body composition; salivary hormones</t>
  </si>
  <si>
    <t>ENERGY-EXPENDITURE; PSYCHOMOTOR SPEED; MUCOSAL IMMUNITY; PERFORMANCE; CATECHOLAMINES; IMPAIRMENT; REACTIVITY; CORTISOL; EXERCISE; BATTERY</t>
  </si>
  <si>
    <t>To assess changes in body composition and monitor cognitive function, subjective well-being, and physiological stress, as measured by salivary hormones and markers of mucosal immunity, during an Antarctic expedition. Methods: A 36-y-old man (188.2 cm height, 94.5 kg body mass) took part in a world-record attempt. A total-body dual-energy X-ray absorptiometry scan and measurement of 8 skinfolds and 5 girths were performed before and after the expedition. In addition, daily subjective data were recorded (sleep quality, total hours of sleep, energy levels, perceived exertion, mood, muscle soreness, and muscle/joint pain) along with distance covered and hours of physical activity per day. As a measure of cognitive function, the athlete completed a computerized battery of tasks (Axon Sports Cognitive Priming Application) every third morning. Saliva samples were collected before, during, and after the expedition to determine salivary cortisol (sCort), testosterone (sT), alpha amylase (sAA), and secretory immunoglobulin A (sIgA). Results: The athlete lost 5.3 kg body mass and sum of 8 skinfolds decreased from 73 mm to 59 mm from preexpedition to postexpedition. Psychomotor speed declined over the course of the expedition. sT increased and sCort decreased throughout, and sAA and sIgA peaked toward the end of the expedition. Conclusions: This case study provides novel data about the physiological and cognitive impact of an Antarctic expedition. The findings may inform strategies for future expeditions, allowing individuals undertaking expeditions of this nature to better prepare for success.</t>
  </si>
  <si>
    <t>[Anton-Solanas, Ana; O'Neill, Barry V.; Morris, Tessa E.] GSK Human Performance Lab, Brentford, England; [Dunbar, Joe] IPRO Interact Ltd, Wallingford, Oxon, England</t>
  </si>
  <si>
    <t>Anton-Solanas, A (corresponding author), GSK Human Performance Lab, Brentford, England.</t>
  </si>
  <si>
    <t>ana.x.anton-solanas@gsk.com</t>
  </si>
  <si>
    <t>HUMAN KINETICS PUBL INC</t>
  </si>
  <si>
    <t>CHAMPAIGN</t>
  </si>
  <si>
    <t>1607 N MARKET ST, PO BOX 5076, CHAMPAIGN, IL 61820-2200 USA</t>
  </si>
  <si>
    <t>1555-0265</t>
  </si>
  <si>
    <t>1555-0273</t>
  </si>
  <si>
    <t>INT J SPORT PHYSIOL</t>
  </si>
  <si>
    <t>Int. J. Sport Physiol. Perform.</t>
  </si>
  <si>
    <t>10.1123/ijspp.2015-0611</t>
  </si>
  <si>
    <t>Physiology; Sport Sciences</t>
  </si>
  <si>
    <t>EF9DL</t>
  </si>
  <si>
    <t>WOS:000390630800011</t>
  </si>
  <si>
    <t>Du, JH; Huang, BQ; Zhou, LP</t>
  </si>
  <si>
    <t>Du, Jianghui; Huang, Baoqi; Zhou, Liping</t>
  </si>
  <si>
    <t>Global deepwater circulation between 2.4 and 1.7Ma and its connection to the onset of Northern Hemisphere Glaciation</t>
  </si>
  <si>
    <t>deepwater circulation; early Pleistocene; benthic stable isotopes; Northern Hemisphere Glaciation</t>
  </si>
  <si>
    <t>OCEAN CIRCULATION; ATLANTIC-OCEAN; THERMOHALINE CIRCULATION; ATMOSPHERIC CO2; ICE VOLUME; PACIFIC; DELTA-C-13; CARBON; TEMPERATURE; PLEISTOCENE</t>
  </si>
  <si>
    <t>We have generated an early Pleistocene benthic isotopic record for the Ocean Drilling Program Site 807 (2804m) from the western equatorial Pacific. Between 2.4 and 1.7Ma, the benthic C-13 of this site and a few other deep Pacific sites was consistently higher than the Southern Ocean Site MV0502-4JC (4286m), pointing to a reversal relative to the current gradient and hence implying a different circulation regime. We reconstructed the deepwater mass distribution of this interval by using a collection of benthic isotope records from 15 Pacific and 10 Atlantic sites and a C-13-O-18 mixing model. A two-end-member mixing regime between the North Atlantic Deep Water (NADW) and the Antarctic Bottom Water (AABW), with properties very different from today, was identified. The Southern Ocean showed strong signs of stratification and AABW with low benthic C-13, but high O-18 values reached out to other basins only below similar to 4000m. In contrast, NADW ventilated most of the ocean interior, contributing similar to 70% to the Pacific Deep Water volumetrically. Our model results also reveal a strong remineralization effect at the bottom sites of the Pacific and the Atlantic, suggesting significant accumulation of respired carbon in the bottom water between 2.4 and 1.7Ma. We propose that such a circulation pattern was initiated by the reversal of salinity gradient between AABW and NADW from 3.0 to 2.4Ma, possibly linked to Antarctic sea ice expansion and reduced southward heat transport during the onset of Northern Hemisphere Glaciation.</t>
  </si>
  <si>
    <t>[Du, Jianghui] Oregon State Univ, Coll Earth Ocean &amp; Atmospher Sci, Corvallis, OR 97331 USA; [Huang, Baoqi] Peking Univ, Lab Orogen Belts &amp; Crustal Evolut, Minist Educ, Beijing, Peoples R China; [Huang, Baoqi] Peking Univ, Sch Earth &amp; Space Sci, Beijing, Peoples R China; [Zhou, Liping] Peking Univ, Dept Geog, Beijing, Peoples R China; [Zhou, Liping] Peking Univ, Ocean Res Inst, Beijing, Peoples R China</t>
  </si>
  <si>
    <t>Oregon State University; Peking University; Peking University; Peking University; Peking University</t>
  </si>
  <si>
    <t>Huang, BQ (corresponding author), Peking Univ, Lab Orogen Belts &amp; Crustal Evolut, Minist Educ, Beijing, Peoples R China.;Huang, BQ (corresponding author), Peking Univ, Sch Earth &amp; Space Sci, Beijing, Peoples R China.</t>
  </si>
  <si>
    <t>bqhuang@pku.edu.cn</t>
  </si>
  <si>
    <t>Du, Jianghui/I-6570-2017</t>
  </si>
  <si>
    <t>Du, Jianghui/0000-0002-3386-9314; Zhou, Liping/0000-0002-3332-2343</t>
  </si>
  <si>
    <t>National Natural Science Foundation of China [41376043]</t>
  </si>
  <si>
    <t>The early Pleistocene benthic isotopic data of ODP 807 generated by this study are available in Data Set S1 in the supporting information. This research is supported by the National Natural Science Foundation of China (grant41376043). We thank the Ocean Drilling Program (ODP) for providing sediment samples and the State Key Laboratory of Marine Geology at Tongji University for carrying out benthic foraminiferal stable isotopic analyses. We express gratitude to all the colleagues, particularly Torsten Bickert and Lorraine Lisiecki, for making their data available through either personal communication or online database. We are also grateful to Heiko Palike for editorial handling and two anonymous reviewers for helpful comments that improved our manuscript.</t>
  </si>
  <si>
    <t>10.1002/2015PA002906</t>
  </si>
  <si>
    <t>EF9KF</t>
  </si>
  <si>
    <t>WOS:000390648400001</t>
  </si>
  <si>
    <t>Putzke, J; Pereira, AB</t>
  </si>
  <si>
    <t>Putzke, Jair; Pereira, Antonio B.</t>
  </si>
  <si>
    <t>Phaeosphaeria deschampsii (Ascomycota): A new parasite species of Deschampsia antarctica Poaceae) described to Antarctica</t>
  </si>
  <si>
    <t>ANAIS DA ACADEMIA BRASILEIRA DE CIENCIAS</t>
  </si>
  <si>
    <t>Antarctica; Ascomycota; grass; phytopathology</t>
  </si>
  <si>
    <t>This study presents the description of Phaeosphaeria deschampsii, which was found in plant communities from Half Moon Island, South Shetland Archipelago, Antarctica, in February 2014. Many patches of Deschampsia antarctica (Poaceae), the only indigenous Poaceae specie in Antarctic, were found dead, parasitized by a fungi pathogen. Based on the shape of its perithecia, with oblique neck, erumpent in the grass tissues, ascospore form and septation, the specie was identified as new to science.</t>
  </si>
  <si>
    <t>[Putzke, Jair] Univ Santa Cruz Sul UNISC, INCT APA, Av Independencia 2293, BR-96815900 Santa Cruz Do Sul, RS, Brazil; [Pereira, Antonio B.] Univ Fed Pampa UNIPAMPA, INCT APA, Av Antonio Trilha 1847, BR-97300000 Sao Gabriel, RS, Brazil</t>
  </si>
  <si>
    <t>Universidade de Santa Cruz do Sul; Universidade Federal do Pampa</t>
  </si>
  <si>
    <t>Pereira, AB (corresponding author), Univ Fed Pampa UNIPAMPA, INCT APA, Av Antonio Trilha 1847, BR-97300000 Sao Gabriel, RS, Brazil.</t>
  </si>
  <si>
    <t>anbatistape@gmail.com</t>
  </si>
  <si>
    <t>Putzke, Jair/P-9380-2019; Pereira, Antonio B/I-8201-2014; Pereira, Antonio/AAD-5703-2019</t>
  </si>
  <si>
    <t>Pereira, Antonio B/0000-0003-0368-4594;</t>
  </si>
  <si>
    <t>Brazilian Antarctic Program through Conselho Nacional de Desenvolvimento Cientifico e Tecnologico (CNPq) [574018/2008]; Fundacao Carlos Chagas Filho de Amparo a Pesquisa do Estado do Rio de Janeiro (FAPERJ) [E-26/170.023/2008]; Ministerio da Ciencia, Tecnologia e Inovacao (MCTI); Ministerio do Meio Ambiente (MMA); CIRM, through INCT-APA</t>
  </si>
  <si>
    <t>Brazilian Antarctic Program through Conselho Nacional de Desenvolvimento Cientifico e Tecnologico (CNPq)(Conselho Nacional de Desenvolvimento Cientifico e Tecnologico (CNPQ)Fundacao de Apoio a Pesquisa do Distrito Federal (FAPDF)); Fundacao Carlos Chagas Filho de Amparo a Pesquisa do Estado do Rio de Janeiro (FAPERJ)(Fundacao Carlos Chagas Filho de Amparo a Pesquisa do Estado do Rio De Janeiro (FAPERJ)); Ministerio da Ciencia, Tecnologia e Inovacao (MCTI); Ministerio do Meio Ambiente (MMA); CIRM, through INCT-APA</t>
  </si>
  <si>
    <t>This work was supported by the Brazilian Antarctic Program through Conselho Nacional de Desenvolvimento Cientifico e Tecnologico (CNPq) (process no. 574018/2008), Fundacao Carlos Chagas Filho de Amparo a Pesquisa do Estado do Rio de Janeiro (FAPERJ) (process no. E-26/170.023/2008) Ministerio da Ciencia, Tecnologia e Inovacao (MCTI), Ministerio do Meio Ambiente (MMA) and CIRM, through INCT-APA.</t>
  </si>
  <si>
    <t>ACAD BRASILEIRA DE CIENCIAS</t>
  </si>
  <si>
    <t>RIO JANEIRO</t>
  </si>
  <si>
    <t>RUA ANFILOFIO DE CARVALHO, 29, 3 ANDAR, 20030-060 RIO JANEIRO, BRAZIL</t>
  </si>
  <si>
    <t>0001-3765</t>
  </si>
  <si>
    <t>1678-2690</t>
  </si>
  <si>
    <t>AN ACAD BRAS CIENC</t>
  </si>
  <si>
    <t>An. Acad. Bras. Cienc.</t>
  </si>
  <si>
    <t>10.1590/0001-3765201620150779</t>
  </si>
  <si>
    <t>EF3BD</t>
  </si>
  <si>
    <t>WOS:000390198500032</t>
  </si>
  <si>
    <t>Dowling, TPF; Möller, P; Spagnolo, M</t>
  </si>
  <si>
    <t>Dowling, Thomas P. F.; Moller, Per; Spagnolo, Matteo</t>
  </si>
  <si>
    <t>Rapid subglacial streamlined bedform formation at a calving bay margin</t>
  </si>
  <si>
    <t>JOURNAL OF QUATERNARY SCIENCE</t>
  </si>
  <si>
    <t>calving bay; De Geer moraine; drumlin; ice recessional history; streamlined terrain</t>
  </si>
  <si>
    <t>ANTARCTIC ICE STREAM; DRUMLIN FORMATION; CENTRAL SWEDEN; INTERNAL STRUCTURE; CLAY VARVE; GLACIER; NORTHERN; HISTORY; TIME; DEGLACIATION</t>
  </si>
  <si>
    <t>Using the LiDAR-derived Swedish national height model we have identified previously undescribed shallow streamlined glacial bedforms, small-scale drumlins, on the Narke plain in south-central Sweden. These drumlins could only be detected with high-resolution LiDAR, due to both their subtle size and forest cover. In this area the ice margin receded in a subaqueous environment with a proglacial water depth in the order of 100m during the last deglaciation. As indicated by the configuration of marginally formed De Geer moraine ridges draping the drumlinoids, the receding ice margin formed deeply indented calving bays. These were located around subaqueous outlets of the subglacial melt-water drainage, with their apex position marked geomorphologically by beaded esker ridges. The mapped small-scale drumlins are aligned perpendicular to the reconstructed ice sheet margin and suggest formation along flow lines adjusted to the configuration of these calving embayments as they propagated up-flow with ice margin retreat. Based on these geometric relationships we argue that the emplacement of the drumlins was near-marginal, similar to 7.7-1km from the margin, on a short timescale (similar to 5-35 years). Copyright (C) 2016 John Wiley &amp; Sons, Ltd.</t>
  </si>
  <si>
    <t>[Dowling, Thomas P. F.; Moller, Per] Lund Univ, Quaternary Sci, Dept Geol, Solvegatan 12, SE-22362 Lund, Sweden; [Spagnolo, Matteo] Univ Aberdeen, Sch Geosci, Geog &amp; Environm Dept, Aberdeen AB24 3UF, Scotland</t>
  </si>
  <si>
    <t>Lund University; University of Aberdeen</t>
  </si>
  <si>
    <t>Dowling, TPF (corresponding author), Lund Univ, Quaternary Sci, Dept Geol, Solvegatan 12, SE-22362 Lund, Sweden.</t>
  </si>
  <si>
    <t>tom.dowling@geol.lu.se</t>
  </si>
  <si>
    <t>Dowling, Thomas P.F./JPA-1387-2023; Möller, Per/AAJ-7963-2020; Spagnolo, Matteo/G-2415-2011</t>
  </si>
  <si>
    <t>Dowling, Thomas P.F./0000-0003-0569-4462; Möller, Per/0000-0001-5365-2668; Spagnolo, Matteo/0000-0002-2753-338X</t>
  </si>
  <si>
    <t>[i2014/00579]</t>
  </si>
  <si>
    <t>The work presented here is part of a larger project (with P. Moller as PI) on the formation of streamlined terrain over south Sweden which, together with the papers by Dowling et al. (2013, 2015, 2016), and Moller and Dowling (2016) lead to, and are summarized in, the PhD thesis by Dowling (2016). The LiDAR data used in this work are the property of Lantmateriet (www.lantmateriet.se) and their use is under agreement number: i2014/00579. Comments by JQS reviewers Julia Wellner, Clas Hattestrand and an anonymous reviewer greatly improved the focus of the paper.</t>
  </si>
  <si>
    <t>0267-8179</t>
  </si>
  <si>
    <t>1099-1417</t>
  </si>
  <si>
    <t>J QUATERNARY SCI</t>
  </si>
  <si>
    <t>J. Quat. Sci.</t>
  </si>
  <si>
    <t>10.1002/jqs.2912</t>
  </si>
  <si>
    <t>EF5BL</t>
  </si>
  <si>
    <t>WOS:000390345600005</t>
  </si>
  <si>
    <t>Sealy, J; Lee-Thorp, J; Loftus, E; Faith, JT; Marean, CW</t>
  </si>
  <si>
    <t>Sealy, Judith; Lee-Thorp, Julia; Loftus, Emma; Faith, J. Tyler; Marean, Curtis W.</t>
  </si>
  <si>
    <t>Late Quaternary environmental change in the Southern Cape, South Africa, from stable carbon and oxygen isotopes in faunal tooth enamel from Boomplaas Cave</t>
  </si>
  <si>
    <t>bioapatite; C-3/C-4; Last Glacial Maximum; palaeoclimate; palaeoenvironment</t>
  </si>
  <si>
    <t>WINTER RAINFALL ZONE; ANTARCTIC ICE CORE; ATMOSPHERIC CO2; HIGH-RESOLUTION; WESTERN CAPE; STONE-AGE; CLIMATE; BOVIDAE; RECORD; DIETS</t>
  </si>
  <si>
    <t>Pleistocene palaeoclimates and palaeoenvironments of southernmost Africa are important for understanding southern hemisphere climate dynamics and for reconstructing human evolution and early human settlement in this region. Measurements of delta C-13 in tooth enamel of 136 faunal specimens from the archaeological site of Boomplaas Cave, South Africa, show significant shifts in proportions of C-3 and C-4 vegetation from the earliest deposits, probably dating to Marine Isotope Stage (MIS) 5, to the late Holocene. Vegetation communities during the Last Glacial Maximum were strongly C-3-dominated, indicating an eastward expansion of the winter rainfall zone at this time. This is consistent with climate models postulating northwards shift and/or intensification of the circumpolar westerly frontal systems during glacials. Winter rainfall and lower temperatures, both of which favour C-3 grasses, were clearly more important than lower pCO(2) (which favours C-4 grasses) in determining the nature of the vegetation. The intervals 40-36 and 17-14k cal a BP supported substantial quantities of C-4 grasses, indicating a greater proportion of summer rainfall at these times. These two intervals correspond with warmer climates as reflected in Antarctic ice cores. delta C-13 of an as yet unnamed caprine indicate that these animals were primarily C-3 grazers. Copyright (C) 2016 John Wiley &amp; Sons, Ltd.</t>
  </si>
  <si>
    <t>[Sealy, Judith; Loftus, Emma] Univ Cape Town, Dept Archaeol, Private Bag X3, ZA-7701 Rondebosch, South Africa; [Lee-Thorp, Julia; Loftus, Emma] Univ Oxford, Res Lab Archaeol &amp; Hist Art, S Parks Rd, Oxford OX1 3QY, England; [Faith, J. Tyler] Univ Queensland, Sch Social Sci, Brisbane, Qld 4072, Australia; [Marean, Curtis W.] Arizona State Univ, Sch Human Evolut &amp; Social Change, Inst Human Origins, POB 872402, Tempe, AZ 85287 USA; [Marean, Curtis W.] Nelson Mandela Metropolitan Univ, Ctr Coastal Palaeosci, ZA-6031 Port Elizabeth, Eastern Cape, South Africa</t>
  </si>
  <si>
    <t>University of Cape Town; University of Oxford; University of Queensland; Arizona State University; Arizona State University-Tempe; Nelson Mandela University</t>
  </si>
  <si>
    <t>Sealy, J (corresponding author), Univ Cape Town, Dept Archaeol, Private Bag X3, ZA-7701 Rondebosch, South Africa.</t>
  </si>
  <si>
    <t>Judith.Sealy@uct.ac.za</t>
  </si>
  <si>
    <t>Loftus, Emma/JLM-6933-2023; Faith, J. Tyler/E-7146-2015</t>
  </si>
  <si>
    <t>Sealy, Judith/0000-0001-5071-8211; Faith, J. Tyler/0000-0002-1101-7161; Loftus, Emma Jessica/0000-0003-4442-8511</t>
  </si>
  <si>
    <t>National Science Foundation (USA) [BCS-0524087, BCS-0824717]; South African Research Chairs initiative of the Department of Science and Technology; National Research Foundation; DST-NRF Centre of Excellence in Palaeosciences; John Templeton Foundation; Direct For Social, Behav &amp; Economic Scie; Division Of Behavioral and Cognitive Sci [1138073] Funding Source: National Science Foundation</t>
  </si>
  <si>
    <t>National Science Foundation (USA)(National Science Foundation (NSF)); South African Research Chairs initiative of the Department of Science and Technology; National Research Foundation; DST-NRF Centre of Excellence in Palaeosciences; John Templeton Foundation; Direct For Social, Behav &amp; Economic Scie; Division Of Behavioral and Cognitive Sci(National Science Foundation (NSF)NSF - Directorate for Social, Behavioral &amp; Economic Sciences (SBE))</t>
  </si>
  <si>
    <t>We thank Amy Rector and staff of Iziko South African Museum for assistance in selecting specimens for analysis, and Ian Newton and John Lanham for help in the isotope laboratory. Siep Talma generously supplied data for the Cango stalagmite included in Figs 3 and S3. Janette Deacon provided photographs and answered questions about the excavations at Boomplaas. Financial support was received from National Science Foundation (USA) grant no. BCS-0524087 to Curtis Marean and BCS-0824717 to Tyler Faith, and from the South African Research Chairs initiative of the Department of Science and Technology and the National Research Foundation, and the DST-NRF Centre of Excellence in Palaeosciences to Judith Sealy. C.M. also recognizes the support of the John Templeton Foundation to the Institute of Human Origins at Arizona State University. The opinions, findings and conclusions expressed here are those of the authors and the funding agencies do not accept any liability in this regard.</t>
  </si>
  <si>
    <t>10.1002/jqs.2916</t>
  </si>
  <si>
    <t>WOS:000390345600008</t>
  </si>
  <si>
    <t>Stachura-Suchoples, K; Enke, N; Schlie, C; Schaub, I; Karsten, U; Jahn, R</t>
  </si>
  <si>
    <t>Stachura-Suchoples, K.; Enke, N.; Schlie, C.; Schaub, I.; Karsten, U.; Jahn, R.</t>
  </si>
  <si>
    <t>Contribution towards a morphological and molecular taxonomic reference library of benthic marine diatoms from two Arctic fjords on Svalbard (Norway)</t>
  </si>
  <si>
    <t>Morphology; Molecular taxonomy; DNA barcode; 18S V4; rbcL</t>
  </si>
  <si>
    <t>KING-GEORGE-ISLAND; SECONDARY STRUCTURE; COASTAL WATERS; POTTER COVE; RBCL GENE; SP-NOV; SEA; KONGSFJORDEN; TEMPERATURE; CLOSTERIUM</t>
  </si>
  <si>
    <t>Knowledge on benthic diatom taxonomy and hence biodiversity from Arctic locations is rare, though the few existing analyses address morphological characteristics only. Morphological treatment is a time-consuming process and just allows the taxonomic identification of a low sample volume. In contrast, molecular sequencing is a faster and universally applicable approach, and also has the potential for refined analyses. Unfortunately, a lot of molecular information in databases is not trustable, and often existing genetic data do not fit together with morphological aspects. Therefore, the main goal of our study was for the first time to combine both morphological features and DNA information on benthic Arctic diatoms. In a first step, we studied the morphology of 26 strains from the Rostock Culture Collection of Arctic diatoms via light and electron microscopies. Secondly, we addressed their molecular taxonomy by sequencing the DNA barcode 18S V4 and the chloroplast marker rbcL. As a result, we could identify five species. Seven of the altogether twelve taxa could not be attributed to any known species, because listed sequences and morphology did not fit together. From these, three species were described as new to science here. Although the studied strains represent only a minor fraction of the diatom flora of Svalbard, this study is a first milestone in coupling morphological and molecular data of benthic diatoms in such high latitudes. By making these data available online, they contribute to a taxonomic reference library for Arctic benthic diatoms and are available for comparative studies.</t>
  </si>
  <si>
    <t>[Stachura-Suchoples, K.; Enke, N.; Jahn, R.] Free Univ Berlin, Bot Garten &amp; Bot Museum Dahlem, Konigin Luise Str 6-8, D-14195 Berlin, Germany; [Schlie, C.; Schaub, I.; Karsten, U.] Univ Rostock, Inst Biol Sci Appl Ecol &amp; Phycol, Albert Einstein Str 3, D-18057 Rostock, Germany</t>
  </si>
  <si>
    <t>Free University of Berlin; University of Rostock</t>
  </si>
  <si>
    <t>Karsten, U (corresponding author), Univ Rostock, Inst Biol Sci Appl Ecol &amp; Phycol, Albert Einstein Str 3, D-18057 Rostock, Germany.</t>
  </si>
  <si>
    <t>ulf.karsten@uni-rostock.de; r.jahn@bgbm.org</t>
  </si>
  <si>
    <t>Deutsche Forschungsgemeinschaft (DFG) [KA899/12, KA899/15]; Electron Microscopy Center at the University Medicine Rostock; Deutsche Forschungsgemeinschaft [INST 130/839-1 FUGG]; German Federal Ministry of Education and Research via the GBIF-D project [01 LI 1001 A]</t>
  </si>
  <si>
    <t>Deutsche Forschungsgemeinschaft (DFG)(German Research Foundation (DFG)); Electron Microscopy Center at the University Medicine Rostock; Deutsche Forschungsgemeinschaft(German Research Foundation (DFG)); German Federal Ministry of Education and Research via the GBIF-D project</t>
  </si>
  <si>
    <t>The work on benthic diatoms has been undertaken at the Ny-Alesund International Arctic Environmental Research and Monitoring Facility and under the agreement on scientific cooperation between the Alfred Wegener Institute, Bremerhaven, and the University of Rostock. The authors thank the crew at the AWIPEV base in Ny Alesund and the German dive team (Anita Flohr, Peter Leopold, Max Schwanitz) for assistance in the field, collecting the samples and technical help. This work was supported by the Deutsche Forschungsgemeinschaft (DFG) in the framework of the priority programme 1158 'Antarctic Research with comparative investigations in Arctic ice areas' by two grants (DFG, KA899/12 and KA899/15). The Rostock Group further gratefully acknowledges the support of the Electron Microscopy Center at the University Medicine Rostock (head Dr. M. Frank) and thanks Dr. G. Fulda for technical assistance. The Berlin Group gratefully acknowledges the help of Jana Bansemer with the retrieval of molecular data and of Monika Luchow at the SEM; it also acknowledges funding by the Deutsche Forschungsgemeinschaft Grant INST 130/839-1 FUGG concerning SEM as well as the German Federal Ministry of Education and Research for light microscopy via the GBIF-D project 01 LI 1001 A.</t>
  </si>
  <si>
    <t>10.1007/s00300-015-1683-2</t>
  </si>
  <si>
    <t>EF0QJ</t>
  </si>
  <si>
    <t>WOS:000390030500002</t>
  </si>
  <si>
    <t>Nowak, CA; Laudien, J; Sahade, RJ</t>
  </si>
  <si>
    <t>Nowak, Christopher A.; Laudien, Juergen; Sahade, Ricardo J.</t>
  </si>
  <si>
    <t>Rising temperatures and sea-ice-free winters affect the succession of Arctic macrozoobenthic soft-sediment communities (Kongsfjorden, Svalbard)</t>
  </si>
  <si>
    <t>Arctic macrozoobenthos; Infauna; Iceberg scouring; Interannual variability; Ecological succession; In situ experiment</t>
  </si>
  <si>
    <t>BOTTOM MACROBENTHIC COMMUNITIES; ANTARCTIC BENTHOS; PHYSICAL DISTURBANCE; SPECIES RICHNESS; BALTIC SEA; COLONIZATION; DIVERSITY; SHELF; RECOLONIZATION; MATTER</t>
  </si>
  <si>
    <t>In the Arctic, the currently observed rising air temperature results in more frequent calving of icebergs. The latter derive from tidewater glaciers. Arctic macrozoobenthic soft-sediment communities are considerably disturbed by direct hits and sediment reallocation caused by iceberg scouring. With the aim to describe the primary succession of macrozoobenthic communities following these events, scientific divers installed 28 terracotta containers in the soft-sediment off Brandal (Kongsfjorden, Svalbard, Norway) at 20 m water depth in 2002. The containers were filled with a bentonite-sand mixture resembling the natural sediment. Samples were taken annually between 2003 and 2007. A shift from pioneering species (e.g. Cumacea: Lamprops fuscatus) towards more specialised taxa, as well as from surface detritivores towards subsurface detritivores was observed. This is typical for an ecological succession following the facilitation and inhibition succession model. Similarity between experimental and non-manipulated communities from 2003 was significantly highest after 3 years of succession. In the following years, similarity decreased, probably due to elevated temperatures, which prevented the fjord system from freezing. Some organisms, numerically important in the non-manipulated community (e.g. the polychaete Dipolydora quadrilobata) did not colonise the substrate during the experiment. This suggests that the community had not fully matured within the first 3 years. Later, the settlement was probably impeded by consequences of rising temperatures. This demonstrates the long-lasting effects of severe disturbances on Arctic macrozoobenthic communities. Furthermore, environmental changes, such as rising temperatures coupled with enhanced food availability due to an increasing frequency of sea-ice-free days per year, may have a stronger effect on succession than exposure time.</t>
  </si>
  <si>
    <t>[Nowak, Christopher A.] Univ Bremen, Bibliothekstr 1, D-28359 Bremen, Germany; [Laudien, Juergen] Alfred Wegener Inst, Helmholtz Ctr Polar &amp; Marine Res, POB 120161, D-27515 Bremerhaven, Germany; [Sahade, Ricardo J.] Consejo Nacl Invest Cient &amp; Tecn, IDEA, Ave Velez Sarsfield 299, RA-5000 Cordoba, Argentina; [Sahade, Ricardo J.] Univ Nacl Cordoba, Fac Ciencias Exactas Fis &amp; Nat, Ave Velez Sarsfield 299, RA-5000 Cordoba, Argentina</t>
  </si>
  <si>
    <t>University of Bremen; Helmholtz Association; Alfred Wegener Institute, Helmholtz Centre for Polar &amp; Marine Research; Consejo Nacional de Investigaciones Cientificas y Tecnicas (CONICET); National University of Cordoba</t>
  </si>
  <si>
    <t>Laudien, J (corresponding author), Alfred Wegener Inst, Helmholtz Ctr Polar &amp; Marine Res, POB 120161, D-27515 Bremerhaven, Germany.</t>
  </si>
  <si>
    <t>Nowak.Ch@gmx.net; Juergen.Laudien@awi.de; rsahade@unc.edu.ar</t>
  </si>
  <si>
    <t>Sahade, Ricardo/0000-0001-5650-8135; Laudien, Jurgen/0000-0003-2663-4821; Brunner, Christopher/0000-0002-5405-9126</t>
  </si>
  <si>
    <t>German Academic Exchange Service (DAAD)</t>
  </si>
  <si>
    <t>German Academic Exchange Service (DAAD)(Deutscher Akademischer Austausch Dienst (DAAD))</t>
  </si>
  <si>
    <t>This research was performed at the Ny-Alesund International Research and Monitoring Facility on Spitsbergen (Svalbard). There, the AWIPEV facility, provided by the Alfred-Wegener-Institute Helmholtz Centre for Polar and Marine Research (AWI) and the Institut polaire Francais-Institut Paul Emile Victor (IPEV), was used. We would like to express our appreciation to the cold water adapted scientific diving group of the AWI for assistance during the installation and sampling of the experimental set-up, especially Tilman Alpermann, Michael Assmann, Saskia Brandt, Claudia Daniel, Marko Herrmann, Stephan Kremb, Uli Kunz, Robert Marc Lehmann, Nick Probst, Philipp Schubert, Max Schwanitz, Marcos Tatian, Gritta Veit-Kohler, Jose Velez and Hendrik Wessels. We are also very grateful to Anders Waren and Gritta Veit-Kohler who supported the identification of molluscs. Moreover, we would like to thank Ramona Brunner, Ruth Alheit and Georgia Mc Dowell who greatly helped by proof-reading the manuscript, as well as Michael Greenacre and four anonymous reviewers for their constructive suggestions on an earlier version of this manuscript. Finally, we are grateful for financial support by the German Academic Exchange Service (DAAD) to cover travel costs for research students.</t>
  </si>
  <si>
    <t>10.1007/s00300-016-1995-x</t>
  </si>
  <si>
    <t>WOS:000390030500013</t>
  </si>
  <si>
    <t>The Emerging Age of Ecological Restoration Law</t>
  </si>
  <si>
    <t>REVIEW OF EUROPEAN COMPARATIVE &amp; INTERNATIONAL ENVIRONMENTAL LAW</t>
  </si>
  <si>
    <t>This article challenges the dominant future orientation of environmental law by drawing attention to the need to consider past environmental losses and the role of restoration law. The article highlights some precedents in international and domestic law. So far, most examples of restoration governance in our legal systems should be described as 'environmental' restoration, addressing discrete contexts such as a pollution spill site or a former mine. The larger agenda of ecological restoration is in its infancy, but there are a handful of interesting legal innovations. Successful ecological restoration governance is a complex task that requires addressing four criteria: biological feasibility, social acceptability, financial viability and institutional tractability.</t>
  </si>
  <si>
    <t>[Richardson, Benjamin J.] Univ Tasmanias, Environm Law, Fac Law, Hobart, Tas, Australia; [Richardson, Benjamin J.] Inst Marine &amp; Antarctic Studies, Taroona, Tas, Australia; [Richardson, Benjamin J.] IUCN, Acad Environm Law, Tasmanian Environm Defenders Off, Fontainebleau, France; [Richardson, Benjamin J.] Australian Panel Experts Environm Law, Taroona, ACT, Australia</t>
  </si>
  <si>
    <t>Richardson, BJ (corresponding author), Univ Tasmanias, Environm Law, Fac Law, Hobart, Tas, Australia.;Richardson, BJ (corresponding author), Inst Marine &amp; Antarctic Studies, Taroona, Tas, Australia.;Richardson, BJ (corresponding author), IUCN, Acad Environm Law, Tasmanian Environm Defenders Off, Fontainebleau, France.;Richardson, BJ (corresponding author), Australian Panel Experts Environm Law, Taroona, ACT, Australia.</t>
  </si>
  <si>
    <t>B.J.richardson@utas.edu.au</t>
  </si>
  <si>
    <t>2050-0386</t>
  </si>
  <si>
    <t>2050-0394</t>
  </si>
  <si>
    <t>REV EUR COMP INT ENV</t>
  </si>
  <si>
    <t>Rev. Eur. Comp. Int. Environ.</t>
  </si>
  <si>
    <t>10.1111/reel.12165</t>
  </si>
  <si>
    <t>EF4VC</t>
  </si>
  <si>
    <t>WOS:000390329100002</t>
  </si>
  <si>
    <t>McGee, J</t>
  </si>
  <si>
    <t>McGee, Jeffrey</t>
  </si>
  <si>
    <t>Climate Change, Capitalism, and Corporations: Processes of Creative Self-Destruction</t>
  </si>
  <si>
    <t>Book Review</t>
  </si>
  <si>
    <t>[McGee, Jeffrey] Univ Tasmania, Fac Law, Hobart, Tas 7001, Australia; [McGee, Jeffrey] Univ Tasmania, Inst Marine &amp; Antarctic Studies, Hobart, Tas 7001, Australia</t>
  </si>
  <si>
    <t>McGee, J (corresponding author), Univ Tasmania, Fac Law, Hobart, Tas 7001, Australia.;McGee, J (corresponding author), Univ Tasmania, Inst Marine &amp; Antarctic Studies, Hobart, Tas 7001, Australia.</t>
  </si>
  <si>
    <t>McGee, Jeffrey/K-7322-2015</t>
  </si>
  <si>
    <t>McGee, Jeffrey/0000-0002-2093-5896</t>
  </si>
  <si>
    <t>10.1111/reel.12180</t>
  </si>
  <si>
    <t>WOS:000390329100010</t>
  </si>
  <si>
    <t>Jeong, GR; Monge-Sanz, BM; Lee, EH; Ziemke, JR</t>
  </si>
  <si>
    <t>Jeong, Gill-Ran; Monge-Sanz, Beatriz M.; Lee, Eun-Hee; Ziemke, Jerald R.</t>
  </si>
  <si>
    <t>Simulation of stratospheric ozone in global forecast model using linear photochemistry parameterization</t>
  </si>
  <si>
    <t>ASIA-PACIFIC JOURNAL OF ATMOSPHERIC SCIENCES</t>
  </si>
  <si>
    <t>Linear Photochemistry Parameterization (LPP); climatological ozone profiles; correlations; differential radiative fluxes; ozone hole</t>
  </si>
  <si>
    <t>GENERAL-CIRCULATION MODEL; DATA ASSIMILATION SYSTEM; TROPOSPHERE; CHEMISTRY; SCHEMES; IMPACT</t>
  </si>
  <si>
    <t>The two types of ozone, the simulation with interactive (prognostic) ozone using linear photochemistry parameterization (LPP) (INTR) and the simulation with non-interactive ozone using ozone climatology (CLIM), were used in the global forecast model. These two types of ozone were compared with ozone observations from the Aura Microwave Lim Sounder (MLS) and ozonesondes from 16-30 September 2008. The INTR is sensitive to LPP schemes while less sensitive to the time average of initial ozone data. Among three LPP schemes, CARIOLLE, COPCAT, and LINOZ, the COPCAT produces ozone profiles with least differences from MLS and ozonesondes. CLIM overestimates MLS at 200-20 hPa while INTR with COPCAT scheme underestimates MLS ozone above 5 hPa. Over the Antarctic in the lower stratosphere CLIM overestimates MLS and ozonesondes whereas INTR underestimates MLS but overestimates the ozonesonde data. Thus, COPCAT agrees better with ozonesonde data than any other LPP schemes and CLIM. Changing the ozone distribution from CLIM to INTR affects temperature profiles mainly through the modification of differential radiative fluxes. The correlations between ozone, differential radiative fluxes, and temperature are distinguished by altitude (or pressure levels). The correlations are strong or moderate between 3-1000 hPa (lower atmosphere) and weak above 3 hPa (upper atmosphere). This study demonstrates that the simulation of ozone using an appropriate LPP scheme is excellent in overcoming the drawbacks of using climatological ozone profiles that poorly agree with observations in extreme ozone hole events.</t>
  </si>
  <si>
    <t>[Jeong, Gill-Ran; Lee, Eun-Hee] Korea Inst Atmospher Predict Syst, Seoul 07071, South Korea; [Monge-Sanz, Beatriz M.] European Ctr Medium Range Weather Forecasts, Reading, Berks, England; [Ziemke, Jerald R.] Morgan State Univ, Goddard Earth Sci Technol &amp; Res, Baltimore, MD 21239 USA; [Ziemke, Jerald R.] NASA, Goddard Space Flight Ctr, Greenbelt, MD USA</t>
  </si>
  <si>
    <t>European Centre for Medium-Range Weather Forecasts (ECMWF); Morgan State University; National Aeronautics &amp; Space Administration (NASA); NASA Goddard Space Flight Center</t>
  </si>
  <si>
    <t>Jeong, GR (corresponding author), Korea Inst Atmospher Predict Syst, Seoul 07071, South Korea.</t>
  </si>
  <si>
    <t>gr.jeong@kiaps.org</t>
  </si>
  <si>
    <t>Monge-Sanz, Beatriz/0000-0001-6067-8858</t>
  </si>
  <si>
    <t>Korea Meteorological Administration (KMA)</t>
  </si>
  <si>
    <t>Korea Meteorological Administration (KMA)(Korea Meteorological Administration (KMA))</t>
  </si>
  <si>
    <t>We would like to thank Dr. Daniel Cariolle at CERFACS, Dr. Irina Petropavlovskikh at NOAA/ ESRL for her comment on the ozonesonde data, Dr. Gordon Labow at NASA/GSFC for providing the MLS/ozone data, and Drs. Elias Holm and Rossana Dragani at ECMWF for their comments on the application of LPP to NWP models. This work has been carried out through the R&amp;D project on the development of global numerical weather prediction systems of Korea Institute of Atmospheric Prediction Systems (KIAPS) funded by Korea Meteorological Administration (KMA).</t>
  </si>
  <si>
    <t>KOREAN METEOROLOGICAL SOC</t>
  </si>
  <si>
    <t>SHINKIL-DONG 508, SIWON BLDG 704, YONGDUNGPO-GU, SEOUL, 150-050, SOUTH KOREA</t>
  </si>
  <si>
    <t>1976-7633</t>
  </si>
  <si>
    <t>1976-7951</t>
  </si>
  <si>
    <t>ASIA-PAC J ATMOS SCI</t>
  </si>
  <si>
    <t>Asia-Pac. J. Atmos. Sci.</t>
  </si>
  <si>
    <t>10.1007/s13143-016-0032-x</t>
  </si>
  <si>
    <t>EE8VN</t>
  </si>
  <si>
    <t>WOS:000389904700006</t>
  </si>
  <si>
    <t>Oliver, ECJ; Herzfeld, M; Holbrook, NJ</t>
  </si>
  <si>
    <t>Oliver, Eric C. J.; Herzfeld, Mike; Holbrook, Neil J.</t>
  </si>
  <si>
    <t>Modelling the shelf circulation off eastern Tasmania</t>
  </si>
  <si>
    <t>Ocean modelling; Continental shelf circulation; Seasonal variability; Tasmania; Boundary current; Seasonal cycle</t>
  </si>
  <si>
    <t>OCEAN; SYSTEM</t>
  </si>
  <si>
    <t>The marine waters across Tasmanian's eastern continental shelf are biologically productive and home to economically important fisheries and aquaculture industries. However, the marine climate there is poorly understood. We use a high-resolution (similar to 2 km in the horizontal), three-dimensional ocean model for eastern Tasmania (ETAS) to examine the simulated mean state and seasonal cycle of temperature, salinity and three-dimensional flow field, and the evaluation of daily model outputs against in situ and remote observations for the 1993-2014 period. We also use the model to examine the roles of river input and tidal forcing. The model is evaluated against remotely-sensed sea surface temperature and in-situ observations of sea level and subsurface temperature, salinity, and currents. The mean state demonstrates the influence of two well-known boundary currents (the East Australian Current, EAC, and the Zeehan Current, ZC) as well as the effects of local freshwater input from river runoff. The EAC is dominant in summer and the ZC in winter; the influence of the EAC also increases northwards and in the offshore direction. In addition, the model indicates the presence of a semipermanent subsurface (50-100 m depth) northward flow trapped near the coast. Cool freshwater runoff from the Derwent and Huon Rivers directly impacts the temperature and salinity in their estuaries but has little influence further across the shelf. Tidal forcing impacts the mean state through tide-river interactions which flush Frederick Henry Bay and Norfolk Bay with freshwater. Tidal forcing also impacts the variability of temperature all along the coastline, most likely due to changes in the turbulent mixing near to the coast. The ETAS model output data are available as a high-resolution representation of the mean state, seasonal variations, and interannual variability of Tasmania's eastern continental shelf marine climate.</t>
  </si>
  <si>
    <t>[Oliver, Eric C. J.; Holbrook, Neil J.] Univ Tasmania, Inst Marine &amp; Antarctic Studies, 20 Castray Esplanade, Hobart, Tas 7004, Australia; [Oliver, Eric C. J.; Holbrook, Neil J.] Univ Tasmania, Australian Res Council, Ctr Excellence Climate Syst Sci, Hobart, Tas, Australia; [Herzfeld, Mike] CSIRO Oceans &amp; Atmosphere, Hobart, Tas, Australia</t>
  </si>
  <si>
    <t>University of Tasmania; University of Tasmania; Commonwealth Scientific &amp; Industrial Research Organisation (CSIRO)</t>
  </si>
  <si>
    <t>Oliver, ECJ (corresponding author), Univ Tasmania, Inst Marine &amp; Antarctic Studies, 20 Castray Esplanade, Hobart, Tas 7004, Australia.</t>
  </si>
  <si>
    <t>eric.oliver@utas.edu.au</t>
  </si>
  <si>
    <t>Oliver, Eric/G-5118-2014; Holbrook, Neil/M-7544-2013</t>
  </si>
  <si>
    <t>Oliver, Eric/0000-0002-4006-2826; Holbrook, Neil/0000-0002-3523-6254</t>
  </si>
  <si>
    <t>Australian Research Council (ARC) Super Science Fellowship [FS110200029]; ARC Centre of Excellence for Climate System Science (ARCCSS) [CE110001028]; Australian Government</t>
  </si>
  <si>
    <t>Australian Research Council (ARC) Super Science Fellowship(Australian Research Council); ARC Centre of Excellence for Climate System Science (ARCCSS)(Australian Research Council); Australian Government(Australian Government)</t>
  </si>
  <si>
    <t>The authors would like to acknowledge funding from the Australian Research Council (ARC) Super Science Fellowship (Grant no. FS110200029) and the ARC Centre of Excellence for Climate System Science (ARCCSS; Grant no. CE110001028). NOAA High Resolution SST data provided by the NOAA/OAR/ESRL PSD, Boulder, Colorado, USA from their Web site at http://www.esrl.noaa.gov/psd/. Maria Island NRS and Storm Bay SRS data were sourced from the Integrated Marine Observing System (IMOS) - IMOS is a national collaborative research infrastructure, supported by the Australian Government. Near-bottom temperature logger data were provided by Dr. Craig Mundy (Fisheries and Aquaculture, Institute for Marine and Antarctic Studies, University of Tasmania). The Sparse Hydrodynamic Ocean Code (SHOC) was kindly provided by CSIRO Oceans and Atmosphere and licensed for use by IMAS/UTAS for the purposes of this research. The authors would like to acknowledge Mark Baird, John Andrewartha, Farhan Rizwi (CSIRO Marine and Atmospheric Research), and Jessica Benthuysen (Australian Institute of Marine Science) for helpful discussions and assistance setting up the numerical ocean modeling.</t>
  </si>
  <si>
    <t>NOV 1</t>
  </si>
  <si>
    <t>10.1016/j.csr.2016.10.005</t>
  </si>
  <si>
    <t>EE6OY</t>
  </si>
  <si>
    <t>WOS:000389733300002</t>
  </si>
  <si>
    <t>Wille, JD; Bromwich, DH; Nigro, MA; Cassano, JJ; Mateling, M; Lazzara, MA; Wang, SH</t>
  </si>
  <si>
    <t>Wille, Jonathan D.; Bromwich, David H.; Nigro, Melissa A.; Cassano, John J.; Mateling, Marian; Lazzara, Matthew A.; Wang, Sheng-Hung</t>
  </si>
  <si>
    <t>Evaluation of the AMPS Boundary Layer Simulations on the Ross Ice Shelf with Tower Observations</t>
  </si>
  <si>
    <t>JOURNAL OF APPLIED METEOROLOGY AND CLIMATOLOGY</t>
  </si>
  <si>
    <t>POLAR WEATHER RESEARCH; SEA-ICE; FORECASTING-MODEL; KATABATIC WINDS; WRF MODEL; ANTARCTICA; PERFORMANCE; CHALLENGES; ATMOSPHERE; TURBULENCE</t>
  </si>
  <si>
    <t>Flight operations in Antarctica rely on accurate weather forecasts aided by the numerical predictions primarily produced by the Antarctic Mesoscale Prediction System (AMPS) that employs the polar version of the Weather Research and Forecasting (Polar WRF) Model. To improve the performance of the model's Mellor-Yamada-Janjic (MYJ) planetary boundary layer (PBL) scheme, this study examines 1.5 yr of meteorological data provided by the 30-m Alexander Tall Tower! (ATT) automatic weather station on the western Ross Ice Shelf from March 2011 to July 2012. Processed ATT observations at 10-min intervals from the multiple observational levels are compared with the 5-km-resolution AMPS forecasts run daily at 0000 and 1200 UTC. The ATT comparison shows that AMPS has fundamental issues with moisture and handling stability as a function of wind speed. AMPS has a 10-percentage-point (i.e., RH unit) relative humidity dry bias year-round that is highest when katabatic winds from the Byrd and Mulock Glaciers exceed 15 m s(-1). This is likely due to nonlocal effects such as errors in the moisture content of the katabatic flow and AMPS not parameterizing the sublimation from blowing snow. AMPS consistently overestimates the wind speed at the ATT by 1-2 m s(-1), in agreement with previous studies that attribute the high wind speed bias to the MYJ scheme. This leads to reduced stability in the simulated PBL, thus affecting the model's ability to properly simulate the transfer of heat and momentum throughout the PBL.</t>
  </si>
  <si>
    <t>[Wille, Jonathan D.; Bromwich, David H.; Wang, Sheng-Hung] Ohio State Univ, Byrd Polar &amp; Climate Res Ctr, Polar Meteorol Grp, Columbus, OH 43210 USA; [Bromwich, David H.] Ohio State Univ, Dept Geog, Atmospher Sci Program, Columbus, OH 43210 USA; [Nigro, Melissa A.; Cassano, John J.] Univ Colorado, Cooperat Inst Res Environm Sci, Boulder, CO 80309 USA; [Cassano, John J.] Univ Colorado, Dept Atmospher &amp; Ocean Sci, Boulder, CO 80309 USA; [Mateling, Marian; Lazzara, Matthew A.] Univ Wisconsin, Antarctic Meteorol Res Ctr, Space Sci &amp; Engn Ctr, Madison, WI USA; [Mateling, Marian] Univ Wisconsin, Dept Atmospher &amp; Ocean Sci, Madison, WI USA; [Lazzara, Matthew A.] Madison Area Tech Coll, Dept Phys Sci, Sch Arts &amp; Sci, Madison, WI USA</t>
  </si>
  <si>
    <t>University System of Ohio; Ohio State University; University System of Ohio; Ohio State University; University of Colorado System; University of Colorado Boulder; University of Colorado System; University of Colorado Boulder; University of Wisconsin System; University of Wisconsin Madison; University of Wisconsin System; University of Wisconsin Madison</t>
  </si>
  <si>
    <t>Bromwich, DH (corresponding author), 1090 Carmack Rd 108 Scott Hall, Columbus, OH 43210 USA.</t>
  </si>
  <si>
    <t>bromwich.1@osu.edu</t>
  </si>
  <si>
    <t>Wille, Jonathan/KFQ-5871-2024; Cassano, John/HKW-8817-2023</t>
  </si>
  <si>
    <t>National Science Foundation (NSF) [ANT-1245663]; NSF via UCAR AMPS Grant [GRT 0032749, ANT-1245737]; Office of Polar Programs (OPP); Directorate For Geosciences [1245737, 1245663] Funding Source: National Science Foundation</t>
  </si>
  <si>
    <t>National Science Foundation (NSF)(National Science Foundation (NSF)); NSF via UCAR AMPS Grant; Office of Polar Programs (OPP); Directorate For Geosciences(National Science Foundation (NSF)NSF - Directorate for Geosciences (GEO))</t>
  </si>
  <si>
    <t>We thank Linda Keller, David Mikolajczyk, Jonathan Thom, George Weidner, and Lee Welhouse from the University of Wisconsin-Madison for their help with the Alexander Tall Tower! AWS equipment, installation, and maintenance and also the data, which are supported by National Science Foundation (NSF) Grant ANT-1245663. The NSF via UCAR AMPS Grant GRT 0032749 to The Ohio State University and Grant ANT-1245737 to the University of Colorado Boulder funded this research.</t>
  </si>
  <si>
    <t>1558-8424</t>
  </si>
  <si>
    <t>1558-8432</t>
  </si>
  <si>
    <t>J APPL METEOROL CLIM</t>
  </si>
  <si>
    <t>J. Appl. Meteorol. Climatol.</t>
  </si>
  <si>
    <t>10.1175/JAMC-D-16-0032.1</t>
  </si>
  <si>
    <t>EE8HR</t>
  </si>
  <si>
    <t>WOS:000389866800002</t>
  </si>
  <si>
    <t>Kaputkina, LM; Svyazhin, AG; Smarygina, IV; Kindop, VE; Bazhenov, VE</t>
  </si>
  <si>
    <t>Kaputkina, L. M.; Svyazhin, A. G.; Smarygina, I. V.; Kindop, V. E.; Bazhenov, V. E.</t>
  </si>
  <si>
    <t>High-Strength Corrosion-Resistant Cryogenic Steel Alloyed with Nitrogen</t>
  </si>
  <si>
    <t>METALLURGIST</t>
  </si>
  <si>
    <t>austenitic steels for low temperature; alloying with nitrogen; treatment; thermal stability; properties</t>
  </si>
  <si>
    <t>Comparative studies are provided for cryogenic austenitic steels. All of the steels studied may be used as cryogenic materials with increased strength. A new economic low-nickel steel Cr19Ni6Mn10Mo2N has the highest strength level in hot-rolled and cold-rolled conditions from the austenitic condition region, and this provides effective use within the Arctic and Antarctic climatic regions. This steel has a stable austenitic structure and quite good mechanical properties from +100 to -170A degrees C and at these temperatures may replace highly alloyed steel type Cr22Ni16Mn7N. Traditional steel Cr19Ni9N may only be used as cryogenic material for undeformable objects since below 70A degrees C strain-induced martensite may form within it.</t>
  </si>
  <si>
    <t>[Kaputkina, L. M.; Svyazhin, A. G.; Smarygina, I. V.; Kindop, V. E.; Bazhenov, V. E.] Natl Univ Sci &amp; Technol MISiS, Moscow, Russia</t>
  </si>
  <si>
    <t>National University of Science &amp; Technology (MISIS)</t>
  </si>
  <si>
    <t>Kaputkina, LM (corresponding author), Natl Univ Sci &amp; Technol MISiS, Moscow, Russia.</t>
  </si>
  <si>
    <t>kaputkina@mail.ru; svyazhin@misis.ru</t>
  </si>
  <si>
    <t>Svyazhin, Anatoly G./C-1542-2018; Smarygina, Inga/AFP-3003-2022; Bazhenov, Viacheslav/K-9978-2013</t>
  </si>
  <si>
    <t>Bazhenov, Viacheslav/0000-0003-3214-1935; Smarygina, Inga/0000-0002-6729-1768</t>
  </si>
  <si>
    <t>Russian Federation Ministry of Education and Science [RFMEFI57514X0071]</t>
  </si>
  <si>
    <t>Russian Federation Ministry of Education and Science(Ministry of Education and Science, Russian Federation)</t>
  </si>
  <si>
    <t>This work was carried out with financial support from the Russian Federation Ministry of Education and Science; unique agreement identifier is RFMEFI57514X0071.</t>
  </si>
  <si>
    <t>0026-0894</t>
  </si>
  <si>
    <t>1573-8892</t>
  </si>
  <si>
    <t>METALLURGIST+</t>
  </si>
  <si>
    <t>Metallurgist</t>
  </si>
  <si>
    <t>7-8</t>
  </si>
  <si>
    <t>10.1007/s11015-016-0369-5</t>
  </si>
  <si>
    <t>Metallurgy &amp; Metallurgical Engineering</t>
  </si>
  <si>
    <t>EF0HH</t>
  </si>
  <si>
    <t>WOS:000390006000024</t>
  </si>
  <si>
    <t>Zhang, JH; Knight, A; Duke, M; Northcott, K; Packer, M; Scales, PJ; Gray, SR</t>
  </si>
  <si>
    <t>Zhang, Jianhua; Knight, Adrian; Duke, Mikel; Northcott, Kathy; Packer, Michael; Scales, Peter J.; Gray, Stephen R.</t>
  </si>
  <si>
    <t>A new integrated potable reuse process for a small remote community in Antarctica</t>
  </si>
  <si>
    <t>PROCESS SAFETY AND ENVIRONMENTAL PROTECTION</t>
  </si>
  <si>
    <t>Water treatment; Environmental protection; Water reuse; Potable reuse; Advanced water treatment plant; Small community</t>
  </si>
  <si>
    <t>DRINKING-WATER; OZONE</t>
  </si>
  <si>
    <t>To meet water reuse and discharge requirements in Davis Station, Antarctica, an advanced water treatment plant (AWTP) had been designed and tested for nine months. The key design factors for operating in small communities in remote areas included low maintenance requirement (low chemical inventory, minimal onsite labour), high LRVs for pathogens, robust operation, and high automation. Based on these requirements, the seven-barrier AWTP included ozonation, ceramic microfiltration, biological activated carbon, reverse osmosis, ultraviolet radiation, calcite filtration and chlorination. The nine month test demonstrated that the plant was able to provide minimum LRVs of 12,5 for virus and bacteria, and 10 for protozoa. The overall estimated chemical consumption was lower than equivalent continuous operations elsewhere due to a reduced number of Clean in Place (CIP) cycles as compared to industry. This was achieved by optimised integration of the barriers. Furthermore, there was no functional failure of major barriers and the automated online pressure decay test (PDT) validations for MF and RO were successful. Although some minor improvements, such as a reduced frequency of RO pre-filter cartridge replacement, are still needed, the new integrated plant has fulfilled the requirements of high pathogen LRVs, remote online control and validation, and relatively low chemical consumption. Crown Copyright (C) 2016 Published by Elsevier B.V. on behalf of Institution of Chemical Engineers. All rights reserved.</t>
  </si>
  <si>
    <t>[Zhang, Jianhua; Duke, Mikel; Gray, Stephen R.] Victoria Univ, Inst Sustainabil &amp; Innovat, Melbourne, Vic, Australia; [Knight, Adrian; Scales, Peter J.] Univ Melbourne, Dept Biomol &amp; Chem Engn, Parkville, Vic, Australia; [Packer, Michael] Australian Antarctic Div, 203 Channel Highway, Kingston, Tas 7050, Australia; [Northcott, Kathy] Veolia, Bendigo Water Treatment Plant, Kangaroo Flat, Vic 3555, Australia</t>
  </si>
  <si>
    <t>Victoria University; University of Melbourne; Australian Antarctic Division; Veolia; Veolia Australia</t>
  </si>
  <si>
    <t>Zhang, JH; Gray, SR (corresponding author), Victoria Univ, Inst Sustainabil &amp; Innovat, Melbourne, Vic, Australia.</t>
  </si>
  <si>
    <t>jianhua.zhang@vu.edu.au; Stephen.Gray@vu.edu.au</t>
  </si>
  <si>
    <t>Scales, Peter j/I-8103-2013; Duke, Mikel/J-8847-2013; Gray, Stephen/L-9684-2013</t>
  </si>
  <si>
    <t>Scales, Peter j/0000-0002-8033-3686; Zhang, Jianhua/0000-0002-8674-0485; Duke, Mikel/0000-0002-3383-0006; Gray, Stephen/0000-0002-8748-2748</t>
  </si>
  <si>
    <t>Australian Water Recycling Centre of Excellence - Australian Government through the Water for the Future initiative; Collaborative Research Network (CRN) program of the Australian Government</t>
  </si>
  <si>
    <t>The authors acknowledge the financial support of the Australian Water Recycling Centre of Excellence which is funded by the Australian Government through the Water for the Future initiative, and also support through the Collaborative Research Network (CRN) program of the Australian Government.</t>
  </si>
  <si>
    <t>0957-5820</t>
  </si>
  <si>
    <t>1744-3598</t>
  </si>
  <si>
    <t>PROCESS SAF ENVIRON</t>
  </si>
  <si>
    <t>Process Saf. Environ. Protect.</t>
  </si>
  <si>
    <t>10.1016/j.psep.2016.08.017</t>
  </si>
  <si>
    <t>Engineering, Environmental; Engineering, Chemical</t>
  </si>
  <si>
    <t>EE2BT</t>
  </si>
  <si>
    <t>WOS:000389389400015</t>
  </si>
  <si>
    <t>Li, XH; Cheng, X; Yang, RJ; Liu, Q; Qiu, YB; Zhang, JL; Cai, EL; Zhao, L</t>
  </si>
  <si>
    <t>Li, Xiuhong; Cheng, Xiao; Yang, Rongjin; Liu, Qiang; Qiu, Yubao; Zhang, Jialin; Cai, Erli; Zhao, Long</t>
  </si>
  <si>
    <t>Validation of Remote Sensing Retrieval Products using Data from a Wireless Sensor-Based Online Monitoring in Antarctica</t>
  </si>
  <si>
    <t>Antarctica; wireless sensor based online monitoring platform; remote sensing product; validation</t>
  </si>
  <si>
    <t>ARCTIC SEA-ICE; SNOWMELT ONSET; LOW-COST; TEMPERATURE; SURFACE; NETWORK; DESIGN; MODIS</t>
  </si>
  <si>
    <t>Of the modern technologies in polar-region monitoring, the remote sensing technology that can instantaneously form large-scale images has become much more important in helping acquire parameters such as the freezing and melting of ice as well as the surface temperature, which can be used in the research of global climate change, Antarctic ice sheet responses, and cap formation and evolution. However, the acquirement of those parameters is impacted remarkably by the climate and satellite transit time which makes it almost impossible to have timely and continuous observation data. In this research, a wireless sensor-based online monitoring platform (WSOOP) for the extreme polar environment is applied to obtain a long-term series of data which is site-specific and continuous in time. Those data are compared and validated with the data from a weather station at Zhongshan Station Antarctica and the result shows an obvious correlation. Then those data are used to validate the remote sensing products of the freezing and melting of ice and the surface temperature and the result also indicated a similar correlation. The experiment in Antarctica has proven that WSOOP is an effective system to validate remotely sensed data in the polar region.</t>
  </si>
  <si>
    <t>[Li, Xiuhong; Cheng, Xiao; Liu, Qiang; Zhang, Jialin; Cai, Erli; Zhao, Long] Beijing Normal Univ, Coll Global Change &amp; Earth Syst Sci, 19 Xin Jie Kou Wai St, Beijing 100875, Peoples R China; [Li, Xiuhong; Cheng, Xiao; Liu, Qiang] Joint Ctr Global Change Studies, Beijing 100875, Peoples R China; [Yang, Rongjin] Chinese Res Inst Environm Sci, State Key Lab Environm Criteria &amp; Risk Assessment, 8 Da Yang Fang, Beijing 100012, Peoples R China; [Qiu, Yubao] Chinese Acad Sci, Inst Remote Sensing &amp; Digital Earth, Beijing 100101, Peoples R China</t>
  </si>
  <si>
    <t>Beijing Normal University; Chinese Research Academy of Environmental Sciences; Chinese Academy of Sciences; The Institute of Remote Sensing &amp; Digital Earth, CAS</t>
  </si>
  <si>
    <t>Yang, RJ (corresponding author), Chinese Res Inst Environm Sci, State Key Lab Environm Criteria &amp; Risk Assessment, 8 Da Yang Fang, Beijing 100012, Peoples R China.</t>
  </si>
  <si>
    <t>lixh@bnu.edu.cn; xcheng@bnu.edu.cn; yangrj@craes.org.cn; toliuqiang@bnu.edu.cn; qiuyb@radi.ac.cn; 201221490009@mail.bnu.edu.cn; 201421490024@mail.bnu.edu.cn; zhaolong@mail.bnu.edu.cn</t>
  </si>
  <si>
    <t>Liu, Qiang/HHZ-3181-2022; Li, Xiuhong/ABB-8030-2020</t>
  </si>
  <si>
    <t>Natural Science Foundation of China-Research of Ice Shelf/Sheet Motion Monitor in Polar Regions Using the Extreme Environment Wireless Sensor Network Platform [41476161]; Natural Science Foundation of China-The Research of Extreme Environment Wireless Sensor Network Snow and Ice Remote Sensing Monitoring Technology [40876100]; China National High Technology Research and Development Program (863 Program) Remote Sensing Field Validation and Integrated Test in Polar Regions [2008AA121705]</t>
  </si>
  <si>
    <t>Natural Science Foundation of China-Research of Ice Shelf/Sheet Motion Monitor in Polar Regions Using the Extreme Environment Wireless Sensor Network Platform; Natural Science Foundation of China-The Research of Extreme Environment Wireless Sensor Network Snow and Ice Remote Sensing Monitoring Technology; China National High Technology Research and Development Program (863 Program) Remote Sensing Field Validation and Integrated Test in Polar Regions</t>
  </si>
  <si>
    <t>This research is supported by the Natural Science Foundation of China-Research of Ice Shelf/Sheet Motion Monitor in Polar Regions Using the Extreme Environment Wireless Sensor Network Platform (No. 41476161) and The Research of Extreme Environment Wireless Sensor Network Snow and Ice Remote Sensing Monitoring Technology (No. 40876100) and the China National High Technology Research and Development Program (863 Program) Remote Sensing Field Validation and Integrated Test in Polar Regions (No. 2008AA121705). We thank all the staff at Zhongshan Antarctic Station for their help during the periods of the experiments.</t>
  </si>
  <si>
    <t>10.3390/s16111938</t>
  </si>
  <si>
    <t>EE5JB</t>
  </si>
  <si>
    <t>WOS:000389641700171</t>
  </si>
  <si>
    <t>Xie, AH; Wang, SM; Xiao, CD; Kang, SC; Gong, JX; Ding, MH; Li, CJ; Dou, TF; Ren, JW; Qin, DH</t>
  </si>
  <si>
    <t>Xie, Aihong; Wang, Shimeng; Xiao, Cunde; Kang, Shichang; Gong, Juanxiao; Ding, Minghu; Li, Chuanjin; Dou, Tingfeng; Ren, Jiawen; Qin, Dahe</t>
  </si>
  <si>
    <t>Can temperature extremes in East Antarctica be replicated from ERA Interim reanalysis?</t>
  </si>
  <si>
    <t>ARCTIC ANTARCTIC AND ALPINE RESEARCH</t>
  </si>
  <si>
    <t>LOW-FREQUENCY VARIABILITY; RADIO OCCULTATION DATA; SURFACE-TEMPERATURE; MOUNT EVEREST; ICE-SHEET; DOME-A; CLIMATE; TRENDS; MODEL; WEATHER</t>
  </si>
  <si>
    <t>Based on daily minimum, maximum, and mean surface air temperatures (T-min, T-max, T-mean) from the European Centre for Medium-Range Weather Forecast's reanalysis from 1979 onwards (ERA Interim), the accuracy of daily T-min and Tmax reanalysis is assessed against in situ observations from four automatic weather stations (Zhongshan, EAGLE, LGB69, and Dome A) in East Antarctica from 2005 to 2008. ERA Interim generally shows a warm bias for T-min and a cool bias for T-max, with an underestimation of the diurnal temperature range. The reanalysis explains more than 84% of the daily and annual variance, and the replicating ability decreases gradually from the coast to the interior, with annual root mean square errors of 2.4 degrees C, 2.6 degrees C, 3.0 degrees C, and 4.3 degrees C for daily T-min, and 2.2 degrees C, 3.1 degrees C, 3.4 degrees C, and 4.9 degrees C for daily T-max at Zhongshan, LGB69, Eagle, and Dome A, respectively. ERA Interim shows little seasonal variability, although it performs a little better in the austral spring and worse in winter and autumn at Dome A. An analysis on spatial distribution of temperature and wind field indicates that ERA Interim has successfully replicated the progress of temperature extremes developing, occurring, and disappearing. In addition, weather events extracted from ERA Interim mainly occur on the same day as observations, with high cross-correlation coefficients (R &gt;= 0.287, N &gt;= 1131, P &lt; 0.001). ERA Interim has, despite its regional limitations and deficiencies, proved to be a powerful tool for weather and climate studies in the Antarctic region.</t>
  </si>
  <si>
    <t>[Xie, Aihong; Wang, Shimeng; Xiao, Cunde; Kang, Shichang; Gong, Juanxiao; Li, Chuanjin; Ren, Jiawen; Qin, Dahe] Chinese Acad Sci, Northwest Inst Ecoenvironm &amp; Resources, State Key Lab Cryospher Sci, Donggang West Rd 320, Lanzhou 730000, Gansu, Peoples R China; [Xiao, Cunde; Ding, Minghu] Chinese Acad Meteorol Sci, Beijing 100081, Peoples R China; [Dou, Tingfeng] Univ Chinese Acad Sci, Coll Resources &amp; Environm, Beijing 100049, Peoples R China</t>
  </si>
  <si>
    <t>Chinese Academy of Sciences; China Meteorological Administration; Chinese Academy of Meteorological Sciences (CAMS); Chinese Academy of Sciences; University of Chinese Academy of Sciences, CAS</t>
  </si>
  <si>
    <t>Xie, AH; Wang, SM (corresponding author), Chinese Acad Sci, Northwest Inst Ecoenvironm &amp; Resources, State Key Lab Cryospher Sci, Donggang West Rd 320, Lanzhou 730000, Gansu, Peoples R China.</t>
  </si>
  <si>
    <t>xieaih@lzb.ac.cn; wangshimeng@lzb.ac.cn</t>
  </si>
  <si>
    <t>Ding, Minghu/AFU-3600-2022; Jiawen, Ren/K-7734-2012; Kang, Shichang/I-6830-2018</t>
  </si>
  <si>
    <t>Ding, Minghu/0000-0002-1142-6598; Kang, Shichang/0000-0003-2115-9005</t>
  </si>
  <si>
    <t>National Natural Science Foundation of China [41476164, 41671073, 41421061, 41425003, 41671063, 41401079]</t>
  </si>
  <si>
    <t>This research was funded by the National Natural Science Foundation of China (Grant nos. 41476164, 41671073, 41421061, 41425003, 41671063, and 41401079). Our sincere appreciation goes to Prof. Longhua Lu for providing the meteorological data from Zhongshan, to Prof. Tuo Chen for his insightful comments, and to Profs. Xianhong Meng and Qinglong You for helping to make the Taylor diagrams. The authors would like to acknowledge the Chinese Arctic and Antarctic Administration, the National Oceanic and Atmospheric Administration (NOAA), the European Centre for Medium-Range Weather Forecasts (ECMWF), and the Japan Meteorological Agency for their operational reanalysis data sets.</t>
  </si>
  <si>
    <t>1523-0430</t>
  </si>
  <si>
    <t>1938-4246</t>
  </si>
  <si>
    <t>ARCT ANTARCT ALP RES</t>
  </si>
  <si>
    <t>Arct. Antarct. Alp. Res.</t>
  </si>
  <si>
    <t>10.1657/AAAR0015-048</t>
  </si>
  <si>
    <t>Environmental Sciences; Geography, Physical</t>
  </si>
  <si>
    <t>EE1CB</t>
  </si>
  <si>
    <t>WOS:000389317200001</t>
  </si>
  <si>
    <t>Hellwig, N; Anschlag, K; Broll, G</t>
  </si>
  <si>
    <t>Hellwig, Niels; Anschlag, Kerstin; Broll, Gabriele</t>
  </si>
  <si>
    <t>A fuzzy logic based method for modeling the spatial distribution of indicators of decomposition in a high mountain environment</t>
  </si>
  <si>
    <t>DECISION TREE APPROACH; HUMUS FORMS; PEDOTRANSFER FUNCTIONS; REGRESSION TREES; SOIL INFERENCE; CLASSIFICATION; FOREST; KNOWLEDGE; DYNAMICS; ERROR</t>
  </si>
  <si>
    <t>Upscaling of sample data on indicators of decomposition to the landscape scale is often necessary for extensive ecological assessments. The amount of such data is mostly scarce even with high sampling efforts. Moreover, environmental conditions are very heterogeneous in high mountain regions. Therefore, the aim was to find a suitable technique for spatial modeling under these circumstances. A method combining decision tree analysis and the construction of fuzzy membership functions is introduced for a GIS-based mapping of decomposition indicating parameters. It is compared with an approach solely based on decision trees. Within a case study in the Italian Alps the spatial distribution of humus forms, classified by the occurrence of an OH (humified residues) horizon, is examined. There appears to be a strong relationship with elevation and a minor correlation with slope exposition. The fuzzy logic-based approach proves to be suitable for modeling the spatial distribution of indicators of decomposition. Mapping fuzzy values allows for the representation of small-scale variability and uncertainty of data due to a relatively low sample size in a very heterogeneous environment.</t>
  </si>
  <si>
    <t>[Hellwig, Niels; Anschlag, Kerstin; Broll, Gabriele] Univ Osnabruck, Inst Geog, Seminarstr 19ab, D-49074 Osnabruck, Germany</t>
  </si>
  <si>
    <t>University Osnabruck</t>
  </si>
  <si>
    <t>Hellwig, N (corresponding author), Univ Osnabruck, Inst Geog, Seminarstr 19ab, D-49074 Osnabruck, Germany.</t>
  </si>
  <si>
    <t>niels.hellwig@uni-osnabrueck.de</t>
  </si>
  <si>
    <t>Hellwig, Niels/K-1322-2019</t>
  </si>
  <si>
    <t>Hellwig, Niels/0000-0003-4517-1746</t>
  </si>
  <si>
    <t>German Research Foundation (DFG) [BR 1106/23-1]</t>
  </si>
  <si>
    <t>This study was realized in the context of the D.A.CH. project DecAlp and funded by the German Research Foundation (DFG, grant number BR 1106/23-1). The authors thank all colleagues of the project for an excellent cooperation. We are in particular grateful to Dylan Tatti (University of Neuchatel) for sharing his data on humus forms and to Giacomo Sartori (Museo Tridentino di Scienze Naturale) for valuable discussions in the field. We also thank the anonymous reviewers for valuable comments on an earlier version of the manuscript.</t>
  </si>
  <si>
    <t>10.1657/AAAR0015-073</t>
  </si>
  <si>
    <t>WOS:000389317200002</t>
  </si>
  <si>
    <t>Wolken, JM; Mann, DH; Grant, TA; Lloyd, AH; Rupp, TS; Hollingsworth, TN</t>
  </si>
  <si>
    <t>Wolken, Jane M.; Mann, Daniel H.; Grant, Thomas A., III; Lloyd, Andrea H.; Rupp, T. Scott; Hollingsworth, Teresa N.</t>
  </si>
  <si>
    <t>Climate-growth relationships along a black spruce toposequence in interior Alaska</t>
  </si>
  <si>
    <t>PICEA-MARIANA MILL.; WHITE SPRUCE; TREE-GROWTH; BOREAL FORESTS; TEMPERATURE SENSITIVITY; DROUGHT STRESS; BIOME SHIFT; RESPONSES; FIRE; COMMUNITIES</t>
  </si>
  <si>
    <t>Despite its wide geographic distribution and important role in boreal forest fire regimes, little is known about the climate-growth relationships of black spruce (Picea mariana [Mill.] B.S.P.). We used site-and tree-level analyses to evaluate the radial growth responses to climate of black spruce growing on a north-facing toposequence in interior Alaska for the period A.D. 1949-2010. At the site level, correlations between growth and climate were negative for temperature and positive for precipitation. The signs and strengths of these correlations varied seasonally and over time. These site-level differences probably arise from tree interactions with non-climatic factors that vary with topography and include active layer thickness, soil temperature, solar radiation, microsite, and tree architecture. We infer that black spruce suffers from drought stress during warm, dry summers and that the causes of this moisture stress relate to topography and the seasonality of drought. Tree-level analyses reveal that divergent inter-tree growth responses among individual trees at the same site also occur, with the lower slope positions having the greatest frequency of mixed responses. The overall complexity of black spruce's climate-growth relationships reflects the plastic growth strategy that enables this species to tolerate harsh, high-latitude conditions across a transcontinental range.</t>
  </si>
  <si>
    <t>[Wolken, Jane M.; Rupp, T. Scott] Univ Alaska Fairbanks, Scenarios Network Alaska &amp; Arctic Planning, POB 757245, Fairbanks, AK 99775 USA; [Mann, Daniel H.] Univ Alaska Fairbanks, Dept Geosci, Fairbanks, AK 99775 USA; [Grant, Thomas A., III] Western State Colorado Univ, Environm Management Program, Gunnison, CO 81231 USA; [Lloyd, Andrea H.] Middlebury Coll, Dept Biol, Middlebury, VT 05753 USA; [Hollingsworth, Teresa N.] Univ Alaska Fairbanks, Forest Serv, USDA, Pacific Northwest Res Stn,Boreal Ecol Cooperat Re, POB 756780, Fairbanks, AK 99775 USA</t>
  </si>
  <si>
    <t>University of Alaska System; University of Alaska Fairbanks; University of Alaska System; University of Alaska Fairbanks; United States Department of Agriculture (USDA); United States Forest Service; University of Alaska System; University of Alaska Fairbanks</t>
  </si>
  <si>
    <t>Wolken, JM (corresponding author), Univ Alaska Fairbanks, Scenarios Network Alaska &amp; Arctic Planning, POB 757245, Fairbanks, AK 99775 USA.</t>
  </si>
  <si>
    <t>jmwolken@alaska.edu</t>
  </si>
  <si>
    <t>National Science Foundation [ARC-0902169]; Scenarios Network for Alaska and Arctic Planning; Bonanza Creek LTER NSF award [DEB-1026415, DEB-0620579, DEB-0423442, DEB-0080609, DEB-9810217, DEB-9211769, DEB-8702629]; USDA Forest Service, Pacific Northwest Research Station [RJVA-PNW-01-JV-11261952-231]; Alaska Climate Science Center (U.S. Geological Survey [USGS]) [G10AC00588]; Direct For Biological Sciences; Division Of Environmental Biology [1026415] Funding Source: National Science Foundation</t>
  </si>
  <si>
    <t>National Science Foundation(National Science Foundation (NSF)); Scenarios Network for Alaska and Arctic Planning; Bonanza Creek LTER NSF award; USDA Forest Service, Pacific Northwest Research Station(United States Department of Agriculture (USDA)United States Forest Service); Alaska Climate Science Center (U.S. Geological Survey [USGS]); Direct For Biological Sciences; Division Of Environmental Biology(National Science Foundation (NSF)NSF - Directorate for Biological Sciences (BIO))</t>
  </si>
  <si>
    <t>We thank Tom Kurkowski for creating maps; Angelica Floyd, Matt Leonawicz, and Michael Lindgren for assistance with figures; Sergey Marchenko for providing soil temperature data; Glenn Juday for providing climate data and laboratory equipment; David Spencer for assistance with COFECHA; and Claire Hudson, Carson Baughman, and Pamela Groves for assistance with field work. Funding was provided by a National Science Foundation grant (ARC-0902169), the Scenarios Network for Alaska and Arctic Planning, the Bonanza Creek LTER NSF awards (DEB-1026415, DEB-0620579, DEB-0423442, DEB-0080609, DEB-9810217, DEB-9211769, DEB-8702629), the USDA Forest Service, Pacific Northwest Research Station (Cooperative Agreement number RJVA-PNW-01-JV-11261952-231), and the Alaska Climate Science Center (Cooperative Agreement number G10AC00588 from the U.S. Geological Survey [USGS]). The contents of this paper are solely the responsibility of the authors and do not necessarily represent the official views of the USGS.</t>
  </si>
  <si>
    <t>INST ARCTIC ALPINE RES</t>
  </si>
  <si>
    <t>UNIV COLORADO, BOULDER, CO 80309 USA</t>
  </si>
  <si>
    <t>10.1657/AAAR0015-056</t>
  </si>
  <si>
    <t>WOS:000389317200003</t>
  </si>
  <si>
    <t>Pedersen, SH; Tamstorf, MP; Abermann, J; Westergaard-Nielsen, A; Lund, M; Skov, K; Sigsgaard, C; Mylius, MR; Hansen, BU; Liston, GE; Schmidt, NM</t>
  </si>
  <si>
    <t>Pedersen, Stine Hojlund; Tamstorf, Mikkel P.; Abermann, Jakob; Westergaard-Nielsen, Andreas; Lund, Magnus; Skov, Kirstine; Sigsgaard, Charlotte; Mylius, Maria Rask; Hansen, Birger Ulf; Liston, Glen E.; Schmidt, Niels Martin</t>
  </si>
  <si>
    <t>Spatiotemporal characteristics of seasonal snow cover in Northeast Greenland from in situ observations</t>
  </si>
  <si>
    <t>ARCTIC TUNDRA; CLIMATE; NITROGEN; PREDATOR; DYNAMICS; SYSTEM; SOIL; MOISTURE; AVAILABILITY; PERFORMANCE</t>
  </si>
  <si>
    <t>In this study, we quantified the spatiotemporal variability and trends in observations of multiple snow characteristics in High Arctic Zackenberg in Northeast Greenland through 18 years. Annual premelt snow-depth observations collected in 2005-2014 along an elevation gradient showed significant differences in snow depth between vegetation types. The seasonal snow cover was characterized by strong interannual variability in the Zackenberg region. Particularly the timing of snow-cover onset and melt, and the annual maximum accumulation, varied up to an order of magnitude between years. Hence, apart from the snow-cover fraction registered annually on 10 June, which exhibits a significant trend of -2.3% per year over the 18-year period, we found little evidence of significant trends in the observed snow-cover characteristics. Moreover, SnowModel results for the Zackenberg region confirmed that the pronounced interannual variability in snow precipitations has persisted in this High Arctic setting since 1979 and may have masked potential temporal trends. In exception, a significant difference in interannual variability of snow-cover onset timing was observed through the period 1997-2014, which in the recent period since 2006 was 7.3 times more variable.</t>
  </si>
  <si>
    <t>[Pedersen, Stine Hojlund; Tamstorf, Mikkel P.; Lund, Magnus; Schmidt, Niels Martin] Aarhus Univ, Dept Biosci, Arctic Res Ctr, Frederiksborgvej 399, DK-4000 Roskilde, Denmark; [Abermann, Jakob] Asiaq, Greenland Survey, Qatserisut 8, GL-3900 Nuuk, Greenland; [Westergaard-Nielsen, Andreas; Skov, Kirstine; Sigsgaard, Charlotte; Mylius, Maria Rask; Hansen, Birger Ulf] Univ Copenhagen, Dept Geosci &amp; Nat Resource Management, Ctr Permafrost CENPERM, Oester Voldgade 10, DK-1350 Copenhagen K, Denmark; [Liston, Glen E.] Colorado State Univ, CIRA, Ft Collins, CO 80523 USA</t>
  </si>
  <si>
    <t>Aarhus University; University of Copenhagen; Colorado State University</t>
  </si>
  <si>
    <t>Pedersen, SH (corresponding author), Aarhus Univ, Dept Biosci, Arctic Res Ctr, Frederiksborgvej 399, DK-4000 Roskilde, Denmark.</t>
  </si>
  <si>
    <t>stinehoejlund@gmail.com</t>
  </si>
  <si>
    <t>Lund, Magnus/J-4922-2013; Tamstorf, Mikkel/ACU-7592-2022; Schmidt, Niels Martin/G-3843-2011; Tamstorf, Mikkel/I-7101-2013; Hansen, Birger/E-5192-2015</t>
  </si>
  <si>
    <t>Lund, Magnus/0000-0003-1622-2305; Schmidt, Niels Martin/0000-0002-4166-6218; Tamstorf, Mikkel/0000-0002-2811-331X; Westergaard-Nielsen, Andreas/0000-0003-1021-0530; Hansen, Birger/0000-0002-5440-6925; Hojlund Pedersen, Stine/0000-0003-0078-8873</t>
  </si>
  <si>
    <t>Danish Ministry of Environment; Danish Ministry of Climate and Energy</t>
  </si>
  <si>
    <t>We owe enormous gratitude to all GeoBasis field assistants, who have collected the snow observations in the Zackenberg Valley during the period 1997-2014. We wish to thank the logistics team at Zackenberg Research Station, Aarhus University, for their support and flexibility in the shoulder-seasons. Thank you to two anonymous reviewers and R. De Troch for valuable comments. Data from the Greenland Ecosystem Monitoring Program ClimateBasis were provided by Asiaq-Greenland Survey, Nuuk, Greenland. Data from the Greenland Ecosystem Monitoring Program GeoBasis were provided by the Department of Bioscience, Aarhus University, Denmark, in collaboration with Department of Geosciences and Natural Resource Management, Copenhagen University, Denmark. Data collection was financed through the DANCEA funds from the Danish Ministry of Environment and Danish Ministry of Climate and Energy.</t>
  </si>
  <si>
    <t>10.1657/AAAR0016-028</t>
  </si>
  <si>
    <t>WOS:000389317200004</t>
  </si>
  <si>
    <t>Wang, K; Zhang, TJ; Guo, H; Wang, HJ</t>
  </si>
  <si>
    <t>Wang, Kang; Zhang, Tingjun; Guo, Hong; Wang, Huijuan</t>
  </si>
  <si>
    <t>Climatology of the timing and duration of the near-surface soil freeze-thaw status across China</t>
  </si>
  <si>
    <t>UNITED-STATES; MOISTURE; LANDSCAPE; SATELLITE; TEMPERATURES; DYNAMICS; CYCLES; FROZEN; CARBON; LENGTH</t>
  </si>
  <si>
    <t>The near-surface soil is an important interface in ground-atmosphere interactions. The near-surface soil freeze-thaw status is critical for energy, moisture, and carbon exchange between the ground and the atmosphere, plant growth, and the ecosystem as a whole. The main objective of this study is to investigate climatology of the timing and duration of the near-surface soil freeze-thaw status using data from 636 meteorological stations across China for the baseline period from July 1971 through June 2001. The long-term average first date of the near-surface soil freeze is 14 September (30 July-30 October), the last date is 15 May (8 April-21 June), the duration is 245 +/- 85 days, and the actual number of the near-surface soil freeze days is 202 +/- 90 days over China as a whole. On the Qinghai-Tibetan Plateau, the near-surface soil freeze can occur essentially in any month of a year. The spatial variations of the near-surface soil freeze-thaw status are strongly controlled by latitude in east China, and by elevation in west China. The long-term average 220-day and 260-day contours of the near-surface soil freeze coincide approximately with the southern boundary of high-latitude permafrost regions in northeastern China and the lower boundary of high-altitude permafrost regions in west China, respectively. The number of days and duration of the near-surface soil freeze decreased with increasing long-term mean annual air temperature (MAAT). Variation of the actual number of the near-surface soil freeze days presents nonlinear linkage to the length of the near-surface soil freeze duration and also to the MAAT climatology. The timing and duration of the near-surface soil freeze-thaw status are strongly nonlinearly related to air freezing index, but are nearly linearly related to air thawing index.</t>
  </si>
  <si>
    <t>[Wang, Kang; Zhang, Tingjun; Guo, Hong; Wang, Huijuan] Lanzhou Univ, Coll Earth &amp; Environm Sci, Key Lab Western Chinas Environm Syst, Minist Educ, Lanzhou 730000, Peoples R China; [Wang, Kang] Univ Colorado, Inst Arctic &amp; Alpine Res, UCB 450, Boulder, CO 80309 USA</t>
  </si>
  <si>
    <t>Lanzhou University; University of Colorado System; University of Colorado Boulder</t>
  </si>
  <si>
    <t>Zhang, TJ (corresponding author), Lanzhou Univ, Coll Earth &amp; Environm Sci, Key Lab Western Chinas Environm Syst, Minist Educ, Lanzhou 730000, Peoples R China.</t>
  </si>
  <si>
    <t>tjzhang@lzu.edu.cn</t>
  </si>
  <si>
    <t>Wang, Hui/HMU-9512-2023; wang, hao/HSE-7975-2023; WANG, HUIYUAN/IXX-2427-2023; Wang, Kang/J-7351-2019; wang, huimin/HDM-8421-2022; wang, hui/GRS-4730-2022; ZHANG, TINGJUN/AAX-3662-2020</t>
  </si>
  <si>
    <t>Wang, Kang/0000-0003-3416-572X; ZHANG, Tingjun/0000-0001-6974-9501</t>
  </si>
  <si>
    <t>National Natural Science Foundation of China [91325202]; National Key Scientific Research Program of China [2013CBA01802]</t>
  </si>
  <si>
    <t>National Natural Science Foundation of China(National Natural Science Foundation of China (NSFC)); National Key Scientific Research Program of China</t>
  </si>
  <si>
    <t>This study was funded by the National Natural Science Foundation of China (grant no. 91325202) and the National Key Scientific Research Program of China (grant no. 2013CBA01802). We appreciate the thoughtful suggestions and comments from two anonymous reviewers and editors, whose comments helped us to improve the manuscript.</t>
  </si>
  <si>
    <t>10.1657/AAAR0016-009</t>
  </si>
  <si>
    <t>WOS:000389317200008</t>
  </si>
  <si>
    <t>Duan, YL; Liu, HW; Yu, WD; Hou, YJ</t>
  </si>
  <si>
    <t>Duan Yongliang; Liu Hongwei; Yu Weidong; Hou Yijun</t>
  </si>
  <si>
    <t>Eddy properties in the Pacific sector of the Southern Ocean from satellite altimetry data</t>
  </si>
  <si>
    <t>eddy property; eddy kinetic energy; Southern Ocean; satellite altimeter</t>
  </si>
  <si>
    <t>ANTARCTIC CIRCUMPOLAR CURRENT; ANNULAR MODE; CLIMATE-CHANGE; MESOSCALE EDDIES; DRAKE PASSAGE; VARIABILITY; TRANSPORT; WINDS; TOPEX/POSEIDON; ATMOSPHERE</t>
  </si>
  <si>
    <t>Mesoscale eddies play a key role in the ocean dynamics of the Southern Ocean, and eddy response to the climate changes has also been widely noted. Both eddy kinetic energy (EKE) and eddy detection algorithm are used to study the eddy properties in the Pacific sector of the Southern Ocean. Consistent with previous works, the maps of the EKE illustrate that higher energy confines to the Antarctic Polar Frontal Zone (APFZ) and decreases progressively from west to east. It also shows that the most significant increase in the EKE occurs in the western and central parts of the Pacific sector, where the baroclinicity of the Antarctic Circumpolar Current (ACC) is much stronger. Statistical eddy properties reveal that both of the spatial pattern and interannual variation of the EKE are primarily due to the eddy amplitude and the eddy rotational speed, rather than the eddy number or the eddy radius. In general, these results furtherly confirm that anomalous westerly wind forcing associated with the positive Southern Annular Mode (SAM) index enhances the Southern Ocean eddy activity by strengthening the eddy properties.</t>
  </si>
  <si>
    <t>[Duan Yongliang; Yu Weidong] State Ocean Adm, Inst Oceanog 1, Ctr Ocean &amp; Climate Res, Qingdao 266061, Peoples R China; [Duan Yongliang; Yu Weidong] Qingdao Natl Lab Marine Sci &amp; Technol, Lab Reg Oceanog &amp; Numer Modeling, Qingdao 266061, Peoples R China; [Liu Hongwei; Hou Yijun] Chinese Acad Sci, Inst Oceanol, Key Lab Ocean Circulat &amp; Waves, Qingdao 266071, Peoples R China</t>
  </si>
  <si>
    <t>First Institute of Oceanography, Ministry of Natural Resources; Laoshan Laboratory; Chinese Academy of Sciences; Institute of Oceanology, CAS</t>
  </si>
  <si>
    <t>Liu, HW (corresponding author), Chinese Acad Sci, Inst Oceanol, Key Lab Ocean Circulat &amp; Waves, Qingdao 266071, Peoples R China.</t>
  </si>
  <si>
    <t>liuhongwei@qdio.ac.cn</t>
  </si>
  <si>
    <t>Yu, Weidong/IWL-8649-2023; Yu, Weidong/I-7130-2013</t>
  </si>
  <si>
    <t>Yu, Weidong/0000-0003-2503-2415;</t>
  </si>
  <si>
    <t>Chinese Polar Science Strategy Research Foundation [20150305]; National Natural Science Foundation of China [41406012]; Shandong Provincial Natural Science Foundation of China [ZR2014DP011]; Basic Scientific Research Fund for National Public Institutes of China [2015G05]; Open Fund of the Key Laboratory of Ocean Circulation and Waves, Chinese Academy of Sciences [KLOCAW1405]</t>
  </si>
  <si>
    <t>Chinese Polar Science Strategy Research Foundation; National Natural Science Foundation of China(National Natural Science Foundation of China (NSFC)); Shandong Provincial Natural Science Foundation of China(Natural Science Foundation of Shandong Province); Basic Scientific Research Fund for National Public Institutes of China; Open Fund of the Key Laboratory of Ocean Circulation and Waves, Chinese Academy of Sciences(Ministry of Education, ChinaChinese Academy of Sciences)</t>
  </si>
  <si>
    <t>Foundation item: The Chinese Polar Science Strategy Research Foundation under contract No. 20150305; the National Natural Science Foundation of China under contract No. 41406012; the Shandong Provincial Natural Science Foundation of China under contract No. ZR2014DP011; the Basic Scientific Research Fund for National Public Institutes of China under contract No. 2015G05; the Open Fund of the Key Laboratory of Ocean Circulation and Waves, Chinese Academy of Sciences under contract No. KLOCAW1405.</t>
  </si>
  <si>
    <t>10.1007/s13131-016-0946-2</t>
  </si>
  <si>
    <t>EC0QI</t>
  </si>
  <si>
    <t>WOS:000387805300004</t>
  </si>
  <si>
    <t>Burke, K; Wilkinson, MJ</t>
  </si>
  <si>
    <t>Burke, Kevin; Wilkinson, M. Justin</t>
  </si>
  <si>
    <t>Landscape evolution in Africa during the Cenozoic and Quaternary-the legacy and limitations of Lester C. King</t>
  </si>
  <si>
    <t>CANADIAN JOURNAL OF EARTH SCIENCES</t>
  </si>
  <si>
    <t>Africa; landscape evolution; Cenozoic; therochronology; erosion surface</t>
  </si>
  <si>
    <t>SOUTH-AFRICA; HISTORY; NIGER; BASIN; SYSTEMS; UPLIFT; SCALE; DRIFT; CAPE</t>
  </si>
  <si>
    <t>African landscape evolution since 66 Ma reflects interactions among parts of the Earth system from the Core to the Biosphere. We stress changes in those interactions in three events that have dominated landscape development: (i) a climatic revolution when the circumpolar current and the East Antarctic ice sheet first formed similar to 37 Ma; (ii) a tectonic revolution at similar to 32 Ma dominated by elevation of similar to 30 topographic structural swells continent-wide; and (iii) a second climatic revolution in a Northern Hemisphere cooling event (at similar to 2.7 Ma) that triggered Sahara desert initiation and the beginning of glacial cycles in the Northern Hemisphere (similar to 2.15 Ma). We recognize the following distinct features of the great Afro-Arabian continent (similar to 40 M km(2)) that show its relationship to Earth structure and processes: deep mantle structure and dynamics, plate motion with respect to that structure, especially plate-arrest (similar to 32 Ma). The topographic, erosional, geomorphic, and depositional modifications following that tectonic event were strongly influenced by changes around the continent in oceanic and atmospheric circulation that affected the entire continent. Atmospheric circulation changes since similar to 34 Ma have involved zonal winds, the ITCZ, desert formation and destruction, the evolution of the persistent (since similar to 35 Ma) Antarctic ice sheet, and since similar to 32 Ma of the rapidly cycling Eurasian ice sheets. We explain that a widely supported idea that ancient erosion surfaces have survived at high elevations in Africa is the result of a failure to recognize that the present elevations of the continent's swells are dynamically maintained, but do not display a thermochronological signature because they are young (less than similar to 32 My), so that conduction of heat from shallow convection cells has not yet reached the Earth's surface.(R)</t>
  </si>
  <si>
    <t>[Burke, Kevin] Univ Houston, Dept Earth &amp; Atmospher Sci, Houston, TX 77204 USA; [Burke, Kevin] Univ Witwatersrand, Sch Geosci, Johannesburg, South Africa; [Burke, Kevin] MIT, Dept Earth Atmospher &amp; Planetary Sci, Cambridge, MA 02139 USA; [Wilkinson, M. Justin] Texas State Univ, Dept Geog, San Marcos, TX USA; [Wilkinson, M. Justin] NASA, Johnson Space Ctr, Houston, TX 77058 USA</t>
  </si>
  <si>
    <t>University of Houston System; University of Houston; University of Witwatersrand; Massachusetts Institute of Technology (MIT); Texas State University System; Texas State University San Marcos; National Aeronautics &amp; Space Administration (NASA)</t>
  </si>
  <si>
    <t>Wilkinson, MJ (corresponding author), Texas State Univ, Dept Geog, San Marcos, TX USA.;Wilkinson, MJ (corresponding author), NASA, Johnson Space Ctr, Houston, TX 77058 USA.</t>
  </si>
  <si>
    <t>justin.wilkinson-1@nasa.gov</t>
  </si>
  <si>
    <t>Wilkinson, Melanie J/HLG-7577-2023</t>
  </si>
  <si>
    <t>Wilkinson, Melanie J/0000-0003-1400-3176</t>
  </si>
  <si>
    <t>CANADIAN SCIENCE PUBLISHING</t>
  </si>
  <si>
    <t>OTTAWA</t>
  </si>
  <si>
    <t>65 AURIGA DR, SUITE 203, OTTAWA, ON K2E 7W6, CANADA</t>
  </si>
  <si>
    <t>0008-4077</t>
  </si>
  <si>
    <t>1480-3313</t>
  </si>
  <si>
    <t>CAN J EARTH SCI</t>
  </si>
  <si>
    <t>Can. J. Earth Sci.</t>
  </si>
  <si>
    <t>10.1139/cjes-2016-0099</t>
  </si>
  <si>
    <t>EC0IB</t>
  </si>
  <si>
    <t>WOS:000387782100003</t>
  </si>
  <si>
    <t>Veretenenko, S; Ogurtsov, M</t>
  </si>
  <si>
    <t>Veretenenko, S.; Ogurtsov, M.</t>
  </si>
  <si>
    <t>Cloud cover anomalies at middle latitudes: Links to troposphere dynamics and solar variability</t>
  </si>
  <si>
    <t>JOURNAL OF ATMOSPHERIC AND SOLAR-TERRESTRIAL PHYSICS</t>
  </si>
  <si>
    <t>Solar-atmospheric links; Galactic cosmic rays; Clouds; Atmosphere dynamics</t>
  </si>
  <si>
    <t>COSMIC-RAY FLUX; GEOMAGNETIC-ACTIVITY; POLAR VORTEX; MISSING LINK; CLIMATE RELATIONSHIPS; RADIATION INPUT; STRATOSPHERE; TEMPERATURE; CONNECTION; OSCILLATION</t>
  </si>
  <si>
    <t>In this work we study links between low cloud anomalies (LCA) at middle latitudes of the Northern and Southern hemispheres and galactic cosmic ray (GCR) variations used as a proxy of solar variability on the decadal time scale. It was shown that these links are not direct, but realized through GCR/solar activity phenomena influence on the development of extratropical baric systems (cyclones and troughs) which form cloud field. The violation of a positive correlation between LCA and GCR intensity which was observed in the 1980s-1990s occurred simultaneously in the Northern and Southern hemispheres in the early 2000s and coincided with the sign reversal of GCR effects on troposphere circulation. It was suggested that a possible reason for the correlation reversal between cyclonic activity at middle latitudes and GCR fluxes is the change of the stratospheric polar vortex intensity which influences significantly the troposphere-stratosphere coupling. The evidences for a noticeable weakening of the polar vortices in the Arctic and Antarctic stratosphere in the early 2000s are provided. The results obtained suggest an important role of the polar vortex evolution as a reason for a temporal variability of solar activity effects on the lower atmosphere. (C) 2016 Elsevier Ltd. All rights reserved.</t>
  </si>
  <si>
    <t>[Veretenenko, S.; Ogurtsov, M.] Russian Acad Sci, Ioffe Phys Tech Inst, St Petersburg, Russia; [Veretenenko, S.] St Petersburg Univ, St Petersburg, Russia</t>
  </si>
  <si>
    <t>Russian Academy of Sciences; St. Petersburg Scientific Centre of the Russian Academy of Sciences; Ioffe Physical Technical Institute; Saint Petersburg State University</t>
  </si>
  <si>
    <t>Veretenenko, S (corresponding author), Ioffe Phys Tech Inst, Polytekhnicheskaya St 26, St Petersburg 194021, Russia.</t>
  </si>
  <si>
    <t>s.veretenenko@mail.ioffe.ru</t>
  </si>
  <si>
    <t>Veretenenko, Svetlana/F-3341-2014</t>
  </si>
  <si>
    <t>Veretenenko, Svetlana/0000-0001-8968-0724</t>
  </si>
  <si>
    <t>Presidium of the Russian Academy of Sciences [7]; RFBR [16-02-00090]</t>
  </si>
  <si>
    <t>Presidium of the Russian Academy of Sciences(Russian Academy of Sciences); RFBR(Russian Foundation for Basic Research (RFBR))</t>
  </si>
  <si>
    <t>The work was partly supported by the Presidium of the Russian Academy of Sciences (project no. 7). M. Ogurtsov thanks RFBR grant no 16-02-00090. We are grateful to the referees for their helpful remarks.</t>
  </si>
  <si>
    <t>1364-6826</t>
  </si>
  <si>
    <t>1879-1824</t>
  </si>
  <si>
    <t>J ATMOS SOL-TERR PHY</t>
  </si>
  <si>
    <t>J. Atmos. Sol.-Terr. Phys.</t>
  </si>
  <si>
    <t>10.1016/j.jastp.2016.04.003</t>
  </si>
  <si>
    <t>ED8AO</t>
  </si>
  <si>
    <t>WOS:000389094300023</t>
  </si>
  <si>
    <t>Katsumata, K</t>
  </si>
  <si>
    <t>Katsumata, Katsuro</t>
  </si>
  <si>
    <t>Eddies Observed by Argo Floats. Part I: Eddy Transport in the Upper 1000dbar</t>
  </si>
  <si>
    <t>ANTARCTIC CIRCUMPOLAR CURRENT; OCEAN CIRCULATION; CURRENT SOUTH; VARIABILITY; ATLANTIC; ADJOINT; BALANCE; TRACER; SCALES</t>
  </si>
  <si>
    <t>Argo floats measure horizontal current velocities at the parking depth and vertical profiles of temperature and salinity. The data are sufficient for simultaneous estimates of velocities and vertical displacements of isopycnal surfaces. More than 980 000 pairs of observations of current velocity and water column stratification were used to calculate eddy transport above 1000 dbar and its uncertainty based on the temporal-residualmean framework. Eddy transports larger than 1.0 m(2) s(-1) were found in the North Atlantic, western North Pacific, and Southern Oceans. The eddy transport T had components perpendicular T-perpendicular to and parallel T-parallel to to the density contours at 1000 dbar. In the midlatitude oceans, eddy transport was weaker (&lt;0.5 m(2) s(-1)), mostly perpendicular to the density contours, and equatorward. Alarge area of northward T-perpendicular to was found in the south Indian Ocean; analysis of velocity and thickness perturbations suggested that this transport was a northward intrusion of Antarctic Intermediate Water. In the midlatitude oceans and in most of the southern part of the Antarctic Circumpolar Current (ACC), T-perpendicular to was generally upgradient in density on 1000 dbar. Downgradient T-perpendicular to was found along the North Atlantic Current and Kuroshio Extension as well as in the northern part of the ACC. Zonally integrated meridional transport was poleward at latitudes higher than approximately 40 degrees and equatorward at lower latitudes. The quasi-Stokes or Gent-McWilliams diffusivity coefficient was on the order of 1000 m(2) s(-1) but was associated with such large uncertainty that it was statistically indistinguishable from zero, except at midlatitudes in the Southern Hemisphere.</t>
  </si>
  <si>
    <t>[Katsumata, Katsuro] Japan Agcy Marine Earth Sci &amp; Technol, Res &amp; Dev Ctr Global Change, Yokosuka, Kanagawa, Japan</t>
  </si>
  <si>
    <t>Japan Agency for Marine-Earth Science &amp; Technology (JAMSTEC)</t>
  </si>
  <si>
    <t>Katsumata, K (corresponding author), JAMSTEC, RCGC, 2-15 Natsushima, Yokosuka, Kanagawa, Japan.</t>
  </si>
  <si>
    <t>k.katsumata@jamstec.go.jp</t>
  </si>
  <si>
    <t>Katsumata, Katsuro/AAR-5034-2020</t>
  </si>
  <si>
    <t>Katsumata, Katsuro/0000-0002-4683-7610</t>
  </si>
  <si>
    <t>Japan Society for the Promotion of Science (KAKENHI) Grant [24540475]; Grants-in-Aid for Scientific Research [24540475] Funding Source: KAKEN</t>
  </si>
  <si>
    <t>Japan Society for the Promotion of Science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</si>
  <si>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supported by the Japan Society for the Promotion of Science (KAKENHI) Grant Number 24540475. Argo data were collected and made freely available by the International Argo Program and the national programs that contribute to it. (http://www.argo.ucsd.edu, http://argo.jcommops.org). The Argo Program is part of the Global Ocean Observing System. I thank Trevor McDougall and an anonymous reviewer for helpful comments.</t>
  </si>
  <si>
    <t>10.1175/JPO-D-16-0150.1</t>
  </si>
  <si>
    <t>ED7IJ</t>
  </si>
  <si>
    <t>WOS:000389036600013</t>
  </si>
  <si>
    <t>Ruan, XZ; Thompson, AF</t>
  </si>
  <si>
    <t>Ruan, Xiaozhou; Thompson, Andrew F.</t>
  </si>
  <si>
    <t>Bottom Boundary Potential Vorticity Injection from an Oscillating Flow: A PV Pump</t>
  </si>
  <si>
    <t>ANTARCTIC SLOPE FRONT; TRANSPORT; DYNAMICS; CIRCULATION; SPINDOWN; LAYER</t>
  </si>
  <si>
    <t>Oceanic boundary currents over the continental slope exhibit variability with a range of time scales. Numerical studies of steady, along-slope currents over a sloping bathymetry have shown that cross-slope Ekman transport can advect buoyancy surfaces in a bottom boundary layer (BBL) so as to produce vertically sheared geostrophic flows that bring the total flow to rest: a process known as buoyancy shutdown of Ekman transport or Ekman arrest. This study considers the generation and evolution of near-bottom flows due to a barotropic, oscillating, and laterally sheared flow over a slope. The sensitivity of the boundary circulation to changes in oscillation frequency omega, background flow amplitude, bottom slope, and background stratification is explored. When omega/f &lt;&lt; 1, where f is the Coriolis frequency, oscillations allow the system to escape from the steady buoyancy shutdown scenario. The BBL is responsible for generating a secondary overturning circulation that produces vertical velocities that, combined with the potential vorticity (PV) anomalies of the imposed barotropic flow, give rise to a time-mean, rectified, vertical eddy PV flux into the ocean interior: a PV pump.'' In these idealized simulations, the PV anomalies in the BBL make a secondary contribution to the time-averaged PV flux. Numerical results show the domain-averaged eddy PV flux increases nonlinearly with omega with a peak near the inertial frequency, followed by a sharp decay for omega/f &gt; 1. Different physical mechanisms are discussed that could give rise to the temporal variability of boundary currents.</t>
  </si>
  <si>
    <t>[Ruan, Xiaozhou; Thompson, Andrew F.] CALTECH, Environm Sci &amp; Engn, MC 131-24, Pasadena, CA 91125 USA</t>
  </si>
  <si>
    <t>California Institute of Technology</t>
  </si>
  <si>
    <t>Ruan, XZ (corresponding author), CALTECH, Environm Sci &amp; Engn, MC 131-24, Pasadena, CA 91125 USA.</t>
  </si>
  <si>
    <t>xiaozhour@caltech.edu</t>
  </si>
  <si>
    <t>Ruan, Xiaozhou/0000-0003-1240-1584</t>
  </si>
  <si>
    <t>NSF [OPP-1246460]; Office of Polar Programs (OPP); Directorate For Geosciences [1246460] Funding Source: National Science Foundation</t>
  </si>
  <si>
    <t>We thank two anonymous reviewers as well as Jessica Benthuysen, Leif Thomas, Andrew Stewart, Georgy Manucharyan, and Kaushik Srinivasan for helpful comments and conversations that improved this manuscript. We gratefully acknowledge support from NSF Award OPP-1246460.</t>
  </si>
  <si>
    <t>10.1175/JPO-D-15-0222.1</t>
  </si>
  <si>
    <t>WOS:000389036600015</t>
  </si>
  <si>
    <t>Patterson, TA; Sharples, RJ; Raymond, B; Welsford, DC; Andrews-Goff, V; Lea, MA; Goldsworthy, SD; Gales, NJ; Hindell, M</t>
  </si>
  <si>
    <t>Patterson, T. A.; Sharples, R. J.; Raymond, B.; Welsford, D. C.; Andrews-Goff, V.; Lea, M. A.; Goldsworthy, S. D.; Gales, N. J.; Hindell, M.</t>
  </si>
  <si>
    <t>Foraging distribution overlap and marine reserve usage amongst sub-Antarctic predators inferred from a multi-species satellite tagging experiment</t>
  </si>
  <si>
    <t>Marine predators; Area restricted search; Habitat selection; Marine protected areas; Heard and MacDonald Islands</t>
  </si>
  <si>
    <t>SOUTHERN ELEPHANT SEALS; AREA-RESTRICTED SEARCH; FUR SEALS; HEARD-ISLAND; OCEANOGRAPHIC FEATURES; KERGUELEN ISLANDS; FINE-SCALE; OCEAN; BEHAVIOR; TELEMETRY</t>
  </si>
  <si>
    <t>Satellite telemetry data was used to predict at sea spatial usage of five top order and meso-predators; Antarctic fur seals (Arctocephalus gazella), macaroni penguins (Eudyptes chrysolophus), king penguins (Aptenodytes patagonicus), black browed albatross (Diomedea melanophrys), and light mantled albatross (Phoebetria palpebrata). All were tagged at Heard Island in the Southern Ocean over a single summer season collecting over 5000 tracking days for 178 individuals. We aimed to predict areas of likely high foraging value from tracking environmental data and also to quantify overlap in foraging range between species. Hidden Markov models were used to differentiate between bouts of Area Restricted Search (ARS) assumed to be associated with areas of higher foraging value, and transit behaviours. Oceanographic and distance metrics associated with ARS activity were then used to calculate a habitat electivity index. A combined bootstrap/Monte Carlo scheme was employed to propagate uncertainty from the Hidden Markov models into the habitat prediction scheme. Distinct differences were predicted in the spatial distribution of foraging locations in different species, reflecting different dispersive abilities and foraging strategy. The extent of usage and foraging distribution was largely contained within Australian the Economic Exclusion Zone (EEZ). In comparison, the smaller Australian Commonwealth Marine Protected Areas (MPAs) contained &lt;20% of the predicted foraging distributions. Crown Copyright (C) 2016 Published by Elsevier Ltd. All rights reserved.</t>
  </si>
  <si>
    <t>[Patterson, T. A.] CSIRO Oceans &amp; Atmosphere, GPO Box 1538, Hobart, Tas, Australia; [Sharples, R. J.; Raymond, B.; Lea, M. A.; Hindell, M.] Univ Tasmania, Inst Marine &amp; Antarctic Studies, Private Bag 129, Hobart, Tas 7000, Australia; [Raymond, B.; Welsford, D. C.; Andrews-Goff, V.; Gales, N. J.] Australian Antarctic Div, Dept Environm, Channel Highway, Kingston, Tas 7050, Australia; [Raymond, B.; Goldsworthy, S. D.] SARDI, 2 Hamra Ave, West Beach, SA 5024, Australia; [Hindell, M.] Univ Tasmania, Antarctic Climate &amp; Ecosyst Cooperat Res Ctr, Hobart, Tas 7001, Australia</t>
  </si>
  <si>
    <t>Commonwealth Scientific &amp; Industrial Research Organisation (CSIRO); University of Tasmania; Australian Antarctic Division; University of Tasmania; Antarctic Climate &amp; Ecosystems Cooperative Research Centre (ACE CRC)</t>
  </si>
  <si>
    <t>Patterson, TA (corresponding author), CSIRO Oceans &amp; Atmosphere, GPO Box 1538, Hobart, Tas, Australia.</t>
  </si>
  <si>
    <t>Toby.Patrerson@csiro.au</t>
  </si>
  <si>
    <t>Hindell, Mark A/K-1131-2013; Patterson, Toby A/B-3836-2011; Lea, Mary-Anne/E-9054-2013</t>
  </si>
  <si>
    <t>Hindell, Mark/0000-0002-7823-7185; Patterson, Toby/0000-0002-7150-9205; Welsford, Dirk/0000-0001-5379-5052; Lea, Mary-Anne/0000-0001-8318-9299; Andrews-Goff, Virginia/0000-0002-4609-7317; Goldsworthy, Simon/0000-0003-4988-9085</t>
  </si>
  <si>
    <t>Australian Antarctic Science [3227]; CSIRO Oceans and Atmosphere</t>
  </si>
  <si>
    <t>Australian Antarctic Science; CSIRO Oceans and Atmosphere</t>
  </si>
  <si>
    <t>This work was supported by Australian Antarctic Science grant 3227 and funding from CSIRO Oceans and Atmosphere. We gratefully acknowledge the work of Bruce Deagle, Karen Evans and Rowan Treblico, Peter Dann, Ruth Casper, Karl Rollings, Christ Stevenson, Roger Kirkwood and lain Staniland in deploying satellite tags. Kieran Lawton and Barbara Weinecke provided advice and access to the data. Marinelle Basson, Paige Eveson, Bruce Deagle and Scott Foster provided valuable input into discussions of the analytical methods. We also thank two anonymous reviewers who provided comments which greatly improved the manuscript. The field work which generated this data was approved by the Australian Antarctic Animal Ethics Advisory Committee.</t>
  </si>
  <si>
    <t>10.1016/j.ecolind.2016.05.049</t>
  </si>
  <si>
    <t>ED3YU</t>
  </si>
  <si>
    <t>WOS:000388785200048</t>
  </si>
  <si>
    <t>Paterson, JT; Rotella, JJ; Mannas, JM; Garrott, RA</t>
  </si>
  <si>
    <t>Paterson, John T.; Rotella, Jay J.; Mannas, Jennifer M.; Garrott, Robert A.</t>
  </si>
  <si>
    <t>Patterns of age-related change in reproductive effort differ in the pre-natal and post-natal periods in a long-lived mammal</t>
  </si>
  <si>
    <t>JOURNAL OF ANIMAL ECOLOGY</t>
  </si>
  <si>
    <t>Antarctica; reproductive allocation; Ross Sea; senescence; terminal allocation; Weddell seal</t>
  </si>
  <si>
    <t>SOUTHERN ELEPHANT SEALS; OFFSPRING SEX-RATIO; ANTARCTIC FUR SEALS; WEDDELL SEAL; MATERNAL INVESTMENT; BODY-MASS; TERMINAL INVESTMENT; EREBUS BAY; GREY SEALS; LACTATION PERFORMANCE</t>
  </si>
  <si>
    <t>1. Age-related changes in maternal reproductive allocation for long-lived species are a key prediction from life-history theory. 2. Theoretical and empirical work suggests that allocation may increase with age due to constraint (increases with experience) or restraint (increases with age in the face of declining residual reproductive value), and may decrease among the oldest aged animals due to senescence in reproductive function. 3. Here, we use a hierarchical modelling approach to investigate the age-related patterns of change in maternal reproductive effort in the Weddell seal, a long-lived marine mammal with a protracted period of maternal care during which mothers allocate a large proportion of body mass while feeding little. 4. We find that maternal allocation increases with age for young mothers during both the pre-natal and post-natal periods. In contrast, older mothers demonstrate a senescent decline in pre-natal allocation but allocate more of their declining resources to their offspring during the post-natal period. We also find strong evidence for the importance of individual effects in reproductive allocation among mothers: some mothers consistently produce heavier (or lighter) pups than expected. 5. Our results indicate that maternal allocation changes over a mother's reproductive life span and that age-specific differences differ in notable ways in pre-natal and post-natal periods.</t>
  </si>
  <si>
    <t>[Paterson, John T.; Rotella, Jay J.; Mannas, Jennifer M.; Garrott, Robert A.] Montana State Univ, Dept Ecol, Bozeman, MT 59717 USA; [Mannas, Jennifer M.] Progress Anim Welf Soc, Lynnwood, WA 98046 USA</t>
  </si>
  <si>
    <t>Montana State University System; Montana State University Bozeman</t>
  </si>
  <si>
    <t>Paterson, JT (corresponding author), Montana State Univ, Dept Ecol, Bozeman, MT 59717 USA.</t>
  </si>
  <si>
    <t>terrillpaterson@gmail.com</t>
  </si>
  <si>
    <t>Rotella, Jay/0000-0001-7014-7524</t>
  </si>
  <si>
    <t>National Science Foundation, Division of Polar Programs [ANT-1141326]; NSF; Office of Polar Programs (OPP); Directorate For Geosciences [1141326] Funding Source: National Science Foundation</t>
  </si>
  <si>
    <t>National Science Foundation, Division of Polar Programs(National Science Foundation (NSF)); NSF(National Science Foundation (NSF)); Office of Polar Programs (OPP); Directorate For Geosciences(National Science Foundation (NSF)NSF - Directorate for Geosciences (GEO))</t>
  </si>
  <si>
    <t>We thank the many graduate students and field technicians who have collected data on this project. This project was supported by the National Science Foundation, Division of Polar Programs (Grant No. ANT-1141326 to J.J.R., R.A.G. and Donald B. Siniff) and prior NSF Grants to R.A.G., J.J.R., D.B.S. and J. Ward Testa. Logistical support for fieldwork in Antarctica was provided by Lockheed Martin, Raytheon Polar Services Company, Antarctic Support Associates, the United States Navy and Air Force and Petroleum Helicopters Incorporated.</t>
  </si>
  <si>
    <t>0021-8790</t>
  </si>
  <si>
    <t>1365-2656</t>
  </si>
  <si>
    <t>J ANIM ECOL</t>
  </si>
  <si>
    <t>J. Anim. Ecol.</t>
  </si>
  <si>
    <t>10.1111/1365-2656.12577</t>
  </si>
  <si>
    <t>EC7XK</t>
  </si>
  <si>
    <t>WOS:000388354200013</t>
  </si>
  <si>
    <t>Bestley, S; Jonsen, I; Harcourt, RG; Hindell, MA; Gales, NJ</t>
  </si>
  <si>
    <t>Bestley, Sophie; Jonsen, Ian; Harcourt, Robert G.; Hindell, Mark A.; Gales, Nicholas J.</t>
  </si>
  <si>
    <t>Putting the behavior into animal movement modeling: Improved activity budgets from use of ancillary tag information</t>
  </si>
  <si>
    <t>ancillary information; animal movement; Antarctic seals; behavioral switching; foraging behavior; Integrated Marine Observing System; marine predators; satellite tracking; state-space model</t>
  </si>
  <si>
    <t>STATE-SPACE MODELS; ANTARCTIC FUR SEALS; LEATHERBACK TURTLES; MARINE PREDATORS; WEDDELL SEALS; RANDOM-WALKS; ACCELEROMETRY; SEABIRD; TRACKING; PARAMETERS</t>
  </si>
  <si>
    <t>Animal movement research relies on biotelemetry, and telemetry-based locations are increasingly augmented with ancillary information. This presents an underutilized opportunity to enhance movement process models. Given tags designed to record specific behaviors, efforts are increasing to update movement models beyond reliance solely upon horizontal movement information to improve inference of space use and activity budgets. We present two state-space models adapted to incorporate ancillary data to inform three discrete movement states: directed, resident, and an activity state. These were developed for two case studies: (1) a haulout model for Weddell seals, and (2) an activity model for Antarctic fur seals which intersperse periods of diving activity and inactivity. The methodology is easily implementable with any ancillary data that can be expressed as a proportion (or binary) indicator. A comparison of the models augmented with ancillary information and unaugmented models confirmed that many behavioral states appeared mischaracterized in the latter. Important changes in subsequent activity budgets occurred. Haulout accounted for 0.17 of the overall Weddell seal time budget, with the estimated proportion of time spent in a resident state reduced from a posterior median of 0.69 (0.65-0.73; 95% HPDI) to 0.54 (0.50-0.58 HPDI). The drop was more dramatic in the Antarctic fur seal case, from 0.57 (0.52-0.63 HPDI) to 0.22 (0.20-0.25 HPDI), with 0.35 (0.31-0.39 HPDI) of time spent in the inactive (nondiving) state. These findings reinforce previously raised contentions about the drawbacks of behavioral states inferred solely from horizontal movements. Our findings have implications for assessing habitat requirements; estimating energetics and consumption; and management efforts such as mitigating fisheries interactions. Combining multiple sources of information within integrated frameworks should improve inference of relationships between movement decisions and fitness, the interplay between resource and habitat dependencies, and their changes at the population and landscape level.</t>
  </si>
  <si>
    <t>[Bestley, Sophie; Gales, Nicholas J.] Australian Antarctic Div, Dept Environm, Kingston, Tas, Australia; [Bestley, Sophie; Hindell, Mark A.] Univ Tasmania, Inst Marine &amp; Antarctic Studies, Hobart, Tas, Australia; [Bestley, Sophie; Hindell, Mark A.] Antarctic Climate &amp; Ecosyst Cooperat Res Ctr, Hobart, Tas, Australia; [Jonsen, Ian; Harcourt, Robert G.] Macquarie Univ, Dept Biol Sci, Sydney, NSW, Australia</t>
  </si>
  <si>
    <t>Australian Antarctic Division; University of Tasmania; Antarctic Climate &amp; Ecosystems Cooperative Research Centre (ACE CRC); Macquarie University</t>
  </si>
  <si>
    <t>Bestley, S (corresponding author), Australian Antarctic Div, Dept Environm, Kingston, Tas, Australia.</t>
  </si>
  <si>
    <t>sophie.bestley@aad.gov.au</t>
  </si>
  <si>
    <t>Bestley, Sophie/E-9521-2013; Bestley, Sophie/AAN-2483-2021; Hindell, Mark A/K-1131-2013</t>
  </si>
  <si>
    <t>Bestley, Sophie/0000-0001-9342-669X; Bestley, Sophie/0000-0001-9342-669X; Hindell, Mark/0000-0002-7823-7185; Jonsen, Ian/0000-0001-5423-6076; Harcourt, Robert/0000-0003-4666-2934</t>
  </si>
  <si>
    <t>Australian Government; Australian Antarctic Division; Australian Research Council Super Science Fellowship [FS110200057]; Macquarie Vice-Chancellor's Innovation Fellowship; Macquarie Safety Net Grant [9201401743]; Australian Research Council [FS110200057] Funding Source: Australian Research Council</t>
  </si>
  <si>
    <t>Australian Government(Australian Government); Australian Antarctic Division; Australian Research Council Super Science Fellowship(Australian Research Council); Macquarie Vice-Chancellor's Innovation Fellowship; Macquarie Safety Net Grant; Australian Research Council(Australian Research Council)</t>
  </si>
  <si>
    <t>Australian Government; Australian Antarctic Division; Australian Research Council Super Science Fellowship, Grant/Award Number: FS110200057; Macquarie Vice-Chancellor's Innovation Fellowship; Macquarie Safety Net Grant, Grant/Award Number: 9201401743.</t>
  </si>
  <si>
    <t>10.1002/ece3.2530</t>
  </si>
  <si>
    <t>EB8TR</t>
  </si>
  <si>
    <t>WOS:000387664500028</t>
  </si>
  <si>
    <t>Lasbleiz, M; Leblanc, K; Armand, LK; Christaki, U; Georges, C; Obernosterer, I; Quéguiner, B</t>
  </si>
  <si>
    <t>Lasbleiz, Marine; Leblanc, Karine; Armand, Leanne K.; Christaki, Urania; Georges, Clement; Obernosterer, Ingrid; Queguiner, Bernard</t>
  </si>
  <si>
    <t>Composition of diatom communities and their contribution to plankton biomass in the naturally iron-fertilized region of Kerguelen in the Southern Ocean</t>
  </si>
  <si>
    <t>FEMS MICROBIOLOGY ECOLOGY</t>
  </si>
  <si>
    <t>diatoms; carbon biomass; plankton community structure; natural iron fertilization; Southern Ocean</t>
  </si>
  <si>
    <t>PHYTOPLANKTON BLOOM; RESTING SPORES; CARBON EXPORT; INTERANNUAL VARIABILITY; PARTICLE EXPORT; CROZET PLATEAU; FECAL PELLETS; SARGASSO SEA; ISLANDS; AREA</t>
  </si>
  <si>
    <t>In the naturally iron-fertilized surface waters of the northern Kerguelen Plateau region, the early spring diatom community composition and contribution to plankton carbon biomass were investigated and compared with the high nutrient, low chlorophyll (HNLC) surrounding waters. The large iron-induced blooms were dominated by small diatom species belonging to the genera Chaetoceros (Hyalochaete) and Thalassiosira, which rapidly responded to the onset of favorable light-conditions in the meander of the Polar Front. In comparison, the iron-limited HNLC area was typically characterized by autotrophic nanoeukaryote-dominated communities and by larger and more heavily silicified diatom species (e.g. Fragilariopsis spp.). Our results support the hypothesis that diatoms are valuable vectors of carbon export to depth in naturally iron-fertilized systems of the Southern Ocean. Furthermore, our results corroborate observations of the exported diatom assemblage from a sediment trap deployed in the iron-fertilized area, whereby the dominant Chaetoceros (Hyalochaete) cells were less efficiently exported than the less abundant, yet heavily silicified, cells of Thalassionema nitzschioides and Fragilariopsis kerguelensis. Our observations emphasize the strong influence of species-specific diatom cell properties combined with trophic interactions on matter export efficiency, and illustrate the tight link between the specific composition of phytoplankton communities and the biogeochemical properties characterizing the study area.</t>
  </si>
  <si>
    <t>[Lasbleiz, Marine; Leblanc, Karine; Queguiner, Bernard] Aix Marseille Univ, Univ Toulon, CNRS, INSU,IRD,MIO,UM 110, F-13288 Marseille 09, France; [Armand, Leanne K.] Macquarie Univ, Dept Biol Sci, N Ryde, NSW 2109, Australia; [Christaki, Urania; Georges, Clement] ULCO, CNRS, UMR8187 LOG, INSU, 32 Ave Foch, F-62930 Wimereux, France; [Obernosterer, Ingrid] UPMC, Univ Paris 06, Lab Oceanog Microbienne LOMIC, CNRS,Observ Oceanol,Sorbonne Univ, F-66650 Banyuls Sur Mer, France</t>
  </si>
  <si>
    <t>Aix-Marseille Universite; Institut de Recherche pour le Developpement (IRD); Centre National de la Recherche Scientifique (CNRS); CNRS - National Institute for Earth Sciences &amp; Astronomy (INSU); Macquarie University; Universite du Littoral-Cote-d'Opale; Centre National de la Recherche Scientifique (CNRS); CNRS - National Institute for Earth Sciences &amp; Astronomy (INSU); Sorbonne Universite; Centre National de la Recherche Scientifique (CNRS)</t>
  </si>
  <si>
    <t>Lasbleiz, M (corresponding author), Aix Marseille Univ, Univ Toulon, CNRS, INSU,IRD,MIO,UM 110, F-13288 Marseille 09, France.;Lasbleiz, M (corresponding author), Aix Marseille Univ, Mediterranean Inst Oceanog, Batiment OCEANOMED, Campus Luminy,Case 901, F-13288 Marseille 09, France.</t>
  </si>
  <si>
    <t>Marine.lasbleiz@gmail.com</t>
  </si>
  <si>
    <t>Armand, Leanne K/C-9004-2009; Leblanc, Karine/C-6029-2009; Quéguiner, Bernard/B-4060-2008; Obernosterer, Ingrid/A-5434-2011</t>
  </si>
  <si>
    <t>Quéguiner, Bernard/0000-0001-5020-8297; Obernosterer, Ingrid/0000-0002-2530-8111; Christaki, Urania/0000-0002-2061-5278; Armand, Leanne/0000-0003-3995-308X</t>
  </si>
  <si>
    <t>French Research program of INSU-CNRS LEFE-CYBER (Les enveloppes fluides et l'environnement - Cycles biogeochimiques, environnement et ressources); French ANR (Agence Nationale de la Recherche, SIMI-6 program); French CNES (Centre National d'Etudes Spatiales); French Polar Institute IPEV (Institut Polaire Paul-Emile Victor); Endeavour Research Fellowship; Australian Antarctic Division science support grant [AAS 3214]</t>
  </si>
  <si>
    <t>French Research program of INSU-CNRS LEFE-CYBER (Les enveloppes fluides et l'environnement - Cycles biogeochimiques, environnement et ressources); French ANR (Agence Nationale de la Recherche, SIMI-6 program)(Agence Nationale de la Recherche (ANR)); French CNES (Centre National d'Etudes Spatiales); French Polar Institute IPEV (Institut Polaire Paul-Emile Victor); Endeavour Research Fellowship; Australian Antarctic Division science support grant</t>
  </si>
  <si>
    <t>This work was supported by the French Research program of INSU-CNRS LEFE-CYBER (Les enveloppes fluides et l'environnement - Cycles biogeochimiques, environnement et ressources); the French ANR (Agence Nationale de la Recherche, SIMI-6 program); the French CNES (Centre National d'Etudes Spatiales); the French Polar Institute IPEV (Institut Polaire Paul-Emile Victor); an Endeavour Research Fellowship [grant to M.L.]; and an Australian Antarctic Division science support grant [AAS 3214 to L.A.].</t>
  </si>
  <si>
    <t>0168-6496</t>
  </si>
  <si>
    <t>1574-6941</t>
  </si>
  <si>
    <t>FEMS MICROBIOL ECOL</t>
  </si>
  <si>
    <t>FEMS Microbiol. Ecol.</t>
  </si>
  <si>
    <t>fiw171</t>
  </si>
  <si>
    <t>10.1093/femsec/fiw171</t>
  </si>
  <si>
    <t>EC2ZY</t>
  </si>
  <si>
    <t>Bronze, Green Submitted, Green Published</t>
  </si>
  <si>
    <t>WOS:000387994800009</t>
  </si>
  <si>
    <t>Cornamusini, G; Talarico, FM</t>
  </si>
  <si>
    <t>Cornamusini, Gianluca; Talarico, Franco M.</t>
  </si>
  <si>
    <t>Miocene Antarctic ice dynamics in the Ross Embayment (Western Ross Sea, Antarctica): Insights from provenance analyses of sedimentary clasts in the AND-2A drill core</t>
  </si>
  <si>
    <t>Provenance; Cenozoic; Ross Sea; Sedimentary clasts; Andrill</t>
  </si>
  <si>
    <t>SOUTHERN MCMURDO SOUND; DRY VALLEYS REGION; VICTORIA-LAND; TRANSANTARCTIC MOUNTAINS; MIDDLE MIOCENE; BEACON SUPERGROUP; VOLCANIC ACTIVITY; HISTORY; SHEET; UPLIFT</t>
  </si>
  <si>
    <t>A detailed study of gravel-size sedimentary clasts in the ANDRILL-2A (AND-2A) drill core reveals distinct changes in provenance and allows reconstructions to be produced of the paleo ice flow in the McMurdo Sound region (Ross Sea) from the Early Miocene to the Holocene. The sedimentary clasts in AND-2A are divided into seven distinct petrofacies. A comparison of these with potential source rocks from the Transantarctic Mountains and the coastal Southern Victoria Land suggests that the majority of the sedimentary clasts were derived from formations within the Devonian-Triassic Beacon Supergroup. The siliciclastic-carbonate petrofacies are similar to the fossil-iferous erratics found in the Quaternary Moraine in the southern McMurdo Sound and were probably sourced from Eocene strata that are currently hidden beneath the Ross Ice Shelf. Intraformational clasts were almost certainly reworked from diamictite and mudstone sequences that were originally deposited proximal to the drill site. The distribution of sedimentary gravel clasts in AND-2A suggests that sedimentary sequences in the drill core were deposited under two main glacial scenarios: 1) a highly dynamic ice sheet that did not extend beyond the coastal margin and produced abundant debris-rich icebergs from outlet glaciers in the central Transantarctic Mountains and South Victoria Land; 2) and an ice sheet that extended well beyond the coastal margin and periodically advanced across the Ross Embayment. Glacial scenario 1 dominated the early to mid-Miocene (between ca. 1000 and 225 mbsf in AND-2A) and scenario 2 the early Miocene (between ca. 1138 and 1000 mbsf) and late Neogene to Holocene (above ca. 225 mbsf). This study augments previous research on the clast provenance and highlights the added value that sedimentary clasts offer in terms of reconstructing past glacial conditions from Antarctic drill core records. (C) 2016 Elsevier B.V. All rights reserved.</t>
  </si>
  <si>
    <t>[Cornamusini, Gianluca; Talarico, Franco M.] Univ Siena, Dipartimento Sci Fis Terra &amp; Ambiente, Via Laterina 8, I-53100 Siena, Italy; [Cornamusini, Gianluca] Univ Siena, Ctr Geotecnol, Via Vetri Vecchi 34, San Giovanni Valdarno, Italy; [Talarico, Franco M.] Univ Siena, Museo Nazl Antartide, Via Laterina 8, Siena, Italy</t>
  </si>
  <si>
    <t>University of Siena; University of Siena; University of Siena</t>
  </si>
  <si>
    <t>Talarico, FM (corresponding author), Univ Siena, Dipartimento Sci Fis Terra &amp; Ambiente, Via Laterina 8, I-53100 Siena, Italy.</t>
  </si>
  <si>
    <t>franco.talarico@unisi.it</t>
  </si>
  <si>
    <t>talarico, franco/G-9472-2012</t>
  </si>
  <si>
    <t>talarico, franco/0000-0002-7254-4301</t>
  </si>
  <si>
    <t>Italian Programma Nazionale di Ricerche in Antartide [PNRA - PEA2009, PNRA 2013-AZ 2.08]; US National Science Foundation; NZ Foundation for Research Science and Technology; Royal Society of New Zealand Marsden Fund; Italian Antarctic Research Programme; German Research Foundation (DFG); Alfred Wegener Institute for Polar and Marine Research (Helmholtz Association of German Research Centres)</t>
  </si>
  <si>
    <t>Italian Programma Nazionale di Ricerche in Antartide(Ministry of Education, Universities and Research (MIUR)); US National Science Foundation(National Science Foundation (NSF)); NZ Foundation for Research Science and Technology(New Zealand Foundation for Research, Science and Technology);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t>
  </si>
  <si>
    <t>This study was supported with the financial support of the Italian Programma Nazionale di Ricerche in Antartide (PNRA - PEA2009 and PNRA 2013-AZ 2.08) grants. The ANDRILL Program is a multinational collaboration between the Antarctic Programs of Germany, Italy, New Zealand and the United States of America. Antarctica New Zealand is the project operator, and has developed the drilling system in collaboration with Alex Pyne at Victoria University of Wellington and Webster Drilling and Enterprises Ltd. Scientific studies are jointly supported by the US National Science Foundation, NZ Foundation for Research Science and Technology,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Furthermore, we thank the Editor Sierd Cloetingh, the reviewers Chris Fielding, Kurt Panter and one anonymous for the constructive and precious suggestions and comments.</t>
  </si>
  <si>
    <t>10.1016/j.gloplacha.2016.09.001</t>
  </si>
  <si>
    <t>EC3TR</t>
  </si>
  <si>
    <t>WOS:000388049700005</t>
  </si>
  <si>
    <t>Didova, O; Gunter, B; Riva, R; Klees, R; Roese-Koerner, L</t>
  </si>
  <si>
    <t>Didova, Olga; Gunter, Brian; Riva, Riccardo; Klees, Roland; Roese-Koerner, Lutz</t>
  </si>
  <si>
    <t>An approach for estimating time-variable rates from geodetic time series</t>
  </si>
  <si>
    <t>JOURNAL OF GEODESY</t>
  </si>
  <si>
    <t>Time-variable trend; Kalman filter; Non-convex optimization problem; Colored noise</t>
  </si>
  <si>
    <t>GLACIAL ISOSTATIC-ADJUSTMENT; ANTARCTICA; NOISE; GREENLAND; MODELS</t>
  </si>
  <si>
    <t>There has been considerable research in the literature focused on computing and forecasting sea-level changes in terms of constant trends or rates. The Antarctic ice sheet is one of the main contributors to sea-level change with highly uncertain rates of glacial thinning and accumulation. Geodetic observing systems such as the Gravity Recovery and Climate Experiment (GRACE) and the Global Positioning System (GPS) are routinely used to estimate these trends. In an effort to improve the accuracy and reliability of these trends, this study investigates a technique that allows the estimated rates, along with co-estimated seasonal components, to vary in time. For this, state space models are defined and then solved by a Kalman filter (KF). The reliable estimation of noise parameters is one of the main problems encountered when using a KF approach, which is solved by numerically optimizing likelihood. Since the optimization problem is non-convex, it is challenging to find an optimal solution. To address this issue, we limited the parameter search space using classical least-squares adjustment (LSA). In this context, we also tested the usage of inequality constraints by directly verifying whether they are supported by the data. The suggested technique for time-series analysis is expanded to classify and handle time-correlated observational noise within the state space framework. The performance of the method is demonstrated using GRACE and GPS data at the CAS1 station located in East Antarctica and compared to commonly used LSA. The results suggest that the outlined technique allows for more reliable trend estimates, as well as for more physically valuable interpretations, while validating independent observing systems.</t>
  </si>
  <si>
    <t>[Didova, Olga; Gunter, Brian; Riva, Riccardo; Klees, Roland] Delft Univ Technol, Stevinweg 1, NL-2624 CN Delft, Netherlands; [Gunter, Brian] Georgia Inst Technol, Daniel Guggenheim Sch Aerosp Engn, 270 Ferst Dr NW, Atlanta, GA 30332 USA; [Roese-Koerner, Lutz] Univ Bonn, Inst Geodesy &amp; Geoinformat, Nussallee 17, D-53115 Bonn, Germany</t>
  </si>
  <si>
    <t>Delft University of Technology; University System of Georgia; Georgia Institute of Technology; University of Bonn</t>
  </si>
  <si>
    <t>Didova, O (corresponding author), Delft Univ Technol, Stevinweg 1, NL-2624 CN Delft, Netherlands.</t>
  </si>
  <si>
    <t>o.didova@tudelft.nl</t>
  </si>
  <si>
    <t>Gunter, Brian C/C-7841-2014; Klees, Roland/I-3574-2013</t>
  </si>
  <si>
    <t>Klees, Roland/0000-0002-0670-2607; Riva, Riccardo/0000-0002-2042-5669; Gunter, Brian/0000-0002-4743-6173</t>
  </si>
  <si>
    <t>Netherlands Organization for Scientific Research (NWO)</t>
  </si>
  <si>
    <t>Netherlands Organization for Scientific Research (NWO)(Netherlands Organization for Scientific Research (NWO))</t>
  </si>
  <si>
    <t>The authors would like to thank Matt King for providing GPS data and comments on a draft version of this manuscript, and also H. Hashemi Farahani and P. Ditmar for DMT2 optimally filtered monthly GRACE solutions. The authors would also like to thank two anonymous reviewers and the editor S. Williams for their insightful comments. The freely available software provided by Peng and Aston (2011) was used as an initial version for the state space models. MATLAB's Global Optimization Toolbox along with the Optimization Toolbox was used to solve the described optimization problem. This research was financially supported by the Netherlands Organization for Scientific Research (NWO) as part of the New Netherlands Polar Programme.</t>
  </si>
  <si>
    <t>0949-7714</t>
  </si>
  <si>
    <t>1432-1394</t>
  </si>
  <si>
    <t>J GEODESY</t>
  </si>
  <si>
    <t>J. Geodesy</t>
  </si>
  <si>
    <t>10.1007/s00190-016-0918-5</t>
  </si>
  <si>
    <t>Geochemistry &amp; Geophysics; Remote Sensing</t>
  </si>
  <si>
    <t>EB9NJ</t>
  </si>
  <si>
    <t>WOS:000387721600001</t>
  </si>
  <si>
    <t>Koehler, B; Broman, E; Tranvik, LJ</t>
  </si>
  <si>
    <t>Koehler, Birgit; Broman, Elias; Tranvik, Lars J.</t>
  </si>
  <si>
    <t>Apparent quantum yield of photochemical dissolved organic carbon mineralization in lakes</t>
  </si>
  <si>
    <t>SOUTHEASTERN UNITED-STATES; INORGANIC CARBON; ABSORPTION-COEFFICIENT; DIOXIDE EMISSIONS; INLAND WATERS; MATTER; PHOTOOXIDATION; RIVER; CO2; PHOTOPRODUCTION</t>
  </si>
  <si>
    <t>Up to one tenth of the carbon dioxide (CO2) emissions from inland waters worldwide are directly induced by the photochemical mineralization of dissolved organic matter (DOM). The photochemical production of dissolved inorganic carbon (DIC) per photon absorbed by chromophoric DOM (CDOM) decreases exponentially with increasing irradiance wavelength, and is commonly described by an apparent quantum yield (AQY) spectrum. Although an essential model parameter to simulate photochemical mineralization the AQY remains poorly constrained. Here, the AQY of photochemical DIC production for 25 lakes located in boreal, polar, temperate, and tropical areas, including four saline lagoons, was measured. The wavelength-integrated AQY (300-500 nm; mol DIC mol CDOM-absorbed photons(-1)) ranged from 0.05 in an Antarctic lake to 0.61 in a humic boreal lake, averaging 0.24 +/- 0.03 SE. AQY was positively linearly correlated with the absorption coefficient at 420 nm (a(420)) as a proxy for CDOM content (R-2 of 0.64 at 300 nm and 0.26 at 400 nm), with specific UV absorption coefficients as a proxy for DOM aromaticity (R-2 of 0.56 at 300 nm and 0.38 at 400 nm), and with the humification index (R-2 of 0.41 at 300 nm and 0.42 at 400 nm). Hence, a considerable fraction of the AQY variability was explained by water optical properties in inland waters. The correlation of AQY with a(420) opens up the possibility to improve large-scale model estimates of sunlight-induced CO2 emissions from inland waters based on water color information derived by satellite remote sensing.</t>
  </si>
  <si>
    <t>[Koehler, Birgit; Tranvik, Lars J.] Uppsala Univ, Evolutionary Biol Ctr, Ecol &amp; Genet Limnol, Uppsala, Sweden; [Broman, Elias] Linnaeus Univ, Ctr Ecol &amp; Evolut Microbial Model Syst EEMiS, S-39182 Kalmar, Sweden</t>
  </si>
  <si>
    <t>Uppsala University; Linnaeus University</t>
  </si>
  <si>
    <t>Koehler, B (corresponding author), Uppsala Univ, Evolutionary Biol Ctr, Ecol &amp; Genet Limnol, Uppsala, Sweden.</t>
  </si>
  <si>
    <t>birgit.koehler@ebc.uu.se</t>
  </si>
  <si>
    <t>Broman, Elias/GVT-8128-2022; Tranvik, Lars J/H-2222-2011</t>
  </si>
  <si>
    <t>Broman, Elias/0000-0001-9005-5168; Tranvik, Lars J./0000-0003-3509-8266</t>
  </si>
  <si>
    <t>Swedish Research Council for Environment, Agricultural Sciences and Spatial Planning (FORMAS) as part of the research environment The Color of Water [2009-1350-15339-81]; Swedish Research Council [2011-3475-88773-67]; Knut and Alice Wallenberg Foundation [KAW 2013.009]</t>
  </si>
  <si>
    <t>Swedish Research Council for Environment, Agricultural Sciences and Spatial Planning (FORMAS) as part of the research environment The Color of Water(Swedish Research Council Formas); Swedish Research Council(Swedish Research Council); Knut and Alice Wallenberg Foundation(Knut &amp; Alice Wallenberg Foundation)</t>
  </si>
  <si>
    <t>B.K. and L.T. designed the research; E.B. measured a part of the apparent quantum yield spectra and assisted with data analysis; B.K. analyzed the data and wrote the article; L.T. and E.B. commented on and revised the manuscript. A part of the apparent quantum yield measurements was conducted by Ran Li during her master thesis research (R. Li, unpubl.). We are thankful to our colleagues who sampled, filtered and shipped lake water samples for the purpose of this study, specifically A. Enrich-Prast, D. Bastviken, H. Marotta and L. Pontual (Brazil), J. Comte, A. Parkes and D. Vachon (Canada), D. Shen (China), T. Francke (Germany) and N. Catalan (Spain). Water samples from Panama were exported under export permit no. SEX/O-10-12. We thank W.L. Miller and L.C. Powers for advise concerning actinometry and valuable discussions; F. Guillemette and K. Murphy for assistance with fluorescence data; J. Johansson for assistance in field and laboratory; H. Aarnos, S. Belanger, R. M. Cory, S. Johannessen, C. Osburn, H. Reader and H. Xie for sharing of data. This study was funded by the Swedish Research Council for Environment, Agricultural Sciences and Spatial Planning (FORMAS) as part of the research environment The Color of Water (grant 2009-1350-15339-81), by the Swedish Research Council (grant 2011-3475-88773-67) and by the Knut and Alice Wallenberg Foundation (grant Dnr KAW 2013.009).</t>
  </si>
  <si>
    <t>10.1002/lno.10366</t>
  </si>
  <si>
    <t>EB9WX</t>
  </si>
  <si>
    <t>WOS:000387749500018</t>
  </si>
  <si>
    <t>Gong, D; Zhang, N; Liu, YC; Li, XC; Talalay, P</t>
  </si>
  <si>
    <t>Gong, Da; Zhang, Nan; Liu, Yunchen; Li, Xingchen; Talalay, Pavel</t>
  </si>
  <si>
    <t>Small-diameter vibrocorer for sediment coring beneath Antarctic ice shelves: General concept and testing</t>
  </si>
  <si>
    <t>OCEAN ENGINEERING</t>
  </si>
  <si>
    <t>Self-synchronized vibratory technology; Antarctic ice shelves; Subglacial environment; Underwater core sampling</t>
  </si>
  <si>
    <t>Samples from beneath Antarctic ice shelves, ice streams, and subglacial lakes contain important paleoclimatic and paleoenvironmental records, and these environments also provide a unique habitat for life. This paper describes a small-diameter SUBglacial SEdiment Vibrocorer (SUBSEV) designed especially for coring sediments from beneath Antarctic ice shelves through an access hole formed with a hot-water drill. The maximum diameter of the SUBSEV corer is 270 mm, the total length of the corer is 4.1 m, it weighs 214 kg, it is designed to sample at least 3 m of sediment without disturbance, and it can work at water depths down to 3000 m. A cylindrical, self-synchronous, dual-motor vibrator was designed to deal with the size restrictions of the hole. Actuating motors rotating in opposite directions can generate vertical, horizontal, or alternative vibrations. In the course of laboratory testing, the SUBSEV corer easily penetrated to a depth of 3.4 m in a sediment composed of fine-screened sand, loess, and soil with a coring speed of 70-100 mm/s. The maximum penetration speed was reached in the alternate vibration mode. Field testing of the SUBSEV corer is planned within a hot-water ice-drilling project on Amery Ice Shelf, East Antarctica in the 2017-2018 season.</t>
  </si>
  <si>
    <t>[Gong, Da; Zhang, Nan; Liu, Yunchen; Li, Xingchen; Talalay, Pavel] Jilin Univ, Polar Res Ctr, 938 Ximinzhu Str, Changchun 130021, Peoples R China</t>
  </si>
  <si>
    <t>Jilin University</t>
  </si>
  <si>
    <t>Talalay, P (corresponding author), Jilin Univ, Polar Res Ctr, 938 Ximinzhu Str, Changchun 130021, Peoples R China.</t>
  </si>
  <si>
    <t>ptalalay@yahoo.com</t>
  </si>
  <si>
    <t>Zhang, Nan/GXH-0361-2022</t>
  </si>
  <si>
    <t>Li, Xingchen/0000-0001-7843-7446; Talalay, Pavel/0000-0002-8230-4600</t>
  </si>
  <si>
    <t>Chinese Polar Environment Comprehensive Investigation and Assessment Programmes - Ministry of Science and Technology of the People's Republic of China [2015-04-02]; Key Technology and Development of Hot-Water Drilling System on Ice Shelf - Ministry of Science and Technology of the People's Republic of China [2011AA090401]</t>
  </si>
  <si>
    <t>Chinese Polar Environment Comprehensive Investigation and Assessment Programmes - Ministry of Science and Technology of the People's Republic of China; Key Technology and Development of Hot-Water Drilling System on Ice Shelf - Ministry of Science and Technology of the People's Republic of China</t>
  </si>
  <si>
    <t>This paper describes the research done with the support of the Chinese Polar Environment Comprehensive Investigation and Assessment Programmes (2015-04-02) and Key Technology and Development of Hot-Water Drilling System on Ice Shelf (Project no. 2011AA090401) granted by the Ministry of Science and Technology of the People's Republic of China. The authors would like to thank Yang Yang for the help in paper preparation and two anonymous reviewers for paper editing, fruitful comments, and advice.</t>
  </si>
  <si>
    <t>0029-8018</t>
  </si>
  <si>
    <t>OCEAN ENG</t>
  </si>
  <si>
    <t>Ocean Eng.</t>
  </si>
  <si>
    <t>10.1016/j.oceaneng.2016.09.023</t>
  </si>
  <si>
    <t>Engineering, Marine; Engineering, Civil; Engineering, Ocean; Oceanography</t>
  </si>
  <si>
    <t>EC3UN</t>
  </si>
  <si>
    <t>WOS:000388052400018</t>
  </si>
  <si>
    <t>Sánchez, RA</t>
  </si>
  <si>
    <t>Sanchez, Rodolfo A.</t>
  </si>
  <si>
    <t>A brief analysis of countries' patterns of participation in the Antarctic Treaty Consultative Meetings (1998-2011); towards leveling the playing field?</t>
  </si>
  <si>
    <t>MODELS</t>
  </si>
  <si>
    <t>This paper attempts to describe Consultative Parties' (CPs) patterns of participation at the Antarctic Treaty Consultative Meetings (ATCM) during the 1998-2011 period. The results of this work show that a subset of the original signatories of the Antarctic Treaty exert the greatest political influence on ATCMs, and can therefore be seen as the main 'propellers' of the ATCM system. Although the performance of some of the non-original signatories is becoming increasingly consistent, the system still offers the appearance of being rather asymmetric and endogamic. In addition, a number of factors that might explain the patterns of participation observed are presented and discussed, as a contribution that may allow for achieving a more comprehensive picture of how the work of the ATCMs unfolds through time. The article concludes by presenting likely directions towards which future research on behavioural aspects of Antarctic policy making can be orientated.</t>
  </si>
  <si>
    <t>[Sanchez, Rodolfo A.] Univ Nacl Tierra Fuego Antartida &amp; Islas Atlantic, Onas 450, RA-9410 Ushuaia, Argentina</t>
  </si>
  <si>
    <t>Sánchez, RA (corresponding author), Univ Nacl Tierra Fuego Antartida &amp; Islas Atlantic, Onas 450, RA-9410 Ushuaia, Argentina.</t>
  </si>
  <si>
    <t>rasanchez@untdf.edu.ar</t>
  </si>
  <si>
    <t>Instituto Nacional de la Administracion Publica (INAP); Fondo Permanente de Capacitacion y Recalificacion Laboral (FOPECAP), Jefatura de Gabinete de Ministros de la Republica Argentina</t>
  </si>
  <si>
    <t>I thank Jose Maria Acero, Pilar Bueno, Maximo Gowland, Mariana Heredia, Fausto Lopez Crozet, Jeronimo Lopez Martinez, Cristian Lorenzo and Patricia Ortuzar for their valuable comments on this article, and Magdalena Cornejo for her assistance with statistics and graphs. The comments of anonymous reviewers are gratefully acknowledged. This study was a result of the final work of the author on the M.A. degree in Public Policies of the Universidad Torcuato Di Tella (Buenos Aires, Argentina), which was generously funded by the Instituto Nacional de la Administracion Publica (INAP), and the Fondo Permanente de Capacitacion y Recalificacion Laboral (FOPECAP), Jefatura de Gabinete de Ministros de la Republica Argentina.</t>
  </si>
  <si>
    <t>10.1017/S0032247416000073</t>
  </si>
  <si>
    <t>EC2PZ</t>
  </si>
  <si>
    <t>WOS:000387967200009</t>
  </si>
  <si>
    <t>Philpott, C; Leane, E</t>
  </si>
  <si>
    <t>Philpott, Carolyn; Leane, Elizabeth</t>
  </si>
  <si>
    <t>Making music on the march: sledging songs of the 'heroic age' of Antarctic exploration</t>
  </si>
  <si>
    <t>During the so-called 'heroic age' of Antarctic exploration (c. 1897-1922), various parties of men invented songs to aid the act of sledging and to provide a mental diversion from the monotony of the task and the physical demands it made on the human body. Songs composed in this uniquely polar musical genre typically included rhyming lyrics that were highly motivational and expressed a united identity. The lyrics were usually set to the melodies of popular songs of the day. When voiced in unison by men out 'on the march,' sledging songs could help to promote team synchronisation and cohesion, and give the act of sledging (as well as the expeditions as a whole) a stronger sense of purpose and meaning. The singing of such songs, therefore, contributed in a very practical way to the overall success of many Antarctic expeditions of the 'heroic age'. This article examines three sledging songs dating from this period of Antarctic exploration and investigates the historical context in which they were created and performed. It also considers what these songs reveal about the experiences of the men who participated in the sledging journeys and their earliest perceptions of the Antarctic environment.</t>
  </si>
  <si>
    <t>[Philpott, Carolyn] Univ Tasmania, Tasmanian Coll Arts, Conservatorium Mus, Private Bag 63, Hobart, Tas 7001, Australia; [Leane, Elizabeth] Univ Tasmania, Inst Marine &amp; Antarct Studies, Sch Humanities, Private Bag 41, Hobart, Tas 7001, Australia</t>
  </si>
  <si>
    <t>Philpott, C (corresponding author), Univ Tasmania, Tasmanian Coll Arts, Conservatorium Mus, Private Bag 63, Hobart, Tas 7001, Australia.</t>
  </si>
  <si>
    <t>Carolyn.Philpott@utas.edu.au</t>
  </si>
  <si>
    <t>Australian Research Council [FT120100402]; University of Tasmania; Australian Research Council [FT120100402] Funding Source: Australian Research Council</t>
  </si>
  <si>
    <t>Australian Research Council(Australian Research Council); University of Tasmania; Australian Research Council(Australian Research Council)</t>
  </si>
  <si>
    <t>This work was supported by the Australian Research Council under project FT120100402; and a Culture Domain Seed Grant and a Career Development Scholarship from the University of Tasmania.</t>
  </si>
  <si>
    <t>10.1017/S0032247416000255</t>
  </si>
  <si>
    <t>Science Citation Index Expanded (SCI-EXPANDED); Arts &amp; Humanities Citation Index (A&amp;HCI)</t>
  </si>
  <si>
    <t>WOS:000387967200010</t>
  </si>
  <si>
    <t>Heavens, S</t>
  </si>
  <si>
    <t>Heavens, Steve</t>
  </si>
  <si>
    <t>Brian Roberts and the origins of the 1959 Antarctic Treaty</t>
  </si>
  <si>
    <t>During his lifetime and beyond, Brian Roberts was often thought to be the eminence grise of the UK's Antarctic policy and also of the founding of the 1959 Antarctic Treaty. Documentary evidence of his influence has, however, been conspicuously absent, due in part to the closure of relevant files in the UK's National Archives. Using Roberts' personal files in the archives of the Scott Polar Research Institute in Cambridge, files in the UK National Archives that remained closed for 50 years but have recently been released, and the recollections of surviving contemporaries of Roberts, it has been possible to establish the extent of his involvement in the evolution of the treaty and to add new elements that may contribute towards a reconstruction of its complex history. From 1956 Roberts developed a productive relationship with the UK Foreign Office's Head of American Department Henry Hankey that enabled them to influence the UK policy on Antarctica and to make a significant contribution towards the political settlement represented by the treaty. For Roberts and his colleagues in the Foreign Office the main purpose of the treaty was not primarily the promotion of international scientific collaboration but was essentially a means of addressing a political situation that had become otherwise intractable.</t>
  </si>
  <si>
    <t>steve@morisca.plus.com</t>
  </si>
  <si>
    <t>10.1017/S0032247416000292</t>
  </si>
  <si>
    <t>WOS:000387967200011</t>
  </si>
  <si>
    <t>Jaafar, NR; Littler, D; Beddoe, T; Rossjohn, J; Illias, RM; Mahadi, NM; Mackeen, MM; Murad, AMA; Abu Bakar, FD</t>
  </si>
  <si>
    <t>Jaafar, Nardiah Rizwana; Littler, Dene; Beddoe, Travis; Rossjohn, Jamie; Illias, Rosli Md; Mahadi, Nor Muhammad; Mackeen, Mukram Mohamed; Murad, Abdul Munir Abdul; Abu Bakar, Farah Diba</t>
  </si>
  <si>
    <t>Crystal structure of fuculose aldolase from the Antarctic psychrophilic yeast Glaciozyma antarctica PI12</t>
  </si>
  <si>
    <t>ACTA CRYSTALLOGRAPHICA SECTION F-STRUCTURAL BIOLOGY COMMUNICATIONS</t>
  </si>
  <si>
    <t>psychrophiles; crystallization; metalloenzymes; fuculose aldolase; L-fuculose metabolism; Glaciozyma antarctica; imino cyclitols</t>
  </si>
  <si>
    <t>COLD-ADAPTATION; L-FUCULOSE-1-PHOSPHATE ALDOLASE; CATALYTIC ACTION; ENZYMES; PROTEINS; CLEAVAGE; SEQUENCE; FEATURES; ARGININE; FUCOSE</t>
  </si>
  <si>
    <t>Fuculose-1-phosphate aldolase ( FucA) catalyses the reversible cleavage of l-fuculose 1-phosphate to dihydroxyacetone phosphate ( DHAP) and l-lactaldehyde. This enzyme from mesophiles and thermophiles has been extensively studied; however, there is no report on this enzyme from a psychrophile. In this study, the gene encoding FucA from Glaciozyma antarctica PI12 ( GaFucA) was cloned and the enzyme was overexpressed in Escherichia coli, purified and crystallized. The tetrameric structure of GaFucA was determined to 1.34 angstrom resolution. The overall architecture of GaFucA and its catalytically essential histidine triad are highly conserved among other fuculose aldolases. Comparisons of structural features between GaFucA and its mesophilic and thermophilic homologues revealed that the enzyme has typical psychrophilic attributes, indicated by the presence of a high number of nonpolar residues at the surface and a lower number of arginine residues.</t>
  </si>
  <si>
    <t>[Jaafar, Nardiah Rizwana; Murad, Abdul Munir Abdul; Abu Bakar, Farah Diba] Univ Kebangsaan Malaysia, Fac Sci &amp; Technol, Sch Biosci &amp; Biotechnol, Bangi 43600, Selangor Darul, Malaysia; [Littler, Dene; Beddoe, Travis; Rossjohn, Jamie] Monash Univ, Infect &amp; Immun Program, Clayton, Vic 3800, Australia; [Littler, Dene; Beddoe, Travis; Rossjohn, Jamie] Monash Univ, Dept Biochem &amp; Mol Biol, Biomed Discovery Inst, Clayton, Vic 3800, Australia; [Beddoe, Travis] La Trobe Univ, Dept Anim Plant &amp; Soil Sci, Melbourne, Vic 3086, Australia; [Beddoe, Travis] La Trobe Univ, Ctr AgriBiosci AgriBio, Melbourne, Vic 3086, Australia; [Rossjohn, Jamie] Cardiff Univ, Sch Med, Inst Infect &amp; Immun, Cardiff, S Glam, Wales; [Illias, Rosli Md] Univ Teknol Malaysia, Dept Bioproc Engn, Fac Chem Engn, Skudai 81310, Johor Darul, Malaysia; [Mahadi, Nor Muhammad] Malaysia Genome Inst, Jalan Bangi Lama, Kajang 43000, Selangor Darul, Malaysia; [Mahadi, Nor Muhammad; Mackeen, Mukram Mohamed] Univ Kebangsaan Malaysia, Inst Syst Biol INBIOSIS, Bangi 43600, Selangor Darul, Malaysia; [Mackeen, Mukram Mohamed] Univ Kebangsaan Malaysia, Fac Sci &amp; Technol, Sch Chem Sci &amp; Food Technol, Bangi 43600, Selangor Darul, Malaysia</t>
  </si>
  <si>
    <t>Universiti Kebangsaan Malaysia; Monash University; Monash University; Melbourne Genomics Health Alliance; La Trobe University; Melbourne Genomics Health Alliance; La Trobe University; Cardiff University; Universiti Teknologi Malaysia; Universiti Kebangsaan Malaysia; Universiti Kebangsaan Malaysia</t>
  </si>
  <si>
    <t>Murad, AMA; Abu Bakar, FD (corresponding author), Univ Kebangsaan Malaysia, Fac Sci &amp; Technol, Sch Biosci &amp; Biotechnol, Bangi 43600, Selangor Darul, Malaysia.</t>
  </si>
  <si>
    <t>munir@ukm.edu.my; fabyff@ukm.edu.my</t>
  </si>
  <si>
    <t>Beddoe, Travis/F-3415-2014; Murad, Abdul/CAG-9324-2022; Rossjohn, Jamie/F-9032-2013; Abdul Murad, Abdul Munir/L-8575-2017; Jaafar, Nardiah/AAV-8925-2020; Mackeen, Mukram Mohamed/AAN-6344-2020</t>
  </si>
  <si>
    <t>Beddoe, Travis/0000-0003-4550-2277; Rossjohn, Jamie/0000-0002-2020-7522; Abdul Murad, Abdul Munir/0000-0001-6402-7198; Mackeen, Mukram Mohamed/0000-0001-7344-2932; Littler, Dene/0000-0001-5904-1905</t>
  </si>
  <si>
    <t>Ministry of Science, Technology and Innovation of Malaysia as part of a collaborative project in structural genomics involving Malaysia Genome Institute [10-05-16-MB002]; Universiti Teknologi Malaysia; Monash University</t>
  </si>
  <si>
    <t>Ministry of Science, Technology and Innovation of Malaysia as part of a collaborative project in structural genomics involving Malaysia Genome Institute; Universiti Teknologi Malaysia; Monash University(Monash University)</t>
  </si>
  <si>
    <t>We would like to acknowledge the members of the Rossjohn Laboratory, Monash University, Australia and the staff of the Australian Synchrotron for assistance with X-ray data collection. We would also like to thank Professor William J. Broughton for his helpful discussions and input during the preparation of this manuscript. This work was supported by the Ministry of Science, Technology and Innovation of Malaysia (Research Grant 10-05-16-MB002) as part of a collaborative project in structural genomics involving Malaysia Genome Institute, Universiti Kebangsaan Malaysia, Universiti Teknologi Malaysia and Monash University.</t>
  </si>
  <si>
    <t>INT UNION CRYSTALLOGRAPHY</t>
  </si>
  <si>
    <t>CHESTER</t>
  </si>
  <si>
    <t>2 ABBEY SQ, CHESTER, CH1 2HU, ENGLAND</t>
  </si>
  <si>
    <t>2053-230X</t>
  </si>
  <si>
    <t>ACTA CRYSTALLOGR F</t>
  </si>
  <si>
    <t>Acta Crystallogr. F-Struct. Biol. Commun.</t>
  </si>
  <si>
    <t>10.1107/S2053230X16015612</t>
  </si>
  <si>
    <t>Biochemical Research Methods; Biochemistry &amp; Molecular Biology; Biophysics; Crystallography</t>
  </si>
  <si>
    <t>Biochemistry &amp; Molecular Biology; Biophysics; Crystallography</t>
  </si>
  <si>
    <t>EB7QX</t>
  </si>
  <si>
    <t>WOS:000387585800005</t>
  </si>
  <si>
    <t>Gao, CC; Lu, Y; Shi, HL; Zhang, ZZ; Jiang, YT</t>
  </si>
  <si>
    <t>Gao Chun-Chun; Lu Yang; Shi Hong-Ling; Zhang Zi-Zhan; Jiang Yong-Tao</t>
  </si>
  <si>
    <t>Combination of GRACE and ICESat data sets to estimate Antarctica Glacial Isostatic Adjustment (GIA)</t>
  </si>
  <si>
    <t>CHINESE JOURNAL OF GEOPHYSICS-CHINESE EDITION</t>
  </si>
  <si>
    <t>Antarctic ice sheet; Glacial Isostatic Adjustment; GRACE; ICESat; Mass change</t>
  </si>
  <si>
    <t>SHEET MASS-BALANCE; SEA-LEVEL RISE; RECONCILED ESTIMATE; SATELLITE DATA; GRAVITY-FIELD; SYSTEM; MODEL; EARTH</t>
  </si>
  <si>
    <t>The Antarctic Ice Sheet (AIS) is the largest single mass of ice on Earth, if fully melted, would contribute more than 60 meters of sea level rise. Accurate quantification of the mass balance of AIS is very important to improve our understanding and prediction of its response and contribution to sea level change. The Gravity Recovery and Climate Experiment (GRACE) mission has provided a new means to detect AIS.mass change since its launch in 2002, but there are large uncertainties in applying GRACE to estimate AIS mass balance. Of these, the dominant error comes from the inaccurate knowledge of Glacial Isostatic Adjustment (GIA), which is the ongoing response of the solid Earth due to the changing ice-ocean load during the last ice age. The fact that GRACE senses all sources of mass change at the Earth's surface requires removing non-glacier changes by independent datasets or models. Mass change signals associated with GIA are poorly known in Antarctica due to very sparse geophysical and climatological data to constrain the glacial history and often dominate GRACE error budgets. In this study, we explore an approach to estimate GIA through the combination of GRACE satellite gravity and Ice, Cloud, and Land Elevation Satellite (ICESat) altimetry data sets. The GIA results are completely independent of any previous reconstruction of the Antarctic glacial history and derived from direct observations by satellite techniques. Our study developed the approach proposed by Gunter et al. (2014) for empirical estimation of present-day Antarctic GIA and ice mass change using a combination of satellite altimetry and gravimetry. An ICESat surface height change estimated from the crossover analysis approach was combined with three different GRACE solutions for the period between February of 2003 and October of 2009. Based on the previous method of the low-precipitation zone (LPZ) bias correction, weighted ice flow speed correction and GPS spherical fitting methods are created. When the GIA results computed by the combination data were compared to the GPS ground station displacements, the results showed our correction methods helped reduce the impact of the mm-level biases. The new GIA results show the presence of strong uplift in the two main ice shelves and the northern Transantarctic Mountains regions in West Antarctica (WA), as well as subsidence in most areas of East Antarctica (EA) except for Kalser Wilhelm II Land. The total GIA-related mass change estimates for the entire AIS ranged from 38. 4 to 47. 5 Gt/a depending on different GRACE solution used. Our estimates are considerably smaller than the values of 75. 6 to 146. 8 Gt/a obtained from G14, W12a and ICE5G. Over the period between February of 2003 and October of 2009, the corresponding ice mass change for AIS showed the average values of -66.7 +/- 54. 5 Gt/a (GRACE) and -77. 2 +/- 21. 5 Gt/a (ICESat). Compared to other GIA models, our estimates can minimize the discrepancy between the values of ice mass change measured by the GRACE and ICESat.</t>
  </si>
  <si>
    <t>[Gao Chun-Chun; Jiang Yong-Tao] Nanyang Normal Univ, Dept Environm Sci &amp; Tourism, Nanyang 473061, Henan, Peoples R China; [Gao Chun-Chun; Lu Yang; Shi Hong-Ling; Zhang Zi-Zhan] Chinese Acad Sci, Inst Geodesy &amp; Geophys, State Key Lab Geodesy &amp; Earths Dynam, Wuhan 430077, Peoples R China; [Lu Yang] Univ Chinese Acad Sci, Beijing 100049, Peoples R China</t>
  </si>
  <si>
    <t>Nanyang Normal College; Chinese Academy of Sciences; Innovation Academy for Precision Measurement Science &amp; Technology, CAS; Chinese Academy of Sciences; University of Chinese Academy of Sciences, CAS</t>
  </si>
  <si>
    <t>Lu, Y (corresponding author), Chinese Acad Sci, Inst Geodesy &amp; Geophys, State Key Lab Geodesy &amp; Earths Dynam, Wuhan 430077, Peoples R China.;Lu, Y (corresponding author), Univ Chinese Acad Sci, Beijing 100049, Peoples R China.</t>
  </si>
  <si>
    <t>gaocc@asch.whigg.ac.cn; luyang@whigg.ac.cn</t>
  </si>
  <si>
    <t>Gao, Chunchun/AAD-9621-2019; Zhang, Zizhan/F-5705-2016</t>
  </si>
  <si>
    <t>0001-5733</t>
  </si>
  <si>
    <t>CHINESE J GEOPHYS-CH</t>
  </si>
  <si>
    <t>Chinese J. Geophys.-Chinese Ed.</t>
  </si>
  <si>
    <t>10.6038/cjg20161107</t>
  </si>
  <si>
    <t>EB3WR</t>
  </si>
  <si>
    <t>WOS:000387300200007</t>
  </si>
  <si>
    <t>Johnson, F; White, CJ; van Dijk, A; Ekstrom, M; Evans, JP; Jakob, D; Kiem, AS; Leonard, M; Rouillard, A; Westra, S</t>
  </si>
  <si>
    <t>Johnson, Fiona; White, Christopher J.; van Dijk, Albert; Ekstrom, Marie; Evans, Jason P.; Jakob, Dorte; Kiem, Anthony S.; Leonard, Michael; Rouillard, Alexandra; Westra, Seth</t>
  </si>
  <si>
    <t>Natural hazards in Australia: floods</t>
  </si>
  <si>
    <t>CLIMATIC CHANGE</t>
  </si>
  <si>
    <t>NINO SOUTHERN-OSCILLATION; DAILY INTENSE RAINFALL; NON-STATIONARITY; MULTIDECADAL VARIABILITY; PRECIPITATION EXTREMES; TRENDS; RISK; STREAMFLOW; IMPACT; RESOLUTION</t>
  </si>
  <si>
    <t>Floods are caused by a number of interacting factors, making it remarkably difficult to explain changes in flood hazard. This paper reviews the current understanding of historical trends and variability in flood hazard across Australia. Links between flood and rainfall trends cannot be made due to the influence of climate processes over a number of spatial and temporal scales as well as landscape changes that affect the catchment response. There are also still considerable uncertainties in future rainfall projections, particularly for sub-daily extreme rainfall events. This is in addition to the inherent uncertainty in hydrological modelling such as antecedent conditions and feedback mechanisms. Research questions are posed based on the current state of knowledge. These include a need for high-resolution climate modelling studies and efforts in compiling and analysing databases of sub-daily rainfall and flood records. Finally there is a need to develop modelling frameworks that can deal with the interaction between climate processes at different spatio-temporal scales, so that historical flood trends can be better explained and future flood behaviour understood.</t>
  </si>
  <si>
    <t>[Johnson, Fiona] UNSW, Sch Civil &amp; Environm Engn, UNSW Water Res Ctr, Sydney, NSW, Australia; [White, Christopher J.] Univ Tasmania, Sch Engn &amp; ICT, Hobart, Tas, Australia; [White, Christopher J.] Univ Tasmania, Antarctic Climate &amp; Ecosyst Cooperat Res Ctr, Hobart, Tas, Australia; [van Dijk, Albert] Australian Natl Univ, Fenner Sch Environm &amp; Soc, Canberra, ACT, Australia; [Ekstrom, Marie] Commonwealth Sci &amp; Ind Res Org, Land &amp; Water, Canberra, ACT, Australia; [Evans, Jason P.] UNSW, Climate Change Res Ctr, Sydney, NSW, Australia; [Evans, Jason P.] UNSW, ARC Ctr Excellence Climate Syst Sci, Sydney, NSW, Australia; [Jakob, Dorte] Bur Meteorol, Environm &amp; Res Div, Melbourne, Vic, Australia; [Kiem, Anthony S.] Univ Newcastle, Fac Sci &amp; IT, Ctr Water Climate &amp; Land Use CWCL, Callaghan, NSW, Australia; [Leonard, Michael; Westra, Seth] Univ Adelaide, Sch Civil Environm &amp; Min Engn, Adelaide, SA, Australia; [Rouillard, Alexandra] Univ Western Australia, Sch Plant Biol, Crawley, Australia; [Rouillard, Alexandra] Univ Copenhagen, Ctr GeoGenet, Copenhagen K, Denmark</t>
  </si>
  <si>
    <t>University of New South Wales Sydney; University of Tasmania; Antarctic Climate &amp; Ecosystems Cooperative Research Centre (ACE CRC); University of Tasmania; Australian National University; Commonwealth Scientific &amp; Industrial Research Organisation (CSIRO); CSIRO Land &amp; Water; University of New South Wales Sydney; University of New South Wales Sydney; ARC Centre of Excellence for Climate System Science; Melbourne Genomics Health Alliance; Bureau of Meteorology - Australia; University of Newcastle; University of Adelaide; University of Western Australia; University of Copenhagen</t>
  </si>
  <si>
    <t>Johnson, F (corresponding author), UNSW, Sch Civil &amp; Environm Engn, UNSW Water Res Ctr, Sydney, NSW, Australia.</t>
  </si>
  <si>
    <t>f.johnson@unsw.edu.au</t>
  </si>
  <si>
    <t>Ekstrom, Marie/B-9225-2012; Kiem, Anthony/D-9307-2013; Evans, Jason P./F-3716-2011; Van Dijk, Albert/B-3106-2011; Leonard, Michael/AAP-1853-2021; Johnson, Fiona/B-4864-2010; Westra, Seth/C-8268-2009</t>
  </si>
  <si>
    <t>Ekstrom, Marie/0000-0001-9716-2337; Kiem, Anthony/0000-0002-3994-6958; Evans, Jason P./0000-0003-1776-3429; Van Dijk, Albert/0000-0002-6508-7480; Leonard, Michael/0000-0002-9519-3188; Rouillard, Alexandra/0000-0001-5778-6620; Johnson, Fiona/0000-0001-5708-1807; Westra, Seth/0000-0003-4023-6061</t>
  </si>
  <si>
    <t>Australian Research Council [FT110100576, DP40103679, DP150100411]</t>
  </si>
  <si>
    <t>Australian Research Council(Australian Research Council)</t>
  </si>
  <si>
    <t>This paper was a result of collaboration through the working group 'Trends and Extremes' as part of the Australian Water and Energy Exchanges Initiative (OzEWEX). J. Evans was supported by the Australian Research Council Future Fellowship FT110100576. A. Van Dijk was supported through Australian Research Council's Discovery Projects funding scheme (project number DP40103679). S. Westra and F. Johnson were supported through Australian Research Council's Discovery Project DP150100411. The constructive comments from the anonymous reviewers helped to improve the clarity of the paper.</t>
  </si>
  <si>
    <t>0165-0009</t>
  </si>
  <si>
    <t>1573-1480</t>
  </si>
  <si>
    <t>Clim. Change</t>
  </si>
  <si>
    <t>10.1007/s10584-016-1689-y</t>
  </si>
  <si>
    <t>EB7PE</t>
  </si>
  <si>
    <t>WOS:000387580100002</t>
  </si>
  <si>
    <t>Walsh, K; White, CJ; McInnes, K; Holmes, J; Schuster, S; Richter, H; Evans, JP; Di Luca, A; Warren, RA</t>
  </si>
  <si>
    <t>Walsh, Kevin; White, Christopher J.; McInnes, Kathleen; Holmes, John; Schuster, Sandra; Richter, Harald; Evans, Jason P.; Di Luca, Alejandro; Warren, Robert A.</t>
  </si>
  <si>
    <t>Natural hazards in Australia: storms, wind and hail</t>
  </si>
  <si>
    <t>EAST-COAST CYCLONES; SEVERE THUNDERSTORM; EXTRATROPICAL CYCLONES; CLIMATE; SYSTEMS; ENVIRONMENTS; VERIFICATION; SENSITIVITY; TORNADOES; WEATHER</t>
  </si>
  <si>
    <t>Current and potential future storm-related wind and hail hazard in Australia is reviewed. Confidence in the current incidence of wind hazard depends upon the type of storm producing the hazard. Current hail hazard is poorly quantified in most regions of Australia. Future projections of wind hazard indicate decreases in wind hazard in northern Australia, increases along the east coast and decreases in the south, although such projections are considerably uncertain and are more uncertain for small-scale storms than for larger storms. A number of research gaps are identified and recommendations made.</t>
  </si>
  <si>
    <t>[Walsh, Kevin] Univ Melbourne, Sch Earth Sci, Parkville, Vic, Australia; [White, Christopher J.] Univ Tasmania, Sch Engn &amp; ICT, Hobart, Tas, Australia; [White, Christopher J.] Univ Tasmania, Antarctic Climate &amp; Ecosyst Cooperat Res Ctr, Hobart, Tas, Australia; [McInnes, Kathleen] CSIRO Marine &amp; Atmospher Res, Aspendale, Vic, Australia; [Holmes, John] JDH Consulting, Kingston, Tas, Australia; [Richter, Harald] Australian Bur Meteorol, Melbourne, Vic, Australia; [Evans, Jason P.; Di Luca, Alejandro] UNSW, Climate Change Res Ctr, Sydney, NSW, Australia; [Evans, Jason P.; Di Luca, Alejandro] UNSW, ARC Ctr Excellence Climate Syst Sci, Sydney, NSW, Australia; [Warren, Robert A.] Monash Univ, Clayton, Vic, Australia</t>
  </si>
  <si>
    <t>University of Melbourne; University of Tasmania; University of Tasmania; Antarctic Climate &amp; Ecosystems Cooperative Research Centre (ACE CRC); Commonwealth Scientific &amp; Industrial Research Organisation (CSIRO); Bureau of Meteorology - Australia; University of New South Wales Sydney; ARC Centre of Excellence for Climate System Science; University of New South Wales Sydney; Monash University</t>
  </si>
  <si>
    <t>Walsh, K (corresponding author), Univ Melbourne, Sch Earth Sci, Parkville, Vic, Australia.</t>
  </si>
  <si>
    <t>kevin.walsh@unimelb.edu.au</t>
  </si>
  <si>
    <t>Di Luca, Alejandro/Y-4908-2019; Evans, Jason P./F-3716-2011; McInnes, Kathleen/A-7787-2012</t>
  </si>
  <si>
    <t>Di Luca, Alejandro/0000-0002-1481-2961; Evans, Jason P./0000-0003-1776-3429; Warren, Robert/0000-0003-4195-986X; Walsh, Kevin/0000-0002-1860-510X; McInnes, Kathleen/0000-0002-1810-7215</t>
  </si>
  <si>
    <t>NSW Office of Environment and Heritage; Australian Research Council [FT110100576]; Australian Research Council [FT110100576] Funding Source: Australian Research Council</t>
  </si>
  <si>
    <t>NSW Office of Environment and Heritage; Australian Research Council(Australian Research Council); Australian Research Council(Australian Research Council)</t>
  </si>
  <si>
    <t>The authors would like to thank their respective institutions for supporting this work. J.P. Evans is supported by funding from the NSW Office of Environment and Heritage funded NSW/ACT Regional Climate Modelling (NARCliM) Project and the Australian Research Council as part of the Future Fellowship FT110100576.</t>
  </si>
  <si>
    <t>10.1007/s10584-016-1737-7</t>
  </si>
  <si>
    <t>WOS:000387580100004</t>
  </si>
  <si>
    <t>Peixoto, RJM; Miranda, KR; Lobo, LA; Granato, A; Maalouf, PD; de Jesus, HE; Rachid, CTCC; Moraes, SR; dos Santos, HF; Peixoto, RS; Rosado, AS; Domingues, RMCP</t>
  </si>
  <si>
    <t>Marques Peixoto, Rafael Jose; Miranda, Karla Rodrigues; Lobo, Leandro Araujo; Granato, Alessandra; Maalouf, Pedro de Carvalho; de Jesus, Hugo Emiliano; Rachid, Caio T. C. C.; Moraes, Saulo Roni; dos Santos, Henrique Fragoso; Peixoto, Raquel Silva; Rosado, Alexandre Soares; Cavalcanti Pilotto Domingues, Regina Maria</t>
  </si>
  <si>
    <t>Antarctic strict anaerobic microbiota from Deschampsia antarctica vascular plants rhizosphere reveals high ecology and biotechnology relevance</t>
  </si>
  <si>
    <t>Anaerobic bacteria; Antarctic; Rhizosphere; Metabolism</t>
  </si>
  <si>
    <t>16S RIBOSOMAL-RNA; PROKARYOTIC DIVERSITY; BACTERIAL DIVERSITY; ADMIRALTY BAY; SOIL</t>
  </si>
  <si>
    <t>The Antarctic soil microbial community has a crucial role in the growth and stabilization of higher organisms, such as vascular plants. Analysis of the soil microbiota composition in that extreme environmental condition is crucial to understand the ecological importance and biotechnological potential. We evaluated the efficiency of isolation and abundance of strict anaerobes in the vascular plant Deschampsia antarctica rhizosphere collected in the Antarctic's Admiralty Bay and associated biodiversity to metabolic perspective and enzymatic activity. Using anaerobic cultivation methods, we identified and isolated a range of microbial taxa whose abundance was associated with Plant Growth-Promoting Bacteria (PGPB) and presences were exclusively endemic to the Antarctic continent. Firmicutes was the most abundant phylum (73 %), with the genus Clostridium found as the most isolated taxa. Here, we describe two soil treatments (oxygen gradient and heat shock) and 27 physicochemical culture conditions were able to increase the diversity of anaerobic bacteria isolates. Heat shock treatment allowed to isolate a high percentage of new species (63.63 %), as well as isolation of species with high enzymatic activity (80.77 %), which would have potential industry application. Our findings contribute to the understanding of the role of anaerobic microbes regarding ecology, evolutionary, and biotechnological features essential to the Antarctic ecosystem.</t>
  </si>
  <si>
    <t>[Marques Peixoto, Rafael Jose; Miranda, Karla Rodrigues; Lobo, Leandro Araujo; Cavalcanti Pilotto Domingues, Regina Maria] Univ Fed Rio de Janeiro, Inst Microbiol Paulo de Goes, Dept Microbiol Med, Ilha Fundao,CCS,IMPG,Lab Biol Anaerobios, Ave Carlos Chagas Filho 373,Bloco 1,2 Andar, BR-21941902 Rio De Janeiro, Brazil; [Granato, Alessandra] Univ Fed Rio de Janeiro, Inst Microbiol Paulo de Goes, Lab Integrado Imunol, Rio De Janeiro, Brazil; [Maalouf, Pedro de Carvalho] Int Coll, Hamra Bliss St,POB 113-5373, Beirut, Lebanon; [de Jesus, Hugo Emiliano; Rachid, Caio T. C. C.; dos Santos, Henrique Fragoso; Peixoto, Raquel Silva; Rosado, Alexandre Soares] Univ Fed Rio de Janeiro, Inst Microbiol Paulo de Goes, Lab Ecol Microbiana Mol, Rio De Janeiro, Brazil; [Moraes, Saulo Roni] Univ Severino Sombra, Rio De Janeiro, Brazil; [Moraes, Saulo Roni] Univ Veiga de Almeida, Rio De Janeiro, Brazil</t>
  </si>
  <si>
    <t>Universidade Federal do Rio de Janeiro; Universidade Federal do Rio de Janeiro; Universidade Federal do Rio de Janeiro; Universidade Severino Sombra; Universidade Veiga de Almeida (UVA)</t>
  </si>
  <si>
    <t>Peixoto, RJM (corresponding author), Univ Fed Rio de Janeiro, Inst Microbiol Paulo de Goes, Dept Microbiol Med, Ilha Fundao,CCS,IMPG,Lab Biol Anaerobios, Ave Carlos Chagas Filho 373,Bloco 1,2 Andar, BR-21941902 Rio De Janeiro, Brazil.</t>
  </si>
  <si>
    <t>rafaeljmp@gmail.com</t>
  </si>
  <si>
    <t>Miranda, Karla/V-3411-2019; Santos, Henrique Fragoso dos/G-3697-2014; Santos, Henrique/AAI-9410-2020; Peixoto, Raquel/V-2554-2019; Domingues, Regina/V-3046-2019; Rosado, Alexandre Soares/G-1955-2012; Lobo, Leandro/L-7584-2013; Tavora Coelho da Costa Rachid, Caio/J-5001-2016</t>
  </si>
  <si>
    <t>Miranda, Karla/0000-0002-5246-7185; Santos, Henrique Fragoso dos/0000-0001-8850-7399; Santos, Henrique/0000-0001-8850-7399; Rosado, Alexandre Soares/0000-0001-5135-1394; Lobo, Leandro/0000-0002-5930-7926; Tavora Coelho da Costa Rachid, Caio/0000-0003-3115-5702; Peixoto, Raquel/0000-0002-9536-3132</t>
  </si>
  <si>
    <t>Coordenacao de Aperfeicoamento de Pessoal de Nivel Superior (CAPES); Conselho Nacional de Desenvolvimento Cientifico e Tecnologico (CNPq); Fundacao Carlos Chagas Filho de Amparo a Pesquisa do Estado do Rio de Janeiro (FAPERJ)</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</si>
  <si>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Carlos Chagas Filho de Amparo a Pesquisa do Estado do Rio de Janeiro (FAPERJ)(Fundacao Carlos Chagas Filho de Amparo a Pesquisa do Estado do Rio De Janeiro (FAPERJ))</t>
  </si>
  <si>
    <t>The authors also thank Coordenacao de Aperfeicoamento de Pessoal de Nivel Superior (CAPES), Conselho Nacional de Desenvolvimento Cientifico e Tecnologico (CNPq), and Fundacao Carlos Chagas Filho de Amparo a Pesquisa do Estado do Rio de Janeiro (FAPERJ) for fellowships and financial support.</t>
  </si>
  <si>
    <t>SHIROYAMA TRUST TOWER 5F, 4-3-1 TORANOMON, MINATO-KU, TOKYO, 105-6005, JAPAN</t>
  </si>
  <si>
    <t>10.1007/s00792-016-0878-y</t>
  </si>
  <si>
    <t>EB3NB</t>
  </si>
  <si>
    <t>WOS:000387270500006</t>
  </si>
  <si>
    <t>Pastene, LA; Goto, M</t>
  </si>
  <si>
    <t>Pastene, Luis A.; Goto, Mutsuo</t>
  </si>
  <si>
    <t>Genetic characterization and population genetic structure of the Antarctic minke whale Balaenoptera bonaerensis in the Indo-Pacific region of the Southern Ocean</t>
  </si>
  <si>
    <t>FISHERIES SCIENCE</t>
  </si>
  <si>
    <t>Antarctic; Feeding grounds; Genetics; Antarctic minke whale</t>
  </si>
  <si>
    <t>HUMPBACK WHALE; SEQUENCES; AREAS</t>
  </si>
  <si>
    <t>The population genetic structure of the Antarctic minke whale in the Antarctic sector corresponding to the Indo-Pacific was investigated using the mitochondrial DNA control region sequence (338 bp) and microsatellite DNA at 12 loci. Whale samples were obtained in JARPAII (Japanese Whale Research Program under Special Permit in the Antarctic-Phase II) surveys performed during the austral summer seasons of 2005/06 to 2010/11. The Indian Sector comprised the area between 35A degrees and 130A degrees E, while the Pacific Sector was between 165A degrees E and 145A degrees W. The mtDNA/nDNA sample sizes in the Indian and Pacific sectors were 1210/1372 and 795/882 animals, respectively. The level of genetic diversity was high for both genomes, and was similar for the two sectors. In both sectors, the mismatch distribution for whales did not suggest a population at equilibrium. Results of a heterogeneity test showed significant genetic differences between whales in the two sectors, suggesting that different populations inhabit the Pacific and Indian sectors of the Antarctic. Microsatellite DNA analyses showed more dispersal in males than females, and also some degree of annual variation. Significant departure from Hardy-Weinberg equilibrium suggested some geographical overlap of the populations in the feeding grounds. The two populations identified in the Antarctic feeding areas of the Indian and Pacific sectors could be related to the suggested breeding areas in the eastern Indian Ocean and western South Pacific, respectively. The segregation of the populations in the Antarctic feeding grounds could be explained by the fidelity of whales to specific areas with krill concentrations.</t>
  </si>
  <si>
    <t>[Pastene, Luis A.; Goto, Mutsuo] Inst Cetacean Res, Chuo Ku, Toyomi Cho 4-5, Tokyo 1040055, Japan</t>
  </si>
  <si>
    <t>Pastene, LA (corresponding author), Inst Cetacean Res, Chuo Ku, Toyomi Cho 4-5, Tokyo 1040055, Japan.</t>
  </si>
  <si>
    <t>pastene@cetacean.jp</t>
  </si>
  <si>
    <t>0919-9268</t>
  </si>
  <si>
    <t>1444-2906</t>
  </si>
  <si>
    <t>FISHERIES SCI</t>
  </si>
  <si>
    <t>Fish. Sci.</t>
  </si>
  <si>
    <t>10.1007/s12562-016-1025-5</t>
  </si>
  <si>
    <t>EB4IU</t>
  </si>
  <si>
    <t>WOS:000387335500003</t>
  </si>
  <si>
    <t>Viviant, M; Jeanniard-du-Dot, T; Monestiez, P; Authier, M; Guinet, C</t>
  </si>
  <si>
    <t>Viviant, Morgane; Jeanniard-du-Dot, Tiphaine; Monestiez, Pascal; Authier, Matthieu; Guinet, Christophe</t>
  </si>
  <si>
    <t>Bottom time does not always predict prey encounter rate in Antarctic fur seals</t>
  </si>
  <si>
    <t>FUNCTIONAL ECOLOGY</t>
  </si>
  <si>
    <t>aerobic diving limit; Antarctic fur seals; diving behaviour; foraging depth; foraging strategies</t>
  </si>
  <si>
    <t>BREATH-HOLD DIVERS; ARCTOCEPHALUS-GAZELLA; OPTIMAL ALLOCATION; FORAGING SUCCESS; WEDDELL SEALS; PATCH-USE; TESTING PREDICTIONS; FEEDING-BEHAVIOR; DIVING BEHAVIOR; DECISIONS</t>
  </si>
  <si>
    <t>Optimal foraging models applied to breath-holding divers predict that diving predators should optimize the time spent foraging at the bottom of dives depending on prey encounter rate, distance to prey patch (depth) and physiological constraints. We tested this hypothesis on a free-ranging diving marine predator, the Antarctic fur seal Arctocephalus gazella, equipped with accelerometers or Hall sensors (n=11) that recorded mouth-opening events, a proxy for prey capture attempts and thus feeding events. Over the 5896 dives analysed (&gt;15m depth), the mean number of mouth-opening events per dive was 121169 (meanSD). Overall, 82% of mouth-openings occurred at the bottom of dives. As predicted, fur seals increased their inferred foraging time at the bottom of dives with increasing patch distance (depth), irrespective of the number of mouth-openings. For dives shallower than 55m, the mean bottom duration of dives without mouth-openings was shorter than for dives with mouth-opening events. However, this difference was only due to the occurrence of V-shaped dives with short bottom durations (0 or 1s). When removing those V-shaped dives, bottom duration was not related to the presence of mouth-openings anymore. Thus, the decision to abandon foraging is likely related to other information about prey availability than prey capture attempts (i.e. sensory cues) that seals collect during the descent phase. We did not observe V-shaped dives for dives deeper than 55m, threshold beyond which the mean dive duration exceeded the apparent aerobic dive limit. For dives deeper than 55m, seals kept on foraging at bottom irrespective of the number of mouth-openings performed. Most dives occurred at shallower depths (30-55m) than the 60m depth of highest foraging efficiency (i.e. of greatest number of mouth-opening events per dive). This is likely related to physiological constraints during deeper dives. We suggest that foraging decisions are more complex than predicted by current theory and highlight the importance of the information collected by the predator during the descent as well as its physiological constraints. Ultimately, this will help establishing reliable predictive foraging models for marine predators based on diving patterns only.</t>
  </si>
  <si>
    <t>[Viviant, Morgane; Monestiez, Pascal; Authier, Matthieu; Guinet, Christophe] Ctr Etud Biol Chize, CNRS, UMR ULR 7372, F-79360 Villiers En Bois, France; [Jeanniard-du-Dot, Tiphaine] Univ British Columbia, Marine Mammal Res Unit, 2202 Main Mall,AERL Bldg, Vancouver, BC V6T 1Z4, Canada; [Monestiez, Pascal] INRA, Unite Biostat &amp; Proc Spatiaux, Site Agroparc, F-84914 Avignon, France</t>
  </si>
  <si>
    <t>Centre National de la Recherche Scientifique (CNRS); University of British Columbia; INRAE</t>
  </si>
  <si>
    <t>Guinet, C (corresponding author), Ctr Etud Biol Chize, CNRS, UMR ULR 7372, F-79360 Villiers En Bois, France.</t>
  </si>
  <si>
    <t>guinet@cebc.cnrs.fr</t>
  </si>
  <si>
    <t>Guinet, Christophe/AAR-8457-2020; Jeanniard, Tiphaine/ABF-8836-2020</t>
  </si>
  <si>
    <t>Jeanniard, Tiphaine/0000-0003-1985-8325; Monestiez, Pascal/0000-0001-5851-2699; Authier, Matthieu/0000-0001-7394-1993</t>
  </si>
  <si>
    <t>French 'Ministere de la Recherche' through the Pierre et Marie Curie University</t>
  </si>
  <si>
    <t>We thank J.-B. Pons, Y. Charbonnier, Y. Watanabe, C. Cotte, O. Gore, B. Planade, R. Ferriere and Q. Delorme for help in the field. Special thanks to J. Arnould, S. Hooker, B. Battaile, H. Viviant, A. Martin, J. Morinay, F. and E. Langlois for their corrections on the manuscript. Thanks also to C. Bost, Y. Cherel, P. Tixier, C. Cotte, F. Samaran, A,. C. Dragon and D. Pinaud for their helpful advices at the different stages of the manuscript. Data were collected with the support of Institut Paul Emile Victor (Program 109, Resp. H. Weimerskirch) and of Terre Australes et Antarctiques Francaises. M. Viviant was supported by a PhD grant from the French 'Ministere de la Recherche' through the Pierre et Marie Curie University.</t>
  </si>
  <si>
    <t>0269-8463</t>
  </si>
  <si>
    <t>1365-2435</t>
  </si>
  <si>
    <t>FUNCT ECOL</t>
  </si>
  <si>
    <t>Funct. Ecol.</t>
  </si>
  <si>
    <t>10.1111/1365-2435.12675</t>
  </si>
  <si>
    <t>EB4SC</t>
  </si>
  <si>
    <t>WOS:000387362600011</t>
  </si>
  <si>
    <t>Kishore, P; Basha, G; Ratnam, MV; Velicogna, I; Ouarda, TBMJ; Rao, DN</t>
  </si>
  <si>
    <t>Kishore, P.; Basha, Ghouse; Ratnam, M. Venkat; Velicogna, Isabella; Ouarda, T. B. M. J.; Rao, D. Narayana</t>
  </si>
  <si>
    <t>Evaluating CMIP5 models using GPS radio occultation COSMIC temperature in UTLS region during 2006-2013: twenty-first century projection and trends</t>
  </si>
  <si>
    <t>UTLS; Evaluation; Temperature; CMIP5; COSMIC GPSRO; Projections; Trends</t>
  </si>
  <si>
    <t>GLOBAL CLIMATE MODEL; TROPOPAUSE HEIGHT; STRATOSPHERE; SIMULATIONS; VARIABILITY; CIRCULATION; TROPOSPHERE; ATMOSPHERE; OCEAN; CYCLE</t>
  </si>
  <si>
    <t>This paper provides a first overview of the performance of global climate models participating in the Coupled Model Inter-Comparison Project phase 5 (CMIP5) in simulating the upper troposphere and lower stratosphere (UTLS) temperatures. Temperature from CMIP5 models is evaluated with high resolution global positioning system radio occultation (GPSRO) constellation observing system for meteorology, ionosphere, and climate (COSMIC) data during the period of July 2006-December 2013. Future projections of 17 CMIP5 models based on the representative concentration pathway (RCP) 8.5 scenarios are utilized to assess model performance and to identify the biases in the temperature in the UTLS region at eight different pressure levels. The evaluations were carried out vertically, regionally, and globally to understand the temperature uncertainties in CMIP5 models. It is found that the CMIP5 models successfully reproduce the general features of temperature structure in terms of vertical, annual, and inter-annual variation. The ensemble mean of CMIP5 models compares well with the COSMIC GPSRO data with a mean difference of +/- 1 K. In the tropical region, temperature biases vary from one model to another. The spatial difference between COSMIC and ensemble mean reveals that at 100 hPa, the models show a bias of about +/- 2 K. With increase in altitude the bias decreases and turns into a cold bias over the tropical and Antarctic regions. The future projections of the CMIP5 models were presented during 2006-2099 under the RCP 8.5 scenarios. Projections show a warming trend at 300, 200, and 100 hPa levels over a wide region of 60A degrees N-45A degrees S. The warming decreases rapidly and becomes cooling with increase in altitudes by the end of twenty-first century. Significant cooling is observed at 30, 20, and 10 hPa levels. At 300/10 hPa, the temperature trend increases/decreases by similar to 0.82/0.88 K/decade at the end of twenty-first century under RCP 8.5 scenarios.</t>
  </si>
  <si>
    <t>[Kishore, P.; Velicogna, Isabella] Univ Calif Irvine, Dept Earth Syst Sci, Irvine, CA 92697 USA; [Basha, Ghouse; Ouarda, T. B. M. J.] Masdar Inst Sci &amp; Technol, Inst Ctr Water &amp; Environm iWATER, POB 54224, Abu Dhabi, U Arab Emirates; [Ratnam, M. Venkat] Natl Atmospher Res Lab, Tirupati, Andhra Pradesh, India; [Ouarda, T. B. M. J.] Natl Inst Sci Res, INRS ETE, Quebec City, PQ G1K9A9, Canada; [Rao, D. Narayana] SRM Univ, SRM Res Inst, Madras, Tamil Nadu, India</t>
  </si>
  <si>
    <t>University of California System; University of California Irvine; Khalifa University of Science &amp; Technology; Department of Space (DoS), Government of India; National Atmospheric Research Laboratory (NARL); University of Quebec; Institut national de la recherche scientifique (INRS); SRM Institute of Science &amp; Technology Chennai</t>
  </si>
  <si>
    <t>Basha, G (corresponding author), Masdar Inst Sci &amp; Technol, Inst Ctr Water &amp; Environm iWATER, POB 54224, Abu Dhabi, U Arab Emirates.</t>
  </si>
  <si>
    <t>mdbasha@gmail.com</t>
  </si>
  <si>
    <t>Basha, Ghouse Shaik/N-6171-2015; Venkat Ratnam, Madineni/AFW-0936-2022; Velicogna, Isabella/R-5561-2018</t>
  </si>
  <si>
    <t>Venkat Ratnam, M./0000-0002-3882-2523</t>
  </si>
  <si>
    <t>9-10</t>
  </si>
  <si>
    <t>10.1007/s00382-016-3024-8</t>
  </si>
  <si>
    <t>DZ7QV</t>
  </si>
  <si>
    <t>WOS:000386062000032</t>
  </si>
  <si>
    <t>DeMets, C; Merkouriev, S</t>
  </si>
  <si>
    <t>DeMets, C.; Merkouriev, S.</t>
  </si>
  <si>
    <t>High-resolution reconstructions of Pacific-North America plate motion: 20 Ma to present</t>
  </si>
  <si>
    <t>Plate motions; Continental margins: transform; North America</t>
  </si>
  <si>
    <t>SAN-ANDREAS-FAULT; GULF-OF-CALIFORNIA; NEOGENE CRUSTAL ROTATIONS; GPS VELOCITY-FIELD; BAJA-CALIFORNIA; TECTONIC EVOLUTION; FINITE-ROTATIONS; COAST RANGES; SLIP RATES; CENOZOIC TECTONICS</t>
  </si>
  <si>
    <t>We present new rotations that describe the relative positions and velocities of the Pacific and North America plates at 22 times during the past 19.7 Myr, offering a parts per thousand 1-Myr temporal resolution for studies of the geotectonic evolution of western North America and other plate boundary locations. Derived from a parts per thousand 18 000 magnetic reversal, fracture zone and transform fault identifications from the Pacific-Antarctic-Nubia-North America plate circuit and the velocities of 935 GPS sites on the Pacific and North America plates, the new rotations and GPS-derived angular velocity indicate that the rate of motion between the two plates increased by a parts per thousand 70 per cent from 19.7 to 9 +/- 1 Ma, but changed by less than 2 per cent since 8 Ma and even less since 4.2 Ma. The rotations further suggest that the relative plate direction has rotated clockwise for most of the past 20 Myr, with a possible hiatus from 9 to 5 Ma. This conflicts with previously reported evidence for a significant clockwise change in the plate direction at a parts per thousand 8-6 Ma. Our new rotations indicate that Pacific plate motion became obliquely convergent with respect to the San Andreas Fault of central California at 5.2-4.2 Ma, in agreement with geological evidence for a Pliocene onset of folding and faulting in central California. Our reconstruction of the northern Gulf of California at 6.3 Ma differs by only 15-30 km from structurally derived reconstructions after including 3-4 km Myr(-1) of geodetically measured slip between the Baja California Peninsula and Pacific plate. This implies an approximate 15-30 km upper bound for plate non-rigidity integrated around the global circuit at 6.3 Ma. A much larger 200 +/- 54 km discrepancy between our reconstruction of the northern Gulf of California at 12 Ma and that estimated from structural and marine geophysical observations suggests that faults in northwestern Mexico or possibly west of the Baja California Peninsula accommodated large amounts of obliquely divergent dextral shear from 12-6.3 Ma. Pacific-North America plate motion since 16 Myr estimated with our new rotations agrees well with structurally summed deformation along two transects of western North America between the Colorado Plateau and western California, with a difference as small as 40 km out of 760 km of margin-parallel motion. A strong resemblance between a 20-Myr-to-present flow line reconstructed with our new rotations and the traces of the 700-km-long Queen Charlotte Fault and continental slope west of Canada suggests that the plate margin geometry was influenced by the passage of the Pacific plate and Yakutat block. The new rotations also suggest that (1) oblique convergence west of Canada initiated at 12-11 Ma, 5-8 Myr earlier than previously estimated, (2) no significant margin-normal shortening has occurred in areas of Canada located east of the Haida Gwaii archipelago since 20 Ma and (3) Pacific plate underthrusting of Haida Gwaii has accommodated the margin-normal component of plate motion since 12-11 Ma. Our rotations suggest an a parts per thousand 70 per cent increase in the rate that the Pacific plate has been consumed by subduction beneath the Aleutian arc since 19.7 Ma, with still-unknown consequences for the rate of arc magmatism.</t>
  </si>
  <si>
    <t>[DeMets, C.] Univ Wisconsin, Dept Geosci, Madison, WI 53706 USA; [Merkouriev, S.] Russian Acad Sci, Pushkov Inst Terr Magnetism, St Petersburg Filial 1 Mendeleevskaya Liniya, St Petersburg 199034, Russia; [Merkouriev, S.] St Petersburg State Univ, Inst Earth Sci, Univ Skaya Nab 7-9, St Petersburg 199034, Russia</t>
  </si>
  <si>
    <t>Merkuryev, Sergey/K-1202-2015</t>
  </si>
  <si>
    <t>Russian Foundation for Basic Research [06-05-64297]; U.S. National Science Foundation [OCE-1433323]; National Science Foundation [EAR-0350028, EAR-0732947]; NSF [EAR-1261833]; Division Of Ocean Sciences; Directorate For Geosciences [1433323] Funding Source: National Science Foundation</t>
  </si>
  <si>
    <t>Russian Foundation for Basic Research(Russian Foundation for Basic Research (RFBR)Spanish Government); U.S. National Science Foundation(National Science Foundation (NSF)); National Science Foundation(National Science Foundation (NSF)); NSF(National Science Foundation (NSF)); Division Of Ocean Sciences; Directorate For Geosciences(National Science Foundation (NSF)NSF - Directorate for Geosciences (GEO))</t>
  </si>
  <si>
    <t>We thank Peter Molnar and Joann Stock for constructive reviews and further thank Joann Stock for providing rotations from Atwater &amp; Stock (1998) and spline-smoothing software from Hanna &amp; Chang (2000). This work was supported by grant 06-05-64297 from the Russian Foundation for Basic Research and U.S. National Science Foundation grant OCE-1433323. Continuous GPS data were provided by (1) the Plate Boundary Observatory operated by UNAVCO and supported by National Science Foundation grants EAR-0350028 and EAR-0732947, (2) the Global GNSS Network operated by UNAVCO for NASA Jet Propulsion Laboratory under NSF Cooperative Agreement No. EAR-1261833, (3) the Scripps Orbit and Permanent Array Center and (4) the NOAA CORS archive. Figures were drafted using Generic Mapping Tools software (Wessel &amp; Smith 1991).</t>
  </si>
  <si>
    <t>10.1093/gji/ggw305</t>
  </si>
  <si>
    <t>EA2VH</t>
  </si>
  <si>
    <t>WOS:000386453200008</t>
  </si>
  <si>
    <t>Rexer, M; Hirt, C; Claessens, S; Tenzer, R</t>
  </si>
  <si>
    <t>Rexer, Moritz; Hirt, Christian; Claessens, Sten; Tenzer, Robert</t>
  </si>
  <si>
    <t>Layer-Based Modelling of the Earth's Gravitational Potential up to 10-km Scale in Spherical Harmonics in Spherical and Ellipsoidal Approximation</t>
  </si>
  <si>
    <t>Gravity forward modelling; Ellipsoidal topographic potential; Harmonic combination method; Spherical harmonics; Spherical approximation; Ellipsoidal approximation; Layer concept; Earth2014</t>
  </si>
  <si>
    <t>GRAVITY; FIELD; TOPOGRAPHY; DERIVATIVES; REDUCTIONS</t>
  </si>
  <si>
    <t>Global forward modelling of the Earth's gravitational potential, a classical problem in geophysics and geodesy, is relevant for a range of applications such as gravity interpretation, isostatic hypothesis testing or combined gravity field modelling with high and ultra-high resolution. This study presents spectral forward modelling with volumetric mass layers to degree 2190 for the first time based on two different levels of approximation. In spherical approximation, the mass layers are referred to a sphere, yielding the spherical topographic potential. In ellipsoidal approximation where an ellipsoid of revolution provides the reference, the ellipsoidal topographic potential (ETP) is obtained. For both types of approximation, we derive a mass layer concept and study it with layered data from the Earth2014 topography model at 5-arc-min resolution. We show that the layer concept can be applied with either actual layer density or density contrasts w.r.t. a reference density, without discernible differences in the computed gravity functionals. To avoid aliasing and truncation errors, we carefully account for increased sampling requirements due to the exponentiation of the boundary functions and consider all numerically relevant terms of the involved binominal series expansions. The main outcome of our work is a set of new spectral models of the Earth's topographic potential relying on mass layer modelling in spherical and in ellipsoidal approximation. We compare both levels of approximations geometrically, spectrally and numerically and quantify the benefits over the frequently used rock-equivalent topography (RET) method. We show that by using the ETP it is possible to avoid any displacement of masses and quantify also the benefit of mapping-free modelling. The layer-based forward modelling is corroborated by GOCE satellite gradiometry, by in-situ gravity observations from recently released Antarctic gravity anomaly grids and degree correlations with spectral models of the Earth's observed geopotential. As the main conclusion of this work, the mass layer approach allows more accurate modelling of the topographic potential because it avoids 10-20-mGal approximation errors associated with RET techniques. The spherical approximation is suited for a range of geophysical applications, while the ellipsoidal approximation is preferable for applications requiring high accuracy or high resolution.</t>
  </si>
  <si>
    <t>[Rexer, Moritz; Hirt, Christian] Tech Univ Munich, Inst Astron &amp; Phys Geodesy, Inst Adv Study, 21 Arcisstr, D-80333 Munich, Germany; [Claessens, Sten] Curtin Univ, Western Australian Geodesy Grp, Inst Geosci Res, Dept Spatial Sci, GPO Box U1987, Perth, WA 6845, Australia; [Tenzer, Robert] Wuhan Univ, Key Lab Geospace Environm &amp; Geodesy, Wuhan, Peoples R China; [Tenzer, Robert] Univ West Bohemia, NTIS, Plzen, Czech Republic</t>
  </si>
  <si>
    <t>Technical University of Munich; Curtin University; Wuhan University; University of West Bohemia Pilsen</t>
  </si>
  <si>
    <t>Rexer, M (corresponding author), Tech Univ Munich, Inst Astron &amp; Phys Geodesy, Inst Adv Study, 21 Arcisstr, D-80333 Munich, Germany.</t>
  </si>
  <si>
    <t>m.rexer@tum.de; c.hirt@tum.de; s.claessens@curtin.edu.au; rtenzer@sgg.whu.edu.cn</t>
  </si>
  <si>
    <t>TENZER, Robert/C-3960-2019; Claessens, Sten/H-7153-2012</t>
  </si>
  <si>
    <t>TENZER, Robert/0000-0002-9915-4960; Christian, Hirt/0000-0002-3176-7939; Claessens, Sten/0000-0003-4935-6916</t>
  </si>
  <si>
    <t>German National Research Foundation (DFG) [Hi 1760/1]; Technische Universitat Munchen - Institute for Advanced Study; German Excellence Initiative [291763]; National Program of Sustainability [LO1506]</t>
  </si>
  <si>
    <t>German National Research Foundation (DFG)(German Research Foundation (DFG)); Technische Universitat Munchen - Institute for Advanced Study; German Excellence Initiative; National Program of Sustainability</t>
  </si>
  <si>
    <t>This study received support from the German National Research Foundation (DFG), project no Hi 1760/1. It was also supported by the Technische Universitat Munchen - Institute for Advanced Study, funded by the German Excellence Initiative (and the European Union Seventh Framework Programme under grant agreement no 291763). We also acknowledge the Czech Ministry of Education, Youth and Sport for a financial support by the National Program of Sustainability, Project No.: LO1506. We thank Simon Holmes and NGA for the distribution of the land/ocean masks used in the creation of EGM2008. We further thank Simon Holmes for generously sharing the software facilitating Jekeli's transform with us. We thank Torsten Mayer-Gurr and Jan-Martin Brockmann for providing the satellite gravity normal equations for this study. We further acknowledge the work of all other producers of data used in this work. Finally, we thank two anonymous reviewers for their detailed reviews.</t>
  </si>
  <si>
    <t>10.1007/s10712-016-9382-2</t>
  </si>
  <si>
    <t>EA4JP</t>
  </si>
  <si>
    <t>WOS:000386578500001</t>
  </si>
  <si>
    <t>Sumner, DY; Jungblut, AD; Hawes, I; Andersen, DT; Mackey, TJ; Wall, K</t>
  </si>
  <si>
    <t>Sumner, D. Y.; Jungblut, A. D.; Hawes, I.; Andersen, D. T.; Mackey, T. J.; Wall, K.</t>
  </si>
  <si>
    <t>Growth of elaborate microbial pinnacles in Lake Vanda, Antarctica</t>
  </si>
  <si>
    <t>GEOBIOLOGY</t>
  </si>
  <si>
    <t>ENVIRONMENTAL-CHANGE; CYANOBACTERIAL MATS; STROMATOLITES; COMMUNITIES; IRRADIANCE; MORPHOLOGY; DIVERSITY; BEHAVIOR; JOYCE; HOARE</t>
  </si>
  <si>
    <t>Microbial pinnacles in ice-covered Lake Vanda, McMurdo Dry Valleys, Antarctica, extend from the base of the ice to more than 50m water depth. The distribution of microbial communities, their photosynthetic potential, and pinnacle morphology affects the local accumulation of biomass, which in turn shapes pinnacle morphology. This feedback, plus environmental stability, promotes the growth of elaborate microbial structures. In Lake Vanda, all mats sampled from greater than 10m water depth contained pinnacles with a gradation in size from &lt;1-mm-tall tufts to pinnacles that were centimeters tall. Small pinnacles were cuspate, whereas larger ones had variable morphology. The largest pinnacles were up to similar to 30cm tall and had cylindrical bases and cuspate tops. Pinnacle biomass was dominated by cyanobacteria from the morphological and genomic groups Leptolyngbya, Phormidium, and Tychonema. The photosynthetic potential of these cyanobacterial communities was high to depths of several millimeters into the mat based on PAM fluorometry, and sufficient light for photosynthesis penetrated similar to 5mm into pinnacles. The distribution of photosynthetic potential and its correlation to pinnacle morphology suggests a working model for pinnacle growth. First, small tufts initiate from random irregularities in prostrate mat. Some tufts grow into pinnacles over the course of similar to 3years. As pinnacles increase in size and age, their interiors become colonized by a more diverse community of cyanobacteria with high photosynthetic potential. Biomass accumulation within this subsurface community causes pinnacles to swell, expanding laminae thickness and creating distinctive cylindrical bases and cuspate tops. This change in shape suggests that pinnacle morphology emerges from a specific distribution of biomass accumulation that depends on multiple microbial communities fixing carbon in different parts of pinnacles. Similarly, complex patterns of biomass accumulation may be reflected in the morphology of elaborate ancient stromatolites.</t>
  </si>
  <si>
    <t>[Sumner, D. Y.; Mackey, T. J.; Wall, K.] Univ Calif Davis, Dept Earth &amp; Planetary Sci, Davis, CA 95616 USA; [Jungblut, A. D.] Nat Hist Museum, Dept Life Sci, London, England; [Hawes, I.] Univ Canterbury, Gateway Antarctica, Christchurch, New Zealand; [Andersen, D. T.] Carl Sagan Ctr Study Life Universe, SETI Inst, Mountain View, CA USA; [Wall, K.] Univ Calif Davis, Microbiol Grad Grp, Davis, CA 95616 USA</t>
  </si>
  <si>
    <t>University of California System; University of California Davis; Natural History Museum London; University of Canterbury; University of California System; University of California Davis</t>
  </si>
  <si>
    <t>Sumner, DY (corresponding author), Univ Calif Davis, Dept Earth &amp; Planetary Sci, Davis, CA 95616 USA.</t>
  </si>
  <si>
    <t>dysumner@ucdavis.edu</t>
  </si>
  <si>
    <t>Andersen, Dale T/B-4816-2013; Sumner, Dawn/E-8744-2011</t>
  </si>
  <si>
    <t>Andersen, Dale T/0000-0001-8827-1259; Sumner, Dawn/0000-0002-7343-2061; Hawes, Ian/0000-0003-2471-6903; Mackey, Tyler/0000-0001-6377-3797</t>
  </si>
  <si>
    <t>NASA Exobiology Program [NNX13AI60G, NNX08AO19G]; New Zealand Foundation for Research, Science and Technology [CO1X0306]; NASA [NNX13AI60G, 472866, 97030, NNX08AO19G] Funding Source: Federal RePORTER</t>
  </si>
  <si>
    <t>NASA Exobiology Program(National Aeronautics &amp; Space Administration (NASA)); New Zealand Foundation for Research, Science and Technology(New Zealand Foundation for Research, Science and Technology); NASA(National Aeronautics &amp; Space Administration (NASA))</t>
  </si>
  <si>
    <t>This study was supported by funds from the NASA Exobiology Program (NNX13AI60G and NNX08AO19G) and the New Zealand Foundation for Research, Science and Technology (CO1X0306). We would like to acknowledge the logistic support of the US Antarctic Program and Antarctica New Zealand. We thank three anonymous reviewers for their helpful comments that led to significant improvements.</t>
  </si>
  <si>
    <t>1472-4677</t>
  </si>
  <si>
    <t>1472-4669</t>
  </si>
  <si>
    <t>Geobiology</t>
  </si>
  <si>
    <t>10.1111/gbi.12188</t>
  </si>
  <si>
    <t>Biology; Environmental Sciences; Geosciences, Multidisciplinary</t>
  </si>
  <si>
    <t>Life Sciences &amp; Biomedicine - Other Topics; Environmental Sciences &amp; Ecology; Geology</t>
  </si>
  <si>
    <t>DZ7EF</t>
  </si>
  <si>
    <t>WOS:000386026800003</t>
  </si>
  <si>
    <t>Ostrom, NE; Gandhi, H; Trubl, G; Murray, AE</t>
  </si>
  <si>
    <t>Ostrom, N. E.; Gandhi, H.; Trubl, G.; Murray, A. E.</t>
  </si>
  <si>
    <t>Chemodenitrification in the cryoecosystem of Lake Vida, Victoria Valley, Antarctica</t>
  </si>
  <si>
    <t>MCMURDO DRY VALLEYS; ANAEROBIC AMMONIUM OXIDATION; RATIO MASS-SPECTROMETRY; STABLE-ISOTOPE-RATIO; NITROUS-OXIDE; THERMAL-DECOMPOSITION; NITRATE REDUCTION; MARINE-SEDIMENTS; N2O; ICE</t>
  </si>
  <si>
    <t>Lake Vida, in the Victoria Valley of East Antarctica, is frozen, yet harbors liquid brine (similar to 20% salt, &gt;6 times seawater) intercalated in the ice below 16m. The brine has been isolated from the surface for several thousand years. The brine conditions (permanently dark, -13.4 degrees C, lack of O-2, and pH of 6.2) and geochemistry are highly unusual. For example, nitrous oxide (N2O) is present at a concentration among the highest reported for an aquatic environment. Only a minor O-17 anomaly was observed in N2O, indicating that this gas was predominantly formed in the lake. In contrast, the O-17 anomaly in nitrate (NO3-) in Lake Vida brine indicates that approximately half or more of the NO3- present is derived from atmospheric deposition. Lake Vida brine was incubated in the presence of N-15-enriched substrates for 40 days. We did not detect microbial nitrification, dissimilatory reduction of NO3- to ammonium (NH4+), anaerobic ammonium oxidation, or denitrification of N2O under the conditions tested. In the presence of N-15-enriched nitrite (NO2-), both N-2 and N2O exhibited substantial N-15 enrichments; however, isotopic enrichment declined with time, which is unexpected. Additions of N-15-NO2- alone and in the presence of HgCl2 and ZnCl2 to aged brine at -13 degrees C resulted in linear increases in the N-15 of N2O with time. As HgCl2 and ZnCl2 are effective biocides, we interpret N2O production in the aged brine to be the result of chemodenitrification. With this understanding, we interpret our results from the field incubations as the result of chemodenitrification stimulated by the addition of N-15-enriched NO2- and ZnCl2 and determined rates of N2O and N-2 production of 4.11-41.18 and 0.55-1.75 nmol L(-1)day(-1), respectively. If these rates are representative of natural production, the current concentration of N2O in Lake Vida could have been reached between 6 and 465years. Thus, chemodenitrification alone is sufficient to explain the high levels of N2O present in Lake Vida.</t>
  </si>
  <si>
    <t>[Ostrom, N. E.; Gandhi, H.] Michigan State Univ, Dept Integrat Biol, E Lansing, MI 48824 USA; [Trubl, G.; Murray, A. E.] Desert Res Inst, Div Earth &amp; Ecosyst Sci, Reno, NV USA</t>
  </si>
  <si>
    <t>Michigan State University; Nevada System of Higher Education (NSHE); Desert Research Institute NSHE</t>
  </si>
  <si>
    <t>Ostrom, NE (corresponding author), Michigan State Univ, Dept Integrat Biol, E Lansing, MI 48824 USA.</t>
  </si>
  <si>
    <t>ostromn@msu.edu</t>
  </si>
  <si>
    <t>gandhi, hasand/0000-0003-3866-9845</t>
  </si>
  <si>
    <t>NSF Geobiology and Low Temperature Geochemistry program [1053432]; Antarctic Programs [ANT-0739681, ANT-0739698]; NASA Icy Worlds NAI; Directorate For Geosciences; Division Of Earth Sciences [1053432] Funding Source: National Science Foundation</t>
  </si>
  <si>
    <t>NSF Geobiology and Low Temperature Geochemistry program(National Science Foundation (NSF)NSF - Directorate for Geosciences (GEO)); Antarctic Programs; NASA Icy Worlds NAI; Directorate For Geosciences; Division Of Earth Sciences(National Science Foundation (NSF)NSF - Directorate for Geosciences (GEO))</t>
  </si>
  <si>
    <t>We greatly appreciate the efforts of the entire team of scientists of the 2010 Lake Vida Expedition; in particular, we thank Brian Glazer for his efforts in the field. We appreciate support from a grant from the NSF Geobiology and Low Temperature Geochemistry program (# 1053432), Antarctic Programs (ANT-0739681 and ANT-0739698), and by NASA Icy Worlds NAI. We are grateful to the NSF Office of Polar Programs and Antarctic Support Contractor who provided logistical support. We thank Joel Savarino for providing the Delta17O data on NO3-. Jen Glass provided insight into the mechanism of NO2- reduction by ZnCl2, and this manuscript benefitted greatly from the comments by anonymous reviewers. The authors have no conflict of interests to declare.</t>
  </si>
  <si>
    <t>10.1111/gbi.12190</t>
  </si>
  <si>
    <t>WOS:000386026800004</t>
  </si>
  <si>
    <t>Ganasen, M; Yaacob, N; Abd Rahman, RNZR; Leow, ATC; Basri, M; Salleh, A; Ali, MSM</t>
  </si>
  <si>
    <t>Ganasen, Menega; Yaacob, Norhayati; Abd Rahman, Raja Noor Zaliha Raja; Leow, Adam Thean Chor; Basri, Mahiran; Salleh, Abu Bakar; Ali, Mohd Shukuri Mohamad</t>
  </si>
  <si>
    <t>Cold-adapted organic solvent tolerant alkalophilic family I.3 lipase from an Antarctic Pseudomonas</t>
  </si>
  <si>
    <t>INTERNATIONAL JOURNAL OF BIOLOGICAL MACROMOLECULES</t>
  </si>
  <si>
    <t>Family I.3 lipase; AMS8 lipase; Solvent tolerant; Cold-adapted; Pseudomonas sp.; Inclusion bodies; Alkaline lipase</t>
  </si>
  <si>
    <t>GENE CLONING; HETEROLOGOUS EXPRESSION; MICROBIAL LIPASES; MOLECULAR-CLONING; PROTEIN; PURIFICATION; FLUORESCENS; STRAIN; DENATURATION; STABILITY</t>
  </si>
  <si>
    <t>Lipolytic enzymes with cold adaptation are gaining increasing interest due to their biotechnological prospective. Previously, a cold adapted family 1.3 lipase (AMS8 lipase) was isolated from an Antarctic Pseudomonas. AMS8 lipase was largely expressed in insoluble form. The refolded His-tagged recombinant AMS8 lipase was purified with 23.0% total recovery and purification factor of 9.7. The purified AMS8 lipase migrated as a single band with a molecular weight approximately 65 kDa via electrophoresis. AMS8 lipase was highly active at 30 degrees C at pH 10. The half-life of AMS8 lipase was reported at 4 and 2 h under the incubation of 30 and 40 degrees C, respectively. The lipase was stable over a broad range of pH. It showed enhancement effect in its relative activity under the presence of Li+, Na+, Rb+ and Cs+ after 30 min treatment. Heavy metal ions such as Cu2+, Fe3+ and Zn2+ inhibited AMS8 activity. This cold adapted alkalophilic AMS lipase was also active in various organic solvent of different polarity. These unique properties of this biological macromolecule will provide considerable potential for many biotechnological applications and organic synthesis at low temperature. (C) 2016 Elsevier B.V. All rights reserved.</t>
  </si>
  <si>
    <t>[Ganasen, Menega; Yaacob, Norhayati; Abd Rahman, Raja Noor Zaliha Raja; Leow, Adam Thean Chor; Basri, Mahiran; Salleh, Abu Bakar; Ali, Mohd Shukuri Mohamad] Univ Putra Malaysia, Enzyme &amp; Microbial Technol Res Ctr EMTech, Serdang 43400, Selangor, Malaysia; [Ganasen, Menega; Yaacob, Norhayati; Abd Rahman, Raja Noor Zaliha Raja; Leow, Adam Thean Chor; Salleh, Abu Bakar; Ali, Mohd Shukuri Mohamad] Univ Putra Malaysia, Fac Biotechnol &amp; Biomol Sci, Serdang 43400, Selangor, Malaysia; [Basri, Mahiran] Univ Putra Malaysia, Fac Sci, Serdang 43400, Selangor, Malaysia</t>
  </si>
  <si>
    <t>Universiti Putra Malaysia; Universiti Putra Malaysia; Universiti Putra Malaysia</t>
  </si>
  <si>
    <t>Ali, MSM (corresponding author), Univ Putra Malaysia, Fac Biotechnol &amp; Biomol Sci, Serdang 43400, Selangor, Malaysia.</t>
  </si>
  <si>
    <t>mshukuri@upm.edu.my</t>
  </si>
  <si>
    <t>ALI, MOHD/IUM-6916-2023; Ali, Mohd Shukuri Mohamad/AAG-5453-2021; Rahman, Raja Noor Zaliha Raja Abd/I-5556-2019; Yaacob, Norhayati/AAV-9438-2020</t>
  </si>
  <si>
    <t>Ali, Mohd Shukuri Mohamad/0000-0003-2751-9649; Rahman, Raja Noor Zaliha Raja Abd/0000-0002-6316-6177; Leow, Adam [Thean Chor]/0000-0002-0280-7735</t>
  </si>
  <si>
    <t>Ministry of Science, Technology and Innovation [02-01-04-SF1145]; Ministry of Higher Education of Malaysia [02-04-14-1403FR]</t>
  </si>
  <si>
    <t>Ministry of Science, Technology and Innovation(Ministry of Energy, Science, Technology, Environment and Climate Change (MESTECC), Malaysia); Ministry of Higher Education of Malaysia(Ministry of Education, Malaysia)</t>
  </si>
  <si>
    <t>This research was funded by Ministry of Science, Technology and Innovation (ScienceFund Research Grant No.: 02-01-04-SF1145) and Ministry of Higher Education (Fundamental Research Grant Scheme No.: 02-04-14-1403FR) of Malaysia.</t>
  </si>
  <si>
    <t>0141-8130</t>
  </si>
  <si>
    <t>1879-0003</t>
  </si>
  <si>
    <t>INT J BIOL MACROMOL</t>
  </si>
  <si>
    <t>Int. J. Biol. Macromol.</t>
  </si>
  <si>
    <t>10.1016/j.ijbiomac.2016.06.095</t>
  </si>
  <si>
    <t>Biochemistry &amp; Molecular Biology; Chemistry, Applied; Polymer Science</t>
  </si>
  <si>
    <t>Biochemistry &amp; Molecular Biology; Chemistry; Polymer Science</t>
  </si>
  <si>
    <t>EA2DL</t>
  </si>
  <si>
    <t>WOS:000386402900149</t>
  </si>
  <si>
    <t>Parsons, S; Renwick, JA; McDonald, AJ</t>
  </si>
  <si>
    <t>Parsons, Simon; Renwick, James A.; McDonald, Adrian J.</t>
  </si>
  <si>
    <t>An Assessment of Future Southern Hemisphere Blocking Using CMIP5 Projections from Four GCMs</t>
  </si>
  <si>
    <t>ANTARCTIC OSCILLATION; CLIMATE; NORTHERN; ANTICYCLONES; VARIABILITY; PERSISTENCE; DEFINITION; FREQUENCY; ANOMALIES</t>
  </si>
  <si>
    <t>This study is concerned with blocking events (BEs) in the Southern Hemisphere (SH), their past variability, and future projections. ERA-Interim (ERA-I) is used to compare the historical output from four general circulation models (GCMs) from phase 5 of the Coupled Model Intercomparison Project (CMIP5); the output of the representative concentration pathway 4.5 and 8.5 (RCP4.5 and RCP8.5) projections are also examined. ERA-I shows that the higher latitudes of the South Pacific Ocean (SPO) are the main blocking region, with blocking occurring predominantly in winter. The CMIP5 historical simulations also agree well with ERA-I for annual and seasonal BE locations and frequencies. A reduction in BEs is observed in the SPO in the 20712100 period in the RCP4.5 projections, and this is more pronounced for the RCP8.5 projections and occurs predominantly during the spring and summer seasons. Preliminary investigations imply that the southern annular mode (SAM) is negatively correlated with blocking activity in the SPO in all seasons in the reanalysis. This negative correlation is also observed in the GCM historical output. However, in the RCP projections this correlation is reduced in three of the four models during summer, suggesting that SAM may be less influential in summertime blocking in the future.</t>
  </si>
  <si>
    <t>[Parsons, Simon; Renwick, James A.; McDonald, Adrian J.] Univ Canterbury, Private Bag 4800, Christchurch 8140, New Zealand; [Renwick, James A.] Victoria Univ Wellington, Wellington, New Zealand</t>
  </si>
  <si>
    <t>University of Canterbury; Victoria University Wellington</t>
  </si>
  <si>
    <t>Parsons, S (corresponding author), Univ Canterbury, Private Bag 4800, Christchurch 8140, New Zealand.</t>
  </si>
  <si>
    <t>simon.parsons@canterbury.ac.nz</t>
  </si>
  <si>
    <t>Parsons, Simon/0000-0003-4878-9779</t>
  </si>
  <si>
    <t>10.1175/JCLI-D-15-0754.1</t>
  </si>
  <si>
    <t>DZ9OH</t>
  </si>
  <si>
    <t>WOS:000386205900003</t>
  </si>
  <si>
    <t>Hunter, RL; Brown, LM; Hill, CA; Kroeger, ZA; Rose, SE</t>
  </si>
  <si>
    <t>Hunter, Rebecca L.; Brown, Lydia M.; Hill, C. Alexander; Kroeger, Zachary A.; Rose, Shannon E.</t>
  </si>
  <si>
    <t>Additional insights into phylogenetic relationships of the Class Ophiuroidea (Echinodermata) from rRNA gene sequences</t>
  </si>
  <si>
    <t>JOURNAL OF ZOOLOGICAL SYSTEMATICS AND EVOLUTIONARY RESEARCH</t>
  </si>
  <si>
    <t>Ophiuroidea; 16S; 18S; brittle stars; Euryalida; Ophiurida</t>
  </si>
  <si>
    <t>MOLECULAR PHYLOGENY; POSITION; NUMBER</t>
  </si>
  <si>
    <t>Ophiuroids are important benthic marine invertebrates with an unstable taxonomic history. Recent phylogenetic and morphological investigations have promoted major departures from established taxonomy. As such, additional insights into evolutionary relationships of ophiuroids are valuable. We analyzed ribosomal sequence data from a mitochondrial gene (16S rRNA) and a nuclear gene (18S rRNA) from 39 ophiuroids representing 14 of the 18 currently accepted families. Main findings from our study include support for a polyphyletic Ophiomyxidae, paraphyletic Amphiuridae, monophyletic Euryalida, a sister relationship between the Ophiactidae and Ophiotrichidae, and a clade comprised of the Amphiuridae and Amphilepididae. Relationships within the families Gorgonocephalidae, Ophiuridae, Ophiodermatidae and Ophiomyxidae are discussed.</t>
  </si>
  <si>
    <t>[Hunter, Rebecca L.; Brown, Lydia M.; Hill, C. Alexander; Kroeger, Zachary A.; Rose, Shannon E.] Abilene Christian Univ, Dept Biol, Abilene, TX 79699 USA; [Brown, Lydia M.] Western Univ Hlth Sci, Pomona, CA USA; [Kroeger, Zachary A.] Univ Miami, Miller Sch Med, Miami, FL 33136 USA</t>
  </si>
  <si>
    <t>Abilene Christian University; Western University of Health Sciences; University of Miami</t>
  </si>
  <si>
    <t>Hunter, RL (corresponding author), Abilene Christian Univ, Dept Biol, Abilene, TX 79699 USA.</t>
  </si>
  <si>
    <t>rebecca.hunter@acu.edu; lmb10c@acu.edu; clayh@uw.edu; zak09a@acu.edu; ser08@acu.edu</t>
  </si>
  <si>
    <t>Rose, Shannon/JZE-1449-2024</t>
  </si>
  <si>
    <t>National Science Foundation [OPP-9910164, OPP-0338087, OPP-0338218]; Collaborative Research: Assembling the Echinoderm Tree of Life [DEB-1036416]</t>
  </si>
  <si>
    <t>National Science Foundation(National Science Foundation (NSF)); Collaborative Research: Assembling the Echinoderm Tree of Life</t>
  </si>
  <si>
    <t>We thank the following individuals for providing specimens for molecular analysis: Cat Brunson, Ana Christensen, Ken Halanych, Alex Kerr, Allison Miller, Tom Lee, Greg Rouse, the late Christoffer Schander, Anna Simeon and Nerida Wilson. Much of the material for this study was collected during two Antarctic expeditions in 2004 and 2006 aboard the R/V Laurence M. Gould, supported by National Science Foundation grants (OPP-9910164, OPP-0338087 and OPP-0338218) to Kenneth M. Halanych and Rudolph S. Scheltema. Additionally, a 2005 Norwegian expedition aboard the R/V Hakon Mosby, coordinated by the late Christoffer Schander, provided multiple samples. Many thanks to Igor Smirnov, David Pawson and the late Cynthia Ahearn for assistance with specimens at the Smithsonian NMNH used for photography. This work was supported by a National Science Foundation grant to Daniel A. Janies and William I. Ausich; Collaborative Research: Assembling the Echinoderm Tree of Life (DEB-1036416).</t>
  </si>
  <si>
    <t>WILEY-HINDAWI</t>
  </si>
  <si>
    <t>ADAM HOUSE, 3RD FL, 1 FITZROY SQ, LONDON, WIT 5HE, ENGLAND</t>
  </si>
  <si>
    <t>0947-5745</t>
  </si>
  <si>
    <t>1439-0469</t>
  </si>
  <si>
    <t>J ZOOL SYST EVOL RES</t>
  </si>
  <si>
    <t>J. Zool. Syst. Evol. Res.</t>
  </si>
  <si>
    <t>10.1111/jzs.12135</t>
  </si>
  <si>
    <t>DZ7GI</t>
  </si>
  <si>
    <t>WOS:000386032500003</t>
  </si>
  <si>
    <t>Rezanka, T; Kolouchová, I; Sigler, K</t>
  </si>
  <si>
    <t>Rezanka, Tomas; Kolouchova, Irena; Sigler, Karel</t>
  </si>
  <si>
    <t>Lipidomic analysis of psychrophilic yeasts cultivated at different temperatures</t>
  </si>
  <si>
    <t>BIOCHIMICA ET BIOPHYSICA ACTA-MOLECULAR AND CELL BIOLOGY OF LIPIDS</t>
  </si>
  <si>
    <t>Psychrophilic yeast; Lipidomic analysis; Phospholipids; Phosphatidylcholine; Phosphatidylethanolamine; Regioisomers</t>
  </si>
  <si>
    <t>FATTY-ACID-COMPOSITION; TANDEM MASS-SPECTROMETRY; NON-ANTARCTIC YEASTS; ELECTROSPRAY-IONIZATION; PALMITOLEIC ACID; ADAPTATION; DIVERSITY; MEMBRANE; PHOSPHATIDYLETHANOLAMINE; EXTRACTION</t>
  </si>
  <si>
    <t>Analysis of polar lipids from eight psychrophilic yeasts (Ctyptococcus victoriae, Cystofilobasidium capitatum, Holtermaniella wattica, Mrakiella aquatica, M. cryoconiti, Rhodotorula lignophila, Kondoa malvinella and Trichosporon aggtelekiense) grown at 4-28 degrees C by hydrophilic interaction liquid chromatography/high resolution electrospray ionization tandem mass spectrometry determined 17 classes of lipids and identified dozens of molecular species of phospholipids including their regioisomers. Most of the yeasts were able to grow over the whole temperature range, reaching the highest biomass at 4 or 10 degrees C. On temperature drop to 4 degrees C, all eight strains showed a significant decrease of MUFA and a simultaneous increase of PUFA such as alpha-linolenic acid, the content of which in the biomass reached up to 20%. We also found alterations in the proportions of individual phospholipids (PI, PE and PC), the PC/PE-ratio decreasing with decreasing temperature. With increasing temperature the content of PoO-PC rose while that of LL-PC decreased, the drop in the content of LL-PC being nearly 100-fold while the content of PoO-PC increased more than twice. A change in temperature brought about changes in molecular species of PC (molecular species PO-PC versus OP-PC) as well as PE, i.e. PO-PE and OP-PE. The phase transition temperature of PO-PC differs from OP-PC by 7 degrees C and the difference between PO-PE and OP-PE is some 10 degrees C; we thus assume that the cell compensates for the adverse temperature effect by changing the fatty acids in the sn-1 and sn-2 positions. (C) 2016 Elsevier B.V. All rights reserved.</t>
  </si>
  <si>
    <t>[Rezanka, Tomas; Sigler, Karel] Acad Sci Czech Republic, Inst Microbiol, Videnska 1083, Prague 14220, Czech Republic; [Kolouchova, Irena] Univ Chem Technol Prague, Dept Biotechnol, Tech 5, Prague 16628, Czech Republic</t>
  </si>
  <si>
    <t>Czech Academy of Sciences; Institute of Microbiology of the Czech Academy of Sciences; University of Chemistry &amp; Technology, Prague</t>
  </si>
  <si>
    <t>Rezanka, T (corresponding author), Acad Sci Czech Republic, Inst Microbiol, Videnska 1083, Prague 14220, Czech Republic.</t>
  </si>
  <si>
    <t>rezanka@biomed.cas.cz</t>
  </si>
  <si>
    <t>Rezanka, Tomas/A-8399-2008; Kolouchova, Irena/F-8963-2019</t>
  </si>
  <si>
    <t>Kolouchova, Irena/0000-0002-1585-9366</t>
  </si>
  <si>
    <t>GACR Project [P503 14-00227S]</t>
  </si>
  <si>
    <t>GACR Project(Grant Agency of the Czech Republic)</t>
  </si>
  <si>
    <t>The research was supported by GACR Project P503 14-00227S. We thank Dr. Novakova from the Institute of Microbiology for providing us with the strain Trichosporon aggtelekiense.</t>
  </si>
  <si>
    <t>1388-1981</t>
  </si>
  <si>
    <t>0006-3002</t>
  </si>
  <si>
    <t>BBA-MOL CELL BIOL L</t>
  </si>
  <si>
    <t>Biochim. Biophys. Acta Mol. Cell Biol. Lipids</t>
  </si>
  <si>
    <t>10.1016/j.bbalip.2016.07.005</t>
  </si>
  <si>
    <t>Biochemistry &amp; Molecular Biology; Biophysics; Cell Biology</t>
  </si>
  <si>
    <t>DY7RA</t>
  </si>
  <si>
    <t>WOS:000385325800005</t>
  </si>
  <si>
    <t>Jia, YD; Cavileer, TD; Nagler, JJ</t>
  </si>
  <si>
    <t>Jia, Yudong; Cavileer, Timothy D.; Nagler, James J.</t>
  </si>
  <si>
    <t>Acute hyperthermic responses of heat shock protein and estrogen receptor mRNAs in rainbow trout hepatocytes</t>
  </si>
  <si>
    <t>Heat shock protein; Estrogen receptor; Vitellogenin; Hepatocyte; Fish</t>
  </si>
  <si>
    <t>HSP90/HSP70-BASED CHAPERONE MACHINERY; ONCORHYNCHUS-MYKISS; TREMATOMUS-BERNACCHII; PHYLOGENETIC ANALYSIS; PHYSIOLOGICAL STRESS; MOLECULAR CHAPERONES; STEROID-RECEPTORS; ATLANTIC SALMON; GENE-EXPRESSION; ANTARCTIC FISH</t>
  </si>
  <si>
    <t>Heat shock proteins (HSPs) are induced upon elevated temperature in fishes. HSPs also function as molecular chaperones for cellular proteins, including steroid hormone receptors. Estrogen receptors (ERs) are critical for the hormone signaling necessary during the liver production of the yolk precursor protein vitellogenin in oviparous vertebrates. Considering the possible regulatory role of HSPs on the ER signaling pathway, the present study characterized the mRNA expression of all known isoforms of HSP70 (hsp70a, hsp70b), HSP90 (hsp90a1a, hsp90a1b, hsp90a2a, hsp90a2b, hsp90bl, hsp90b2), and ERs (er alpha 1, er alpha 2, er beta 1, er beta 2) in Rainbow Trout hepatocytes following an acute heat shock (1 hat 25 degrees C) compared to a control treatment (12 degrees C). The results showed that the mRNA levels of hsp70a, hsp70b, hsp90a1b, hsp90a2a, and hsp90b2 were significantly increased after heat shock, while er alpha 1 mRNA levels were significantly reduced by this treatment. hsp9Oal a, hsp90a2b, hsp90b1, er alpha 2, er beta 1 and er beta 2 were unaffected by this acute hyperthermic treatment. Comparatively, the responses of the two hsp70 isoforms were much greater than the hsp90 isoforms. Acute heat shock treatment of hepatocytes followed by a 24 h exposure to 17 beta-estradiol (E2) exposure also resulted in decreased expression of er alpha 1 mRNA, but not vitellogenin (vtg) mRNA. This study showed that some hsp70 and hsp90 isoforms display a robust response to an acute hyperthermic treatment in Rainbow Trout hepatocytes. Among the transcripts measured here, the er alpha 1 isoform uniquely showed significantly decreased mRNA levels upon acute heat treatment. (C) 2016 Published by Elsevier Inc.</t>
  </si>
  <si>
    <t>[Jia, Yudong; Cavileer, Timothy D.; Nagler, James J.] Univ Idaho, Dept Biol Sci, 875 Perimeter MS3051, Moscow, ID 83844 USA; [Jia, Yudong; Cavileer, Timothy D.; Nagler, James J.] Univ Idaho, Ctr Reprod Biol, Moscow, ID 83843 USA; [Jia, Yudong] Chinese Acad Fishery Sci, Yellow Sea Fisheries Res Inst, Qingdao 266071, Peoples R China</t>
  </si>
  <si>
    <t>Idaho; University of Idaho; Idaho; University of Idaho; Chinese Academy of Fishery Sciences; Yellow Sea Fisheries Research Institute, CAFS</t>
  </si>
  <si>
    <t>Nagler, JJ (corresponding author), Univ Idaho, Dept Biol Sci, 875 Perimeter MS3051, Moscow, ID 83844 USA.</t>
  </si>
  <si>
    <t>jamesn@uidaho.edu</t>
  </si>
  <si>
    <t>Chinese Scholarship Council award [201403260021]; EPA-STAR Grant [R835167]; EPA [150171, R835167] Funding Source: Federal RePORTER</t>
  </si>
  <si>
    <t>Chinese Scholarship Council award; EPA-STAR Grant(United States Environmental Protection Agency); EPA(United States Environmental Protection Agency)</t>
  </si>
  <si>
    <t>This study was supported by a Chinese Scholarship Council award (201403260021) to Yudong Jia and EPA-STAR Grant #R835167.</t>
  </si>
  <si>
    <t>360 PARK AVE SOUTH, NEW YORK, NY 10010-1710 USA</t>
  </si>
  <si>
    <t>10.1016/j.cbpa.2016.04.023</t>
  </si>
  <si>
    <t>DY7QZ</t>
  </si>
  <si>
    <t>WOS:000385325700020</t>
  </si>
  <si>
    <t>Novaglio, C; Ferretti, F; Smith, ADM; Frusher, S</t>
  </si>
  <si>
    <t>Novaglio, Camilla; Ferretti, Francesco; Smith, Anthony D. M.; Frusher, Stewart</t>
  </si>
  <si>
    <t>Species-area relationships as indicators of human impacts on demersal fish communities</t>
  </si>
  <si>
    <t>DIVERSITY AND DISTRIBUTIONS</t>
  </si>
  <si>
    <t>community changes; community status; large-scale fisheries; species accumulation curve; trawl surveys; trawling impacts</t>
  </si>
  <si>
    <t>SOUTH-EAST FISHERY; DIVERSITY; SCALE; PATTERNS; DISTURBANCE; AUSTRALIA; BIODIVERSITY; DEPTH; RATES; SIZE</t>
  </si>
  <si>
    <t>Aim The relationship between number of species and area is a well-known macro-ecological property that can be used as an indicator of human impact on natural communities. This relationship can be described by species-area relationships. We explored the application of species-area relationships to data sets of bottom trawl surveys to determine their ability to capture fishing-induced changes in demersal fish communities. Location Australia. Methods We performed numerical simulations to investigate whether species-area relationship was sensitive to changes in community properties, such as richness, species abundances and spatial distribution. Then, we analysed a data set of bottom trawl surveys carried out in south-east Australia spanning 20 years. These data provided information on demersal fish communities at different stages of fishing exploitation. We built species-area relationships along spatial and temporal gradients of community exploitation and used the rate of species accumulation to characterize community structure. Linear mixed effects (LME) models were used to quantify the effect of fishing exploitation on species accumulation rates, while controlling for environmental and sampling factors. Results Numerical simulations showed that species-area relationships can capture changes in community properties. Observed species accumulation rate decreased with increasing exploitation and was sensitive to environmental variation along a latitudinal and depth gradient and to changes in sampling. Main conclusions Species-area relationships applied to trawl survey data can capture fishing-induced changes in the structure of demersal fish communities. We propose that species-area relationships can be used to inform on the status of demersal fish communities and aid community monitoring. If applied to data sets of bottom trawl surveys available world-wide, species-area relationships could be used to rank demersal fish communities for their level of exploitation.</t>
  </si>
  <si>
    <t>[Novaglio, Camilla; Smith, Anthony D. M.] CSIRO, CSIRO Oceans &amp; Atmosphere, Battery Point, Tas 7000, Australia; [Novaglio, Camilla; Frusher, Stewart] Univ Tasmania, Inst Marine &amp; Antarctic Studies, Private Bag 49, Taroona, Tas 7053, Australia; [Ferretti, Francesco] Stanford Univ, Hopkins Marine Stn, Pacific Grove, CA 93940 USA</t>
  </si>
  <si>
    <t>Commonwealth Scientific &amp; Industrial Research Organisation (CSIRO); University of Tasmania; Stanford University</t>
  </si>
  <si>
    <t>Novaglio, C (corresponding author), CSIRO, CSIRO Oceans &amp; Atmosphere, Battery Point, Tas 7000, Australia.</t>
  </si>
  <si>
    <t>camilla.novaglio@gmail.com</t>
  </si>
  <si>
    <t>Ferretti, Francesco/AAR-2545-2020</t>
  </si>
  <si>
    <t>Ferretti, Francesco/0000-0001-9510-3552; Novaglio, Camilla/0000-0003-3681-1377</t>
  </si>
  <si>
    <t>Oceans and Atmosphere Flagship, Commonwealth Scientific and Industrial Research Organization; Lenfest Ocean Program</t>
  </si>
  <si>
    <t>Funding for this study was provided by the Oceans and Atmosphere Flagship, Commonwealth Scientific and Industrial Research Organization and the Lenfest Ocean Program. We further thank Drs Ken Graham and Jeremy Lyle for their assistance with databases access, Drs Franzis Althaus and Neil Klaer for their assistance with commercial trawling effort data retrieve and Dr. Simon Wotherspoon for advices on simulation-based analysis.</t>
  </si>
  <si>
    <t>1366-9516</t>
  </si>
  <si>
    <t>1472-4642</t>
  </si>
  <si>
    <t>DIVERS DISTRIB</t>
  </si>
  <si>
    <t>Divers. Distrib.</t>
  </si>
  <si>
    <t>10.1111/ddi.12482</t>
  </si>
  <si>
    <t>DZ0TJ</t>
  </si>
  <si>
    <t>WOS:000385552300010</t>
  </si>
  <si>
    <t>Polito, MJ; Brasso, RL; Trivelpiece, WZ; Karnovsky, N; Patterson, WP; Emslie, SD</t>
  </si>
  <si>
    <t>Polito, Michael J.; Brasso, Rebecka L.; Trivelpiece, Wayne Z.; Karnovsky, Nina; Patterson, William P.; Emslie, Steven D.</t>
  </si>
  <si>
    <t>Differing foraging strategies influence mercury (Hg) exposure in an Antarctic penguin community</t>
  </si>
  <si>
    <t>Mercury; Stable isotope analysis; Pygoscelis penguins; Antarctica</t>
  </si>
  <si>
    <t>STABLE-ISOTOPE SIGNATURES; SOUTH SHETLAND ISLANDS; MARINE FOOD-WEB; TROPHIC CALCULATIONS; CHINSTRAP PENGUINS; SEABIRD FEATHERS; DIET COMPOSITION; BLOOD; ADELIE; BIOACCUMULATION</t>
  </si>
  <si>
    <t>Seabirds are ideal model organisms to track mercury (Hg) through marine food webs as they are long-lived, broadly distributed, and are susceptible to biomagnification due to foraging at relatively high trophic levels. However, using these species as biomonitors requires a solid understanding of the degree of species, sexual and age-specific variation in foraging behaviors which act to mediate their dietary exposure to Hg. We combined stomach content analysis along with Hg and stable isotope analyses of blood, feathers and common prey items to help explain inter and intra-specific patterns of dietary Hg exposure across three sympatric Pygoscelis penguin species commonly used as biomonitors of Hg availability in the Antarctic marine ecosystem. We found that penguin tissue Hg concentrations differed across species, between adults and juveniles, but not between sexes. While all three penguins species diets were dominated by Antarctic krill (Euphausia superba) and to a lesser extent fish, stable isotope based proxies of relative trophic level and krill consumption could not by itself sufficiently explain the observed patterns of inter and intra-specific variation in Hg. However, integrating isotopic approaches with stomach content analysis allowed us to identify the relatively higher risk of Hg exposure for penguins foraging on mesopelagic prey relative to congeners targeting epipelagic or benthic prey species. When possible, future seabird biomonitoring studies should seek to combine isotopic approaches with other, independent measures of foraging behavior to better account for the confounding effects of inter and intra-specific variation on dietary Hg exposure. (C) 2016 Elsevier Ltd. All rights reserved.</t>
  </si>
  <si>
    <t>[Polito, Michael J.] Louisiana State Univ, Dept Oceanog &amp; Coastal Sci, Baton Rouge, LA 70802 USA; [Brasso, Rebecka L.] Southeast Missouri State Univ, Dept Biol, One Univ Plaza,MS 6200, Cape Girardeau, MO 63701 USA; [Trivelpiece, Wayne Z.] Natl Marine Fisheries Serv, Antarctic Ecosyst Res Div, Southwest Fisheries Sci Ctr, La Jolla, CA 92037 USA; [Karnovsky, Nina] Pomona Coll, Dept Biol, Claremont, CA 91711 USA; [Patterson, William P.] Univ Saskatchewan, Dept Geol Sci, Saskatoon, SK S7N 5E2, Canada; [Emslie, Steven D.] Univ North Carolina Wilmington, Dept Biol &amp; Marine Biol, Wilmington, NC 28403 USA</t>
  </si>
  <si>
    <t>Louisiana State University System; Louisiana State University; National Oceanic Atmospheric Admin (NOAA) - USA; Claremont Colleges; Pomona College; University of Saskatchewan; University of North Carolina; University of North Carolina Wilmington</t>
  </si>
  <si>
    <t>Polito, MJ (corresponding author), Louisiana State Univ, Dept Oceanog &amp; Coastal Sci, Baton Rouge, LA 70802 USA.</t>
  </si>
  <si>
    <t>mpolito@lsu.edu</t>
  </si>
  <si>
    <t>Patterson, William P/J-6473-2012; Brasso, Rebecka L/I-7014-2013; , Bill/GSD-6628-2022; Polito, Michael/G-9118-2012</t>
  </si>
  <si>
    <t>Polito, Michael/0000-0001-8639-4431</t>
  </si>
  <si>
    <t>NSF Office of Polar Programs [ANT-0739575]</t>
  </si>
  <si>
    <t>NSF Office of Polar Programs(National Science Foundation (NSF))</t>
  </si>
  <si>
    <t>Many thanks to the US-AMLR program especially S. Trivelpiece, G. Watters, C. Jones, C. Reiss, A. Will, P. Chilton and K. Boysen and the many other researchers who have worked at the Copacabana field camp who helped gather data used in this study. We also thank Raytheon Polar Services, the Laurence M. Gould, the M/V Ushuaia, John Evans, Melissa Rider and Ethan Norris for transportation and logistical support. D. Besic, B. Drummond, K. Durenberger, T. Prokopiuk, J. Seminoff and E. Unger provided assistance with sample preparation and stable isotope analysis. Animal use in this study was conducted under approved animal use protocols from the University of North Carolina Wilmington Animal Care and Use Committee (A0910-20) and in accordance to Antarctic Conservation Act permits provided by the U.S. National Science Foundation (NSF) to S. Emslie (2006-001) and G. Watters (2011005). Funding was provided in part by a NSF Office of Polar Programs grant to S. Emslie (ANT-0739575).</t>
  </si>
  <si>
    <t>10.1016/j.envpol.2016.04.097</t>
  </si>
  <si>
    <t>DZ1JZ</t>
  </si>
  <si>
    <t>WOS:000385596000023</t>
  </si>
  <si>
    <t>La Mesa, M; La Mesa, G; Catalano, B; Jones, CD</t>
  </si>
  <si>
    <t>La Mesa, Mario; La Mesa, Gabriele; Catalano, Barbara; Jones, Christopher D.</t>
  </si>
  <si>
    <t>Spatial distribution pattern and physical - biological interactions in the larval notothenioid fish assemblages from the Bransfield Strait and adjacent waters</t>
  </si>
  <si>
    <t>Antarctic Peninsula; generalized additive models; larval fish assemblage; spatial patterns</t>
  </si>
  <si>
    <t>ANTARCTIC PENINSULA; ABUNDANCE; REGION; DISPERSAL; MASSES</t>
  </si>
  <si>
    <t>The Bransfield Strait and adjacent waters represent one of the most important areas of larval retention off the Antarctic Peninsula. The species composition of larval fish assemblages has been described in detail in previous surveys carried out in the area, but the role of environmental parameters influencing the spatial distribution of early life stages was poorly known. By applying generalized additive models and multivariate analyses, we evaluated the role of environmental variables in shaping the small-scale distribution of larval fish and investigated the spatial structure of the larval assemblage. It consisted of a few dominant notothenioid species, such as Champsocephalus gunnari, Lepidonotothen squamifrons, Lepidonotothen larseni, Pleuragramma antarctica and Trematomus scotti, and several other rarely caught species. Sea water temperature, salinity and sampling depth were the most important factors determining the spatial distribution of fish with different relative contributions, together explaining more than 80% of total deviance observed. Species richness was mostly affected by salinity, probably due to the narrow range of salinity preference by the species. Cluster analysis of abundance and presence data identified six and five distinct groups, respectively, each of them with substantial contributions of single or rarely two species. Differences in reproductive strategies of adult populations and spatial distribution of early life stages driven by different larval behaviour in response to environmental factors contribute to maintaining a well-structured larval fish assemblage, ensuring spatial and food niche partitioning.</t>
  </si>
  <si>
    <t>[La Mesa, Mario] CNR, Inst Marine Sci, UOS Ancona, I-60125 Ancona, Italy; [La Mesa, Gabriele; Catalano, Barbara] Italian Natl Inst Environm Protect &amp; Res, ISPRA, Via Brancati 48, I-00144 Rome, Italy; [Jones, Christopher D.] NOAA, Southwest Fisheries Sci Ctr, Natl Marine Fisheries Serv, 8901 La Jolla Shores Dr, La Jolla, CA USA</t>
  </si>
  <si>
    <t>Consiglio Nazionale delle Ricerche (CNR); Istituto di Scienze Marine (ISMAR-CNR); Italian Institute for Environmental Protection &amp; Research (ISPRA); National Oceanic Atmospheric Admin (NOAA) - USA</t>
  </si>
  <si>
    <t>La Mesa, M (corresponding author), CNR, Inst Marine Sci, UOS Ancona, I-60125 Ancona, Italy.</t>
  </si>
  <si>
    <t>m.lamesa@ismar.cnr.it</t>
  </si>
  <si>
    <t>Catalano, Barbara/GRR-7882-2022</t>
  </si>
  <si>
    <t>PNRA (Italian National Antarctic Research Program)</t>
  </si>
  <si>
    <t>We are grateful to all crew members, personnel and scientific staff aboard of RV Moana Wave for their strong support in sampling activities. This study was supported by the PNRA (Italian National Antarctic Research Program).</t>
  </si>
  <si>
    <t>10.1111/fog.12178</t>
  </si>
  <si>
    <t>DY8EA</t>
  </si>
  <si>
    <t>WOS:000385360200006</t>
  </si>
  <si>
    <t>Hurt, AC; Su, YCF; Aban, M; Peck, H; Lau, H; Baas, C; Deng, YM; Spirason, N; Ellström, P; Hernandez, J; Olsen, B; Barr, IG; Vijaykrishna, D; Gonzalez-Acuna, D</t>
  </si>
  <si>
    <t>Hurt, Aeron C.; Su, Yvonne C. F.; Aban, Malet; Peck, Heidi; Lau, Hilda; Baas, Chantal; Deng, Yi-Mo; Spirason, Natalie; Ellstrom, Patrik; Hernandez, Jorge; Olsen, Bjorn; Barr, Ian G.; Vijaykrishna, Dhanasekaran; Gonzalez-Acuna, Daniel</t>
  </si>
  <si>
    <t>Evidence for the Introduction, Reassortment, and Persistence of Diverse Influenza A Viruses in Antarctica</t>
  </si>
  <si>
    <t>JOURNAL OF VIROLOGY</t>
  </si>
  <si>
    <t>AVIAN INFLUENZA; WILD BIRDS; SURVEILLANCE; MIGRATION; WATERFOWL; AUSTRALIA; PATTERNS</t>
  </si>
  <si>
    <t>Avian influenza virus (AIV) surveillance in Antarctica during 2013 revealed the prevalence of evolutionarily distinct influenza viruses of the H11N2 subtype in Adelie penguins. Here we present results from the continued surveillance of AIV on the Antarctic Peninsula during 2014 and 2015. In addition to the continued detection of H11 subtype viruses in a snowy sheathbill during 2014, we isolated a novel H5N5 subtype virus from a chinstrap penguin during 2015. Gene sequencing and phylogenetic analysis revealed that the H11 virus detected in 2014 had a &gt;99.1% nucleotide similarity to the H11N2 viruses isolated in 2013, suggesting the continued prevalence of this virus in Antarctica over multiple years. However, phylogenetic analysis of the H5N5 virus showed that the genome segments were recently introduced to the continent, except for the NP gene, which was similar to that in the endemic H11N2 viruses. Our analysis indicates geographically diverse origins for the H5N5 virus genes, with the majority of its genome segments derived from North American lineage viruses but the neuraminidase gene derived from a Eurasian lineage virus. In summary, we show the persistence of AIV lineages in Antarctica over multiple years, the recent introduction of gene segments from diverse regions, and reassortment between different AIV lineages in Antarctica, which together significantly increase our understanding of AIV ecology in this fragile and pristine environment.</t>
  </si>
  <si>
    <t>[Hurt, Aeron C.; Aban, Malet; Peck, Heidi; Lau, Hilda; Baas, Chantal; Deng, Yi-Mo; Spirason, Natalie; Barr, Ian G.] WHO, Collaborating Ctr Reference &amp; Res Influenza, Parkville, Vic, Australia; [Hurt, Aeron C.] Univ Melbourne, Melbourne Sch Populat &amp; Global Hlth, Parkville, Vic, Australia; [Su, Yvonne C. F.; Vijaykrishna, Dhanasekaran] Duke NUS Med Sch, Program Emerging Infect Dis, Singapore, Singapore; [Ellstrom, Patrik; Hernandez, Jorge] Uppsala Univ, IMBIM, Zoonosis Sci Ctr, Uppsala, Sweden; [Hernandez, Jorge] Kalmar Cty Hosp, Dept Microbiol, Kalmar, Sweden; [Olsen, Bjorn] Uppsala Univ, Med Sci, Uppsala, Sweden; [Gonzalez-Acuna, Daniel] Univ Concepcion, Fac Ciencias Vet, Chillan, Chile</t>
  </si>
  <si>
    <t>University of Melbourne; National University of Singapore; Uppsala University; Uppsala University; Universidad de Concepcion</t>
  </si>
  <si>
    <t>Hurt, AC (corresponding author), WHO, Collaborating Ctr Reference &amp; Res Influenza, Parkville, Vic, Australia.;Hurt, AC (corresponding author), Univ Melbourne, Melbourne Sch Populat &amp; Global Hlth, Parkville, Vic, Australia.</t>
  </si>
  <si>
    <t>aeron.hurt@influenzacentre.org</t>
  </si>
  <si>
    <t>Ellström, Patrik/JSK-7601-2023; Vijaykrishna, Dhanasekaran/AAG-2077-2020; Dhanasekaran, Vijaykrishna/HKO-1036-2023</t>
  </si>
  <si>
    <t>Vijaykrishna, Dhanasekaran/0000-0003-3293-6279; Dhanasekaran, Vijaykrishna/0000-0003-3293-6279; Barr, Ian/0000-0002-7351-418X; Olsen, Bjorn/0000-0002-4646-691X; Deng, Yi-Mo/0000-0003-2177-8308; Hurt, Aeron/0000-0003-1826-4314</t>
  </si>
  <si>
    <t>Australian Government Department of Health; Duke-NUS Signature Research Program - Agency of Science, Technology and Research, Singapore; Ministry of Health Singapore; National Institute of Allergy and Infectious Diseases (NIAID), National Institutes of Health, Department of Health and Human Services [HHSN272201400006C]; [INACH T-12-13]</t>
  </si>
  <si>
    <t>Australian Government Department of Health(Australian GovernmentDepartment of Health &amp; Ageing); Duke-NUS Signature Research Program - Agency of Science, Technology and Research, Singapore; Ministry of Health Singapore; National Institute of Allergy and Infectious Diseases (NIAID), National Institutes of Health, Department of Health and Human Services(United States Department of Health &amp; Human ServicesNational Institutes of Health (NIH) - USANIH National Institute of Allergy &amp; Infectious Diseases (NIAID));</t>
  </si>
  <si>
    <t>We thank the Instituto Antartico Chileno for financing the research project INACH T-12-13, which made the collection of samples possible. The Melbourne WHO Collaborating Centre for Reference and Research on Influenza is supported by the Australian Government Department of Health. D.V. and Y.C.F.S. received support from the Duke-NUS Signature Research Program, funded by the Agency of Science, Technology and Research, Singapore, and the Ministry of Health Singapore, and from contract HHSN272201400006C from the National Institute of Allergy and Infectious Diseases (NIAID), National Institutes of Health, Department of Health and Human Services.</t>
  </si>
  <si>
    <t>AMER SOC MICROBIOLOGY</t>
  </si>
  <si>
    <t>1752 N ST NW, WASHINGTON, DC 20036-2904 USA</t>
  </si>
  <si>
    <t>0022-538X</t>
  </si>
  <si>
    <t>1098-5514</t>
  </si>
  <si>
    <t>J VIROL</t>
  </si>
  <si>
    <t>J. Virol.</t>
  </si>
  <si>
    <t>10.1128/JVI.01404-16</t>
  </si>
  <si>
    <t>DZ0JW</t>
  </si>
  <si>
    <t>Green Submitted, Green Published, hybrid</t>
  </si>
  <si>
    <t>WOS:000385525700011</t>
  </si>
  <si>
    <t>Emery, TJ; Gardner, C; Hartmann, K; Cartwright, I</t>
  </si>
  <si>
    <t>Emery, Timothy J.; Gardner, Caleb; Hartmann, Klaas; Cartwright, Ian</t>
  </si>
  <si>
    <t>The role of government and industry in resolving assignment problems in fisheries with individual transferable quotas</t>
  </si>
  <si>
    <t>Fisheries management; Objectives; Assignment problems; Self-governance; Cooperatives; ITQ</t>
  </si>
  <si>
    <t>LOBSTER FISHERY; ECONOMIC-EFFICIENCY; SELF-MANAGEMENT; UNITED-STATES; NEW-ZEALAND; SUSTAINABILITY; ITQS; COMANAGEMENT; RIGHTS; PREFERENCES</t>
  </si>
  <si>
    <t>Fisheries managers often face the challenge of addressing multiple, conflicting objectives. Historically, the focus has been on biological objectives but there has been an increasing appreciation of the importance of economic and social objectives. A desire to address economic objectives has partly driven the increasing use of individual transferable quotas (ITQs). However, ITQs are insufficient to achieve the economic objectives as a suite of other decisions and regulations affect outcomes. Assignment problems are common in ITQ fisheries and can reduce economic yield. They occur through misallocation of fishing effort, particularly when there is spatial and temporal heterogeneity in the stock, leading to inefficient timing of supply and overexploitation and congestion in parts of the fishing grounds. Clubs in the form of fishing cooperatives have the capacity to resolve these problems through coordinating the fishing effort of their members. The likelihood of a single fishing cooperative forming and uniting to resolve assignment problems however, may be diminished under ITQ management due to the increasing heterogeneity in business structures, incentives and motivations among fishers generated by market-based mechanisms. This heterogeneity can also have ramifications for fishers trying to reach an agreed industry position that can be presented to government when negotiating on management changes that deal with assignment problems. In this situation, the absence of an agreed industry position should not act as an impediment to government in prioritising, articulating and taking the lead in implementing measures that reduce assignment problems and concurrently meet their overarching economic objectives. (C) 2016 Elsevier Ltd. All rights reserved.</t>
  </si>
  <si>
    <t>[Emery, Timothy J.; Gardner, Caleb; Hartmann, Klaas] Univ Tasmania, Inst Marine &amp; Antarctic Studies, Private Bag 49, Hobart, Tas 7001, Australia; [Cartwright, Ian] Thalassa Consulting, 13 Monaco Pl, Howrah, Tas 7018, Australia</t>
  </si>
  <si>
    <t>Emery, TJ (corresponding author), Univ Tasmania, Inst Marine &amp; Antarctic Studies, Private Bag 49, Hobart, Tas 7001, Australia.</t>
  </si>
  <si>
    <t>timothy.emery@utas.edu.au; caleb.gardner@utas.edu.au; klaas.hartmann@utas.edu.au; thalassa@bigpond.com</t>
  </si>
  <si>
    <t>Hartmann, Klaas/B-3991-2008; Gardner, Caleb/I-7086-2013</t>
  </si>
  <si>
    <t>Gardner, Caleb/0000-0003-0324-4337; Emery, Timothy/0000-0002-4203-671X</t>
  </si>
  <si>
    <t>Australian Seafood Cooperative Research Centre; Fisheries Research and Development Corporation [2013-748.20]</t>
  </si>
  <si>
    <t>Australian Seafood Cooperative Research Centre(Australian GovernmentDepartment of Industry, Innovation and ScienceCooperative Research Centres (CRC) Programme); Fisheries Research and Development Corporation</t>
  </si>
  <si>
    <t>The authors would like to acknowledge the Australian Seafood Cooperative Research Centre and the Fisheries Research and Development Corporation (2013-748.20) for providing funding towards this research. The authors would also like to thank an anonymous reviewer and the editor for their insightful comments, which greatly improved the clarity of the manuscript.</t>
  </si>
  <si>
    <t>10.1016/j.marpol.2016.07.028</t>
  </si>
  <si>
    <t>DY7QV</t>
  </si>
  <si>
    <t>WOS:000385325300006</t>
  </si>
  <si>
    <t>Michael, SA; Chilvers, BL; Hunter, SA; Duignan, P; Roe, W</t>
  </si>
  <si>
    <t>Michael, S. A.; Chilvers, B. L.; Hunter, S. A.; Duignan, P.; Roe, W.</t>
  </si>
  <si>
    <t>Pathology and Epidemiology of Stillbirth in New Zealand Sea Lions (Phocarctos hookeri) From Enderby Island, Auckland Islands, 1998-2012</t>
  </si>
  <si>
    <t>VETERINARY PATHOLOGY</t>
  </si>
  <si>
    <t>fetal distress; liver glycogen; pinnipedia; aspiration pneumonia; squamous cells; stillbirth</t>
  </si>
  <si>
    <t>ANTARCTIC FUR-SEAL; ARCTOCEPHALUS-GAZELLA; AMNIOTIC-FLUID; MORTALITY; MECONIUM; GROWTH; INOCULATION; PARTURITION; BRUCELLA; ABORTION</t>
  </si>
  <si>
    <t>Stillbirth is a small and often cryptic fraction of neonatal mortality in mammals including pinnipeds. As part of an investigation into the poor reproductive success of the endangered New Zealand sea lion (Phocarctos hookeri), archived tissues from 37 stillborn pups born on Enderby Island between 1998 and 2012 were examined using histopathological techniques. Apart from bronchopneumonia with neutrophilic infiltration in 4 cases, few inflammatory conditions were identified in stillborn pups. However, 27/32 (84%) stillborn pups had aspirated squames present in the respiratory tract, without meconium. It is unclear if this finding represents fetal distress during parturition or whether it is a normal finding for this species. Three pups lacked histological evidence of hepatic glycogen storage, which may indicate placental defects or maternal undernutrition. No evidence of infectious disease was found on histopathological analysis, consistent with the low seroprevalence in New Zealand of infections known to cause reproductive failure in other pinniped species. This study forms an important baseline for further examination of stillborn New Zealand sea lion pups, as pup mortality is investigated as a contributor to the species' decline.</t>
  </si>
  <si>
    <t>[Michael, S. A.; Chilvers, B. L.; Hunter, S. A.] Massey Univ, Inst Vet Anim &amp; Biomed Sci, Wildbase, Private Bag 11-222, Palmerston North 4442, New Zealand; [Chilvers, B. L.] Dept Conservat, Marine Species &amp; Threats, Wellington, New Zealand; [Duignan, P.] Univ Calgary, Dept Ecosyst &amp; Publ Hlth, Calgary, AB, Canada; [Roe, W.] Massey Univ, Inst Vet Anim &amp; Biomed Sci, Pathobiol Grp, Palmerston North, New Zealand</t>
  </si>
  <si>
    <t>Massey University; University of Calgary; Massey University</t>
  </si>
  <si>
    <t>Michael, SA (corresponding author), Massey Univ, Inst Vet Anim &amp; Biomed Sci, Wildbase, Private Bag 11-222, Palmerston North 4442, New Zealand.</t>
  </si>
  <si>
    <t>sarah.a.michael@gmail.com</t>
  </si>
  <si>
    <t>roe, wendi d/K-4110-2012; Chilvers, B. Louise/AAV-1965-2021</t>
  </si>
  <si>
    <t>Chilvers, B. Louise/0000-0002-7657-4217; Michael, Sarah/0000-0002-7176-0774</t>
  </si>
  <si>
    <t>Marion Cunningham Memorial Fund, of the New Zealand Veterinary Association Wildlife Society</t>
  </si>
  <si>
    <t>The author(s) disclosed receipt of the following financial support for the research, authorship, and/or publication of this article: The project was in part funded by the Marion Cunningham Memorial Fund, of the New Zealand Veterinary Association Wildlife Society.</t>
  </si>
  <si>
    <t>0300-9858</t>
  </si>
  <si>
    <t>1544-2217</t>
  </si>
  <si>
    <t>VET PATHOL</t>
  </si>
  <si>
    <t>Vet. Pathol.</t>
  </si>
  <si>
    <t>10.1177/0300985816638723</t>
  </si>
  <si>
    <t>Pathology; Veterinary Sciences</t>
  </si>
  <si>
    <t>DZ4HQ</t>
  </si>
  <si>
    <t>WOS:000385819700018</t>
  </si>
  <si>
    <t>Supramaniam, Y; Chong, CW; Silvaraj, S; Tan, IKP</t>
  </si>
  <si>
    <t>Supramaniam, Yasoga; Chong, Chun-Wie; Silvaraj, Santha; Tan, Irene Kit-Ping</t>
  </si>
  <si>
    <t>Effect of short term variation in temperature and water content on the bacterial community in a tropical soil</t>
  </si>
  <si>
    <t>APPLIED SOIL ECOLOGY</t>
  </si>
  <si>
    <t>Tropical; Soil bacterial community; Functional gene; T-RFLP; NGS</t>
  </si>
  <si>
    <t>16S RIBOSOMAL-RNA; PHOSPHATE SOLUBILIZING BACTERIA; MICROBIAL COMMUNITIES; OXIDE EMISSIONS; WARMING ALTERS; DIVERSITY; RESPONSES; NITROGEN; GRASSLAND; ECOSYSTEM</t>
  </si>
  <si>
    <t>The community dynamics of environmental bacteria is dependent on micro-climatic factors such as temperature and water potentials. A shift in any one of these factors can have a major impact on the richness and composition of the microbes in the soil. However, microbial responses towards these climate stressors are poorly characterised. Here, we undertook a microcosm study to assess the effect of temperature and water content on the bacterial community structure in a tropical soil over a four week period. The microcosms were incubated at three different temperatures (25 degrees C, 30 degrees C, and 35 degrees C) and maintained under two different water levels (2 and 5 mL). Using a combination of molecular assessment tools and numerical inference, we showed that short-term variation in both temperature and water content induced significant changes to the soil bacterial community composition. The greatest difference in community structure between treatments was observed in the Week 2 microcosms, but in the Week 4 microcosms, the community structure between treatments became more similar. Compared to temperature, water content exerted a greater effect on the bacterial diversity. Firmicutes was the most abundant phylum in all the analysed samples, and its relative abundance increased with elevation in temperature and water content. Out of six functional genes analysed, the nitrogen fixation gene (nifH) and denitrification gene (nosZ) showed significant correlations to the bacterial community structures. (C) 2016 Elsevier B.V. All rights reserved.</t>
  </si>
  <si>
    <t>[Supramaniam, Yasoga; Silvaraj, Santha; Tan, Irene Kit-Ping] Univ Malaya, Inst Biol Sci, Fac Sci, Kuala Lumpur, Malaysia; [Supramaniam, Yasoga; Tan, Irene Kit-Ping] Univ Malaya, Natl Antarctic Res Ctr, Kuala Lumpur, Malaysia; [Chong, Chun-Wie] Int Med Univ, Sch Pharm, Dept Life Sci, Kuala Lumpur, Malaysia</t>
  </si>
  <si>
    <t>Universiti Malaya; Universiti Malaya; International Medical University Malaysia</t>
  </si>
  <si>
    <t>Tan, IKP (corresponding author), Univ Malaya, Inst Biol Sci, Fac Sci, Kuala Lumpur, Malaysia.</t>
  </si>
  <si>
    <t>itan@um.edu.my</t>
  </si>
  <si>
    <t>Tan, Irene Kit Ping/B-8661-2010; Chong, Chun Wie/ABG-7676-2020</t>
  </si>
  <si>
    <t>Tan, Irene Kit Ping/0000-0001-9601-5810; Chong, Chun Wie/0000-0002-6881-8883</t>
  </si>
  <si>
    <t>University of Malaya research grant (UMRG) [RP007-2012B]; YPASM fellowship [IMUR121/12]</t>
  </si>
  <si>
    <t>University of Malaya research grant (UMRG); YPASM fellowship</t>
  </si>
  <si>
    <t>This study was funded by University of Malaya research grant (UMRG) RP007-2012B and YPASM fellowship (IMUR121/12). The authors would like to thank two anonymous reviewers for their constructive and valuable comments.</t>
  </si>
  <si>
    <t>0929-1393</t>
  </si>
  <si>
    <t>1873-0272</t>
  </si>
  <si>
    <t>APPL SOIL ECOL</t>
  </si>
  <si>
    <t>Appl. Soil Ecol.</t>
  </si>
  <si>
    <t>10.1016/j.apsoil.2016.07.003</t>
  </si>
  <si>
    <t>DY1MZ</t>
  </si>
  <si>
    <t>WOS:000384860400029</t>
  </si>
  <si>
    <t>Blake, RE; Surkov, AV; Stout, LM; Li, H; Chang, SJ; Jaisi, DP; Colman, AS; Liang, YH</t>
  </si>
  <si>
    <t>Blake, Ruth E.; Surkov, Aleksandr V.; Stout, Lisa M.; Li, Hui; Chang, Sae Jung; Jaisi, Deb P.; Colman, Albert S.; Liang, Yuhong</t>
  </si>
  <si>
    <t>DNA THERMOMETRY: A UNIVERSAL BIOTHERMOMETER IN THE 18O/16O RATIO OF PO4 IN DNA</t>
  </si>
  <si>
    <t>AMERICAN JOURNAL OF SCIENCE</t>
  </si>
  <si>
    <t>DNA; thermometry; biothermometer; phosphate; oxygen isotopes</t>
  </si>
  <si>
    <t>OXYGEN-ISOTOPE COMPOSITION; ORGANIC-MATTER REMINERALIZATION; GUANINE-CYTOSINE CONTENT; PHASE ESCHERICHIA-COLI; INTRACELLULAR WATER; BIOGENIC APATITES; HIGH-TEMPERATURE; SLOW GROWTH; PHOSPHATE; PHOSPHORUS</t>
  </si>
  <si>
    <t>Oxygen isotope thermometry has been traditionally based on the ratio of O-18/O-16 in oxyanions of minerals such as carbonate (CaCO3) in shells/tests, and phosphate in bioapatites (Ca-5(PO4)(3)OH) of marine invertebrates/vertebrates (for example, fish) and mammals. The requirement of mineral biomass, however, has restricted the application of oxygen isotope thermometry to only those organisms possessing biomineral hardparts. This has completely omitted from study, not only organisms lacking hard mineral tissues, but two entire Domains of life: Bacteria and Archaea. Prokaryotic organisms in the domains Bacteria and Archaea comprise the majority of earth's biodiversity and also inhabit the most extreme environments on earth. This calls for a thermometry based on a more rudimentary component of biomass that is present in all organisms such as DNA. Our previous studies of the ubiquitous intracellular enzyme inorganic pyrophosphatase (PPase), which catalyzes oxygen isotope exchange between dissolved inorganic PO4 (P-i) and water inside of cells, suggest that DNA may contain even more information than the blueprint for life. Here we show that PO4 moieties in DNA record the temperature at which life forms and evolves. Our results demonstrate that the O-18/O-16 ratio of PO4 (delta O-18(P)) in DNA as well as in bulk biomass, reflects the temperature-dependent exchange of oxygen isotopes between PO4 and intracellular water. Thus, delta O-18(P) values of DNA may serve as both a new soft-tissue bio-thermometer and probe of intracellular PO4 or water during DNA synthesis and cellular growth. Results presented here of the first direct measurements of the oxygen isotopic composition of PO4 in microbial DNA, demonstrate systematic variation in delta O-18(P) of DNA from several different strains of microorganisms as a function of temperature, and also extend the PO4-water O-isotope thermometer to &gt;70 degrees C. A composite calibration curve based on several strains of bacteria is presented for DNA-PO4-water -temperature relations between 12 and 75 degrees C and suggests a universal DNA-based oxygen isotope thermometry for microorganisms that may further extend to all organisms. Our results open the possibility of connecting temperature with taxonomy and also expand the range of investigations of habitat temperatures and limits to life in extreme and diverse environments, from Earth's subsurface deep biosphere to Antarctic ice sheets and extraterrestrial systems where life may have originated at extreme temperatures.</t>
  </si>
  <si>
    <t>[Blake, Ruth E.; Surkov, Aleksandr V.; Stout, Lisa M.; Li, Hui; Chang, Sae Jung; Jaisi, Deb P.; Colman, Albert S.; Liang, Yuhong] Yale Univ, Dept Geol &amp; Geophys, POB 208109, New Haven, CT 06520 USA; [Surkov, Aleksandr V.] Borisoglebsk State Pedag Inst, Voronezh Region, Russia; [Stout, Lisa M.; Jaisi, Deb P.] Univ Delaware, Dept Plant &amp; Soil Sci, Newark, DE 19716 USA; [Chang, Sae Jung] Korea Basic Sci Inst, Div Earth &amp; Environm Sci, Cheongju 28119, Chungbuk, South Korea; [Colman, Albert S.] Univ Chicago, Dept Geophys Sci, 5734 S Ellis Ave, Chicago, IL 60637 USA; [Liang, Yuhong] Mt Sinai Sch Med, Dept Microbiol, New York, NY 10029 USA</t>
  </si>
  <si>
    <t>Yale University; University of Delaware; Korea Basic Science Institute (KBSI); University of Chicago; Icahn School of Medicine at Mount Sinai</t>
  </si>
  <si>
    <t>Blake, RE (corresponding author), Yale Univ, Dept Geol &amp; Geophys, POB 208109, New Haven, CT 06520 USA.</t>
  </si>
  <si>
    <t>ruth.blake@yale.edu</t>
  </si>
  <si>
    <t>AMER JOURNAL SCIENCE</t>
  </si>
  <si>
    <t>NEW HAVEN</t>
  </si>
  <si>
    <t>YALE UNIV, PO BOX 208109, NEW HAVEN, CT 06520-8109 USA</t>
  </si>
  <si>
    <t>0002-9599</t>
  </si>
  <si>
    <t>1945-452X</t>
  </si>
  <si>
    <t>AM J SCI</t>
  </si>
  <si>
    <t>Am. J. Sci.</t>
  </si>
  <si>
    <t>10.2475/09.2016.01</t>
  </si>
  <si>
    <t>EC8AU</t>
  </si>
  <si>
    <t>WOS:000388363100001</t>
  </si>
  <si>
    <t>Córdova, M; Célleri, R; Shellito, CJ; Orellana-Alvear, J; Abril, A; Carrillo-Rojas, G</t>
  </si>
  <si>
    <t>Cordova, Mario; Celleri, Rolando; Shellito, Cindy J.; Orellana-Alvear, Johanna; Abril, Andres; Carrillo-Rojas, Galo</t>
  </si>
  <si>
    <t>Near-surface air temperature lapse rate over complex terrain in the Southern Ecuadorian Andes: implications for temperature mapping</t>
  </si>
  <si>
    <t>MOUNTAINOUS TERRAIN; QILIAN MOUNTAINS; ENERGY BALANCE; UNITED-STATES; WEATHER; CLIMATE; EVAPOTRANSPIRATION; REGIONS; CHINA; PRECIPITATION</t>
  </si>
  <si>
    <t>Near-surface air temperature variation with altitude (Tlr) is important for several applications including hydrology, ecology, climate, and biodiversity. To calculate Tlr accurately, a dense monitoring network over an altitudinal gradient is needed. Typically, meteorological monitoring in mountain regions is scarce and not adequate to calculate Tlr correctly. To overcome this problem in our region, we monitored temperature over a gradient ranging 2600-4200 m a.s.l. during an 18 month period. Using these data, we calculated Tlr for the first time at this altitude in the Andes and tested the impact of using the standard Tlr values instead of the observed ones to map temperature by means of the MTCLIM model. We found that annual lapse rate values (6.9 degrees C km(-1) for Tmean, 5.5 degrees C km(-1) for Tmin, and 8.8 degrees C km(-1) for Tmax) differ significantly from the MTCLIM default values and that temperature maps improved vastly when measured Tlr was entered, especially for Tmax and Tmin. Our results may be representative of the broader area, as Tlr in our study period is not affected by microclimatic conditions generated by differences in topography and land cover between our monitoring sites; moreover, observed temperature during our study period was found to be representative of the longer-term annual climatology of the region.</t>
  </si>
  <si>
    <t>[Cordova, Mario; Celleri, Rolando; Orellana-Alvear, Johanna; Abril, Andres; Carrillo-Rojas, Galo] Univ Cuenca, Dept Recursos Hidricos &amp; Ciencias Ambientales, Victor Manuel Albornoz &amp; Cerezos, Campus Balzay, Cuenca 010207, Ecuador; [Celleri, Rolando] Univ Cuenca, Fac Ciencias Agr, Ave 12 Octubre,Campus Yanuncay, Cuenca 010205, Ecuador; [Shellito, Cindy J.] Univ Northern Colorado, Dept Earth &amp; Atmospher Sci, Greeley, CO 80639 USA; [Orellana-Alvear, Johanna; Carrillo-Rojas, Galo] Univ Cuenca, Fac Ciencias Quim, Ave 12 Abril &amp; Agustin Cueva, Cuenca 010203, Ecuador; [Orellana-Alvear, Johanna; Carrillo-Rojas, Galo] Univ Marburg, Fac Geog, Lab Climatol &amp; Remote Sensing, Deutschhausstr 12, D-35032 Marburg, Germany</t>
  </si>
  <si>
    <t>Universidad de Cuenca; Universidad de Cuenca; University of Northern Colorado; Universidad de Cuenca; Philipps University Marburg</t>
  </si>
  <si>
    <t>Córdova, M (corresponding author), Univ Cuenca, Dept Recursos Hidricos &amp; Ciencias Ambientales, Victor Manuel Albornoz &amp; Cerezos, Campus Balzay, Cuenca 010207, Ecuador.</t>
  </si>
  <si>
    <t>marioandrescm89@gmail.com</t>
  </si>
  <si>
    <t>Córdova, Mario/AAK-2355-2021</t>
  </si>
  <si>
    <t>Córdova, Mario/0000-0001-8026-0387; Carrillo-Rojas, Galo/0000-0003-4410-6926; Orellana-Alvear, Johanna/0000-0002-6206-075X; Celleri, Rolando/0000-0002-7683-3768</t>
  </si>
  <si>
    <t>Empresa Publica Municipal de Telecomunicaciones, Agua Potable, Alcantarillado y Saneamiento (ETAPA EP-Parque Nacional Cajas); Direccion de Investigacion de la Universidad de Cuenca (DIUC); Secretaria Nacional de Ciencia y Tecnologia (SENESCYT)</t>
  </si>
  <si>
    <t>This research was carried out under the project Meteorological cycles and evapotranspiration along an altitudinal gradient in Cajas National Park funded by Empresa Publica Municipal de Telecomunicaciones, Agua Potable, Alcantarillado y Saneamiento (ETAPA EP-Parque Nacional Cajas) and Direccion de Investigacion de la Universidad de Cuenca (DIUC). We are thankful to Secretaria Nacional de Ciencia y Tecnologia (SENESCYT) for funding the equipment used in this study, Ministerio del Ambiente del Ecuador (MAE) for the research permissions, and Fundacion Jardin del Cajas for providing space within their installations for one of the study sites. We are grateful to the Ecuadorian Fulbright Commission for providing support for Cindy J. Shellito. We are also thankful to INAMHI for providing the long-term data. Special thanks are due to the staff and students who contributed to the meteorological monitoring. We also acknowledge the three anonymous reviewers and the associate editor who contributed to greatly improve the quality of the manuscript.</t>
  </si>
  <si>
    <t>10.1657/AAAR0015-077</t>
  </si>
  <si>
    <t>WOS:000389317200005</t>
  </si>
  <si>
    <t>Carey, CJ; Hart, SC; Aciego, SM; Riebe, CS; Blakowski, MA; Aronson, EL</t>
  </si>
  <si>
    <t>Carey, Chelsea J.; Hart, Stephen C.; Aciego, Sarah M.; Riebe, Clifford S.; Blakowski, Molly A.; Aronson, Emma L.</t>
  </si>
  <si>
    <t>Microbial community structure of subalpine snow in the Sierra Nevada, California</t>
  </si>
  <si>
    <t>SAHARAN DUST DEPOSITION; BACTERIAL COMMUNITIES; GENOME SEQUENCE; ARCTIC SNOW; MONT-BLANC; DIVERSITY; COVER; MICROORGANISMS; VARIABILITY; DEPTH</t>
  </si>
  <si>
    <t>Mounting evidence suggests that Earth's cryosphere harbors diverse and active microbial communities. However, our understanding of microbial composition and diversity in seasonal snowpack of montane ecosystems remains limited. We sequenced the 16S rRNA gene to determine microbial structure (composition and diversity) of snow at two depths (0-15 and 15-30 cm) of a subalpine site in the Southern Sierra Critical Zone Observatory, California, U.S.A. Proteobacteria dominated both depths (similar to 72% of sequences), and this phylum was composed mostly of bacteria within the Rhodospirillales order. Cyanobacteria were almost exclusively present in the upper snow layer, while Actinobacteria and Firmicutes were more abundant in the deep snow layer. Many of the most abundant phylotypes were Acetobacteraceae. Phylotype NCR4874, which comprised 22%-32% of the sequences, was most closely related to the N-2-fixing bacteria Asaia siamensis, suggesting that N-2 fixation may be an important process within the Sierra snowpack. In addition, just under half (45%) of the numerically dominant phylotypes shared &gt;98% similarity with sequences recovered from other cold environments. Our results suggest that microbial communities of subalpine Sierra Nevada snowpack are diverse, with both snow depths harboring distinct but overlapping communities consisting largely of cold-adapted bacteria.</t>
  </si>
  <si>
    <t>[Carey, Chelsea J.; Aronson, Emma L.] Univ Calif Riverside, Dept Plant Pathol &amp; Microbiol, 900 Univ Ave, Riverside, CA 92521 USA; [Carey, Chelsea J.; Hart, Stephen C.] Univ Calif, Life &amp; Environm Sci, 5200 North Lake Rd, Merced, CA 95343 USA; [Hart, Stephen C.] Univ Calif, Sierra Nevada Res Inst, 5200 North Lake Rd, Merced, CA 95343 USA; [Aciego, Sarah M.; Blakowski, Molly A.] Univ Michigan, Dept Earth &amp; Environm Sci, 1100 North Univ Ave, Ann Arbor, MI 48109 USA; [Riebe, Clifford S.] Univ Wyoming, Dept Geol &amp; Geophys, 1000 East Univ Ave, Laramie, WY 82071 USA</t>
  </si>
  <si>
    <t>University of California System; University of California Riverside; University of California System; University of California Merced; University of California System; University of California Merced; University of Michigan System; University of Michigan; University of Wyoming</t>
  </si>
  <si>
    <t>Carey, CJ (corresponding author), Univ Calif Riverside, Dept Plant Pathol &amp; Microbiol, 900 Univ Ave, Riverside, CA 92521 USA.;Carey, CJ (corresponding author), Univ Calif, Life &amp; Environm Sci, 5200 North Lake Rd, Merced, CA 95343 USA.</t>
  </si>
  <si>
    <t>chelsea.carey@ucr.edu</t>
  </si>
  <si>
    <t>Riebe, Clifford S./B-7670-2012; Aronson, Emma L/I-3277-2012</t>
  </si>
  <si>
    <t>Blakowski, Molly/0000-0003-4196-2161; Riebe, Clifford/0000-0002-8744-8208; Aronson, Emma/0000-0002-5018-2688</t>
  </si>
  <si>
    <t>National Science Foundation [EAR 1331939]; National Science Foundation Rapid Response Research (RAPID) program [1449197]; Packard Fellowship; Directorate For Geosciences; Division Of Earth Sciences [1449197] Funding Source: National Science Foundation</t>
  </si>
  <si>
    <t>National Science Foundation(National Science Foundation (NSF)); National Science Foundation Rapid Response Research (RAPID) program; Packard Fellowship(The David &amp; Lucile Packard Foundation); Directorate For Geosciences; Division Of Earth Sciences(National Science Foundation (NSF)NSF - Directorate for Geosciences (GEO))</t>
  </si>
  <si>
    <t>We would like to thank Erin Stacy and Patrick Womble for their help with sample collection. We would also like to thank two anonymous reviewers for providing constructive comments. This research is part of the Southern Sierra Critical Zone Observatory, which is funded by the National Science Foundation (EAR 1331939). Sample collection was funded in part by the National Science Foundation Rapid Response Research (RAPID) program (1449197), and partial funding was provided by a Packard Fellowship to SMA.</t>
  </si>
  <si>
    <t>10.1657/AAAR0015-062</t>
  </si>
  <si>
    <t>WOS:000389317200006</t>
  </si>
  <si>
    <t>Zorio, SD; Williams, CF; Aho, KA</t>
  </si>
  <si>
    <t>Zorio, Stephanie D.; Williams, Charles F.; Aho, Ken A.</t>
  </si>
  <si>
    <t>Sixty-five years of change in montane plant communities in western Colorado, USA</t>
  </si>
  <si>
    <t>CLIMATE-CHANGE; VEGETATION; RESPONSES; SHIFTS</t>
  </si>
  <si>
    <t>Documenting and predicting patterns of vegetation change over time are challenging due to a lack of sufficiently detailed historical data for comparison. Montane plant communities are expected to respond to anthropogenic disturbance, including climate change, in complex ways dependent on component species' responses to changing abiotic and biotic conditions. To investigate the patterns and possible causes of temporal changes in montane plant communities, we resampled 121 transects surveyed by Jean Langenheim from 1948 to 1952 in the East River Basin near Crested Butte, Colorado, U.S.A. Langenheim quantified the composition of the four predominant community types (sagebrush, spruce-fir, upland-herbaceous, and alpine) at sites ranging from 2600 to 4100 m in elevation. Our resurvey of the same sites 65 years later revealed that all four communities currently have much higher levels of heterogeneity among sites and have experienced significant changes in species composition and dominance. Compositional changes include significant increases in bare ground, graminoid and shrub abundance, and loss of forbs, at higher elevations. Species' mean elevations shifted upward 41 m, and many species expanded their ranges into new communities. Elevation shifts were most pronounced from lower elevation communities, while many alpine species shifted their ranges into lower subalpine meadow communities.</t>
  </si>
  <si>
    <t>[Zorio, Stephanie D.; Williams, Charles F.; Aho, Ken A.] Idaho State Univ, Dept Biol Sci, 921 South 8th Ave,Stop 8007, Pocatello, ID 83209 USA; [Williams, Charles F.] Idaho State Univ, Idaho Museum Nat Hist, Ray J Davis Herbarium, 921 South 8th Ave,Stop 8096, Pocatello, ID 83209 USA; [Zorio, Stephanie D.; Williams, Charles F.] Rocky Mt Biol Labs, 8000 CR 317 Box 519, Crested Butte, CO 81224 USA</t>
  </si>
  <si>
    <t>Idaho; Idaho State University; Idaho; Idaho State University</t>
  </si>
  <si>
    <t>Zorio, SD (corresponding author), Idaho State Univ, Dept Biol Sci, 921 South 8th Ave,Stop 8007, Pocatello, ID 83209 USA.;Zorio, SD (corresponding author), Rocky Mt Biol Labs, 8000 CR 317 Box 519, Crested Butte, CO 81224 USA.</t>
  </si>
  <si>
    <t>zoristep@isu.edu</t>
  </si>
  <si>
    <t>Aho, Ken/N-7885-2013</t>
  </si>
  <si>
    <t>Williams, Charles F/0000-0003-4138-308X</t>
  </si>
  <si>
    <t>RMBL (RMBL Graduate Fellowship); Colorado Native Plant Society (John W. Marr Fund); Idaho State University</t>
  </si>
  <si>
    <t>We gratefully acknowledge Dr. Jean Langenheim for her support and interest in the project and access to her archival data. A. Johnson, G. Glynn, K. Darrow, and V. Rossignol provided much useful help with fieldwork. We thank the RMBL (RMBL Graduate Fellowship), the Colorado Native Plant Society (John W. Marr Fund), and Idaho State University (Graduate Research Committee Grant and Career Path Internship Program) for financial support during this study. We thank the U.S. Forest Service for granting research and scientific collecting permits. We especially thank W. Bowman, M. Price, K. Whitney, and an anonymous reviewer for their many insightful and detailed comments that greatly improved the manuscript.</t>
  </si>
  <si>
    <t>10.1657/AAAR0016-011</t>
  </si>
  <si>
    <t>WOS:000389317200007</t>
  </si>
  <si>
    <t>Gersony, JT; Prager, CM; Boelman, NT; Eitel, JUH; Gough, L; Greaves, HE; Griffin, KL; Magney, TS; Sweet, SK; Vierling, LA; Naeem, S</t>
  </si>
  <si>
    <t>Gersony, Jessica T.; Prager, Case M.; Boelman, Natalie T.; Eitel, Jan U. H.; Gough, Laura; Greaves, Heather E.; Griffin, Kevin L.; Magney, Troy S.; Sweet, Shannan K.; Vierling, Lee A.; Naeem, Shahid</t>
  </si>
  <si>
    <t>Scaling thermal properties from the leaf to the canopy in the Alaskan arctic tundra</t>
  </si>
  <si>
    <t>Plants are strongly influenced by their thermal environments, and this influence manifests itself in a variety of ways, such as altered ranges, growth, morphology, or physiology. However, plants also modify their local thermal environments through feedbacks related to properties and processes such as albedo and evapotranspiration. Here, we used leaf-and plot-level thermography on the north slope of the Brooks Range, Alaska, to explore interspecific differences in thermal properties among arctic tundra plants, and to determine if species differentially contribute to plot temperature. At the leaf-level, we found significant differences (p &lt; 0.05) for in situ temperatures among the 13 study species. At the plot level, we found that the fractional cover of vascular plant species, lichen, litter, and moss had a significant effect on plot temperature (p &lt; 0.05, R-2= 0.61). A second model incorporating thermal leaf properties-in addition to the fraction of vascular plant and other dominant ground covers-also predicted plot temperature, but with lower explanatory power (p &lt; 0.05, R-2= 0.32). These results potentially have important implications for our understanding of how individual plant species influence canopy-level thermal properties and how temperature-dependent properties and processes may be impacted by climate change-induced shifts in species composition.</t>
  </si>
  <si>
    <t>[Gersony, Jessica T.; Prager, Case M.; Griffin, Kevin L.; Naeem, Shahid] Columbia Univ, Dept Ecol Evolut &amp; Environm Biol, 10th Floor Schermerhorn Extens, New York, NY 10027 USA; [Boelman, Natalie T.; Griffin, Kevin L.; Sweet, Shannan K.] Columbia Univ, Dept Earth &amp; Environm Sci, 557 Schermerhorn Extens,1200 Amsterdam Ave, New York, NY 10027 USA; [Boelman, Natalie T.; Griffin, Kevin L.; Sweet, Shannan K.] Columbia Univ, Lamont Doherty Earth Observ, 61 Route 9W, Palisades, NY 10964 USA; [Eitel, Jan U. H.; Greaves, Heather E.; Magney, Troy S.; Vierling, Lee A.] Univ Idaho, Dept Nat Resources &amp; Soc, Geospatial Lab Environm Dynam, 875 Perimeter Dr,MS 1133, Moscow, ID 83844 USA; [Eitel, Jan U. H.; Vierling, Lee A.] Univ Idaho, McCall Outdoor Sci Sch, McCall, ID 83638 USA; [Gough, Laura] Towson Univ, Dept Biol Sci, 8000 York Rd, Towson, MD 21252 USA</t>
  </si>
  <si>
    <t>Columbia University; Columbia University; Columbia University; Idaho; University of Idaho; Idaho; University of Idaho; University System of Maryland; Towson University</t>
  </si>
  <si>
    <t>Gersony, JT (corresponding author), Harvard Univ, Dept Organism &amp; Evolutionary Biol, Biol Labs, Room 3107,16 Divin Ave, Cambridge, MA 02138 USA.</t>
  </si>
  <si>
    <t>Jgersony@g.harvard.edu</t>
  </si>
  <si>
    <t>Griffin, Kevin L./B-2629-2013; Griffin, Kevin Lee/GWZ-4828-2022; boelman, natalie t/K-9789-2015</t>
  </si>
  <si>
    <t>Griffin, Kevin L./0000-0003-4124-3757; Boelman, Natalie/0000-0003-3716-2372; Magney, Troy/0000-0002-9033-0024</t>
  </si>
  <si>
    <t>Institute of Arctic Biology (University of Alaska, Fairbanks); Toolik Field Station (University of Alaska, Fairbanks); Direct For Biological Sciences; Division Of Environmental Biology [1026843] Funding Source: National Science Foundation</t>
  </si>
  <si>
    <t>Institute of Arctic Biology (University of Alaska, Fairbanks); Toolik Field Station (University of Alaska, Fairbanks); Direct For Biological Sciences; Division Of Environmental Biology(National Science Foundation (NSF)NSF - Directorate for Biological Sciences (BIO))</t>
  </si>
  <si>
    <t>We would like to thank all of Team Blazer for help during every aspect of this project. We would like to thank Jessica Cherry and Lily Cohen for the meteorological data. We thank the Institute of Arctic Biology and Toolik Field Station (University of Alaska, Fairbanks) for support and logistics.</t>
  </si>
  <si>
    <t>10.1657/AAAR0016-013</t>
  </si>
  <si>
    <t>WOS:000389317200009</t>
  </si>
  <si>
    <t>Srur, AM; Villalba, R; Rodriguez-Caton, M; Amoroso, MM; Marcotti, E</t>
  </si>
  <si>
    <t>Srur, Ana M.; Villalba, Ricardo; Rodriguez-Caton, Milagros; Amoroso, Mariano M.; Marcotti, Eugenia</t>
  </si>
  <si>
    <t>Establishment of Nothofagus pumilio at upper treelines across a precipitation gradient in the northern Patagonian Andes</t>
  </si>
  <si>
    <t>TIERRA-DEL-FUEGO; ALPINE TIMBERLINE; CLIMATE-CHANGE; REGIME SHIFTS; TREE; DYNAMICS; TEMPERATURE; MOUNTAINS; IMPACTS; GROWTH</t>
  </si>
  <si>
    <t>Trees at upper treelines are exposed to more extreme environmental conditions than those at lower elevations. Climate changes at the upper treeline facilitate the establishment or intensify the mortality of trees and, consequently, affect species distributions. The structure and density of individuals of Nothofagus pumilio above the upper treeline, together with their temporal patterns of establishment, were determined in three sites located along a west-east precipitation gradient across the Patagonian Andes. Patterns of tree establishment were compared to regional variations in temperature and precipitation, as well as to indexes of atmospheric circulation that modulate northern Patagonian climate. Mesic and dry sites along the moisture gradient have a lower density of newly established trees; however, individuals show larger basal diameters and greater annual growth rates, heights, and number of branches than those established in humid sites. In wet areas, the high density of individuals reflects the higher rates of N. pumilio establishment and survival. At drier treelines, low snow persistence, associated with longer growing seasons, appears to be related to the larger size of individuals. At all sites, patterns of tree establishment are characterized by an abrupt increase in recruitment starting in the mid-1970s and a marked decrease in the late 1990s. The onset of tree establishment above the treeline coincides with an increase in regional spring-summer temperature in the year 1977, concurrent with the negative-to-positive shift in the phase of the Pacific Decadal Oscillation (PDO). In contrast, the decrease in N. pumilio establishment since the late 1990s coincides with an opposite shift (positive to negative) in the PDO. This recent change in the PDO phase did not significantly modify the mean values but increased the interannual variability of the spring-summer temperatures in the region. Changes in the PDO, which encompasses complex variations in environmental conditions at the upper treeline, are more closely related to N. pumilio establishment than are variations in temperature or precipitation alone. In addition, the distinction between the effects of changes in mean values versus the effects of climate variability is crucial for properly predicting forest responses to climate changes.</t>
  </si>
  <si>
    <t>[Srur, Ana M.; Villalba, Ricardo; Rodriguez-Caton, Milagros; Marcotti, Eugenia] Consejo Nacl Invest Cient &amp; Tecn, CCT Mendoza, Inst Argentino Nivol Glaciol &amp; Ciencias Ambiental, CC 330, RA-5500 Mendoza, Argentina; [Amoroso, Mariano M.] Univ Nacl Rio Negro, Sede Andina, El Bolson, Rio Negro, Argentina; [Amoroso, Mariano M.] Consejo Nacl Invest Cient &amp; Tecn, CCT Patagonia Norte, San Carlos De Bariloche, Rio Negro, Argentina</t>
  </si>
  <si>
    <t>Srur, AM (corresponding author), Consejo Nacl Invest Cient &amp; Tecn, CCT Mendoza, Inst Argentino Nivol Glaciol &amp; Ciencias Ambiental, CC 330, RA-5500 Mendoza, Argentina.</t>
  </si>
  <si>
    <t>asrur@mendoza-conicet.gob.ar</t>
  </si>
  <si>
    <t>Rodriguez-Caton, Milagros/GRE-8611-2022; Amoroso, Mariano/GPX-9214-2022</t>
  </si>
  <si>
    <t>Rodriguez-Caton, Milagros/0000-0002-9608-0150; Villalba, Ricardo/0000-0001-8183-0310; Srur, Ana M./0000-0001-8533-5296</t>
  </si>
  <si>
    <t>CONICET, Argentina; Inter-American Institute for Global Change Research (CRN II) [2047]; Australian Research Council [ARC DP120104320]</t>
  </si>
  <si>
    <t>CONICET, Argentina(Consejo Nacional de Investigaciones Cientificas y Tecnicas (CONICET)); Inter-American Institute for Global Change Research (CRN II); Australian Research Council(Australian Research Council)</t>
  </si>
  <si>
    <t>This study was partially supported by CONICET, Argentina, the Inter-American Institute for Global Change Research (CRN II # 2047), and the Australian Research Council (ARC DP120104320). The authors would like to thank Alberto Ripalta, Andrea Medina, Daniel Falaschi, Silvia Delgado, and Jorge Puga for field work assistance. Valeria Aschero and Lidia Ferri provided useful comments on the manuscript. Mariano Masiokas, the Subsecretaria de Recursos Hidricos and the Servicio Meteorologico Nacional provided the climate data. Anabela Bonada and Erin Gleeson helped with the preparation of the English version.</t>
  </si>
  <si>
    <t>10.1657/AAAR0016-015</t>
  </si>
  <si>
    <t>WOS:000389317200010</t>
  </si>
  <si>
    <t>Charalampopoulou, A; Poulton, AJ; Bakker, DCE; Lucas, MI; Stinchcombe, MC; Tyrrell, T</t>
  </si>
  <si>
    <t>Charalampopoulou, Anastasia; Poulton, Alex J.; Bakker, Dorothee C. E.; Lucas, Mike I.; Stinchcombe, Mark C.; Tyrrell, Toby</t>
  </si>
  <si>
    <t>Environmental drivers of coccolithophore abundance and calcification across Drake Passage (Southern Ocean)</t>
  </si>
  <si>
    <t>EMILIANIA-HUXLEYI PRYMNESIOPHYCEAE; SEA-SURFACE DISTRIBUTION; LATE AUSTRAL SUMMER; CARBONATE CHEMISTRY; LIVING COMMUNITIES; INORGANIC CARBON; EUROPEAN SHELF; ATLANTIC-OCEAN; PACIFIC SECTOR; PHYTOPLANKTON</t>
  </si>
  <si>
    <t>Although coccolithophores are not as numerically common or as diverse in the Southern Ocean as they are in subpolar waters of the North Atlantic, a few species, such as Emiliania huxleyi, are found during the summer months. Little is actually known about the calcite production (CP) of these communities or how their distribution and physiology relate to environmental variables in this region. In February 2009, we made observations across Drake Passage (between South America and the Antarctic Peninsula) of coccolithophore distribution, CP, primary production, chlorophyll a and macronutrient concentrations, irradiance and carbonate chemistry. Although CP represented less than 1% of total carbon fixation, coccolithophores were widespread across Drake Passage. The B/C morphotype of E. huxleyi was the dominant coccolithophore, with low estimates of coccolith calcite (similar to 0.01 pmol C coccolith(-1)) from biometric measurements. Both cell-normalised calcification (0.01-0.16 pmolC cell(-1) d(-1)) and total CP (&lt;20 mu mol Cm-3 d(-1)) were much lower than those observed in the subpolar North Atlantic where E. huxleyi morphotype A is dominant. However, estimates of coccolith production rates were similar (0.1-1.2 coccoliths cell(-1) h(-1)) to previous measurements made in the subpolar North Atlantic. A multivariate statistical approach found that temperature and irradiance together were best able to explain the observed variation in species distribution and abundance (Spearman's rank correlation rho = 0.4, p &lt; 0.01). Rates of calcification per cell and coccolith production, as well as community CP and E. huxleyi abundance, were all positively correlated (p &lt; 0.05) to the strong latitudinal gradient in temperature, irradiance and calcite saturation states across Drake Passage. Broadly, our results lend support to recent suggestions that coccolithophores, especially E. huxleyi, are advancing polewards. However, our in situ observations indicate that this may owe more to sea-surface warming and increasing irradiance rather than increasing CO2 concentrations.</t>
  </si>
  <si>
    <t>[Charalampopoulou, Anastasia; Tyrrell, Toby] Univ Southampton, Natl Oceanog Ctr Southampton, Ocean &amp; Earth Sci, Southampton SO14 3ZH, Hants, England; [Poulton, Alex J.; Stinchcombe, Mark C.] Natl Oceanog Ctr, Ocean Biogeochem &amp; Ecosyst, Southampton SO14 3ZH, Hants, England; [Bakker, Dorothee C. E.] Univ East Anglia, Sch Environm Sci, Norwich Res Pk, Norwich NR4 7TJ, Norfolk, England; [Lucas, Mike I.] Univ Cape Town, Marine Res Inst, Rondebosch, South Africa</t>
  </si>
  <si>
    <t>University of Southampton; NERC National Oceanography Centre; NERC National Oceanography Centre; University of East Anglia; University of Cape Town</t>
  </si>
  <si>
    <t>Poulton, AJ (corresponding author), Natl Oceanog Ctr, Ocean Biogeochem &amp; Ecosyst, Southampton SO14 3ZH, Hants, England.</t>
  </si>
  <si>
    <t>alex.poulton@noc.ac.uk</t>
  </si>
  <si>
    <t>Bakker, Dorothee/E-4951-2015; Poulton, Alex/A-9859-2012</t>
  </si>
  <si>
    <t>Bakker, Dorothee/0000-0001-9234-5337; Poulton, Alex/0000-0002-5149-6961</t>
  </si>
  <si>
    <t>Oceans 2025; National Capability funding; University of Southampton - Oceans 2025; UK Natural Environmental Research Council (NERC) [NE/F015054/1]; NERC [NE/F01242X/1]; European Project on Ocean Acidification (EPOCA) - European Community [211384]; Natural Environment Research Council [NE/F015054/1, NE/H017038/1, NE/H017046/1, NE/F01242X/1] Funding Source: researchfish; NERC [NE/F015054/1, NE/H017046/1, NE/H017038/1, NE/F01242X/1] Funding Source: UKRI</t>
  </si>
  <si>
    <t>Oceans 2025; National Capability funding; University of Southampton - Oceans 2025; UK Natural Environmental Research Council (NERC)(UK Research &amp; Innovation (UKRI)Natural Environment Research Council (NERC)); NERC(UK Research &amp; Innovation (UKRI)Natural Environment Research Council (NERC)); European Project on Ocean Acidification (EPOCA) - European Community; Natural Environment Research Council(UK Research &amp; Innovation (UKRI)Natural Environment Research Council (NERC)); NERC(UK Research &amp; Innovation (UKRI)Natural Environment Research Council (NERC))</t>
  </si>
  <si>
    <t>We would like to thank the officers and crew of the RRS James Clark Ross, the scientists and Principal Scientific Officer, Elaine McDonagh, of JC031. Furthermore, we would like to thank Chris Daniels for reading and commenting on a previous draft. The authors would also like to acknowledge the support of Oceans 2025 and National Capability funding which supports the Drake Passage Sustained Observation project. Anastasia Charalampopoulou was supported by a University of Southampton PhD studentship, with her participation in the JC031 supported by Oceans 2025 funding. Alex J. Poulton was supported by a UK Natural Environmental Research Council (NERC) postdoctoral fellowship (NE/F015054/1). Dorothee C. E. Bakker was supported by a NERC research grant (NE/F01242X/1). Anastasia Charalampopoulou and Toby Tyrrell also acknowledge financial support from the European Project on Ocean Acidification (EPOCA) which received funding from the European Community's Seventh Framework Programme (FP7/2007-2013) under grant agreement no. 211384.</t>
  </si>
  <si>
    <t>10.5194/bg-13-5917-2016</t>
  </si>
  <si>
    <t>EA3HT</t>
  </si>
  <si>
    <t>WOS:000386493400001</t>
  </si>
  <si>
    <t>Gilg, O; Istomina, L; Heygster, G; Strom, H; Gavrilo, MV; Mallory, ML; Gilchrist, G; Aebischer, A; Sabard, B; Huntemann, M; Mosbech, A; Yannic, G</t>
  </si>
  <si>
    <t>Gilg, Olivier; Istomina, Larysa; Heygster, Georg; Strom, Hallvard; Gavrilo, Maria V.; Mallory, Mark L.; Gilchrist, Grant; Aebischer, Adrian; Sabard, Brigitte; Huntemann, Marcus; Mosbech, Anders; Yannic, Glenn</t>
  </si>
  <si>
    <t>Living on the edge of a shrinking habitat: the ivory gull, Pagophila eburnea, an endangered sea-ice specialist</t>
  </si>
  <si>
    <t>BIOLOGY LETTERS</t>
  </si>
  <si>
    <t>Arctic; ice concentration; ice-edge; seabird; satellite tracking; satellite microwave radiometers</t>
  </si>
  <si>
    <t>MARINE MAMMALS; CONTAMINATION; SEABIRDS; ATLANTIC</t>
  </si>
  <si>
    <t>The ongoing decline of sea ice threatens many Arctic taxa, including the ivory gull. Understanding how ice-edges and ice concentrations influence the distribution of the endangered ivory gulls is a prerequisite to the implementation of adequate conservation strategies. From 2007 to 2013, we used satellite transmitters to monitor the movements of 104 ivory gulls originating from Canada, Greenland, Svalbard-Norway and Russia. Although half of the positions were within 41 km of the ice-edge (75% within 100 km), approximately 80% were on relatively highly concentrated sea ice. Ivory gulls used more concentrated sea ice in summer, when close to their high-Arctic breeding ground, than in winter. The best model to explain the distance of the birds from the ice-edge included the ice concentration within approximately 10 km, the month and the distance to the colony. Given the strong links between ivory gull, ice-edge and ice concentration, its conservation status is unlikely to improve in the current context of sea-ice decline which, in turn, will allow anthropogenic activities to develop in regions that are particularly important for the species.</t>
  </si>
  <si>
    <t>[Gilg, Olivier] Univ Bourgogne Franche Comte, UMR Biogeosci 6282, F-21000 Dijon, France; [Gilg, Olivier; Aebischer, Adrian; Sabard, Brigitte; Yannic, Glenn] GREA, F-21440 Francheville, France; [Istomina, Larysa; Heygster, Georg] Univ Bremen, Inst Environm Phys IUP, Bremen, Germany; [Strom, Hallvard] Norwegian Polar Res Inst, Fram Ctr, N-9296 Tromso, Norway; [Gavrilo, Maria V.] Natl Pk Russian Arctic, Arkhangelsk 168000, Russia; [Mallory, Mark L.] Acadia Univ, Dept Biol, Wolfville, NS B4P 2R6, Canada; [Gilchrist, Grant] Carleton Univ, Environm Canada, Natl Wildlife Res Ctr, Ottawa, ON, Canada; [Huntemann, Marcus] Helmholtz Ctr Polar &amp; Marine Res, Alfred Wegener Inst, Bremerhaven, Germany; [Mosbech, Anders] Aarhus Univ, Dept Biosci, DK-4000 Roskilde, Denmark; [Mosbech, Anders] Aarhus Univ, Arctic Res Ctr, DK-4000 Roskilde, Denmark; [Yannic, Glenn] Univ Savoie Mt Blanc, UMR CNRS 5553, Lab Ecol Alpine, F-73376 Le Bourget Du Lac, France</t>
  </si>
  <si>
    <t>Universite de Bourgogne; University of Bremen; Norwegian Polar Institute; Acadia University; Environment &amp; Climate Change Canada; Canadian Wildlife Service; National Wildlife Research Centre - Canada; Carleton University; Helmholtz Association; Alfred Wegener Institute, Helmholtz Centre for Polar &amp; Marine Research; Aarhus University; Aarhus University; Centre National de la Recherche Scientifique (CNRS); CNRS - Institute of Ecology &amp; Environment (INEE); Communaute Universite Grenoble Alpes; Universite Grenoble Alpes (UGA); Universite Savoie Mont Blanc</t>
  </si>
  <si>
    <t>Gilg, O (corresponding author), Univ Bourgogne Franche Comte, UMR Biogeosci 6282, F-21000 Dijon, France.;Gilg, O (corresponding author), GREA, F-21440 Francheville, France.</t>
  </si>
  <si>
    <t>olivier.gilg@gmail.com</t>
  </si>
  <si>
    <t>Mosbech, Anders/Q-5984-2019; GILG, Olivier/C-2588-2008; Gavrilo, Maria V/R-7091-2016; Heygster, Georg C./B-4928-2014; YANNIC, Glenn/HDO-0551-2022; Mallory, Mark L/A-1952-2017</t>
  </si>
  <si>
    <t>Mosbech, Anders/0000-0002-7581-7037; Gavrilo, Maria V/0000-0002-3500-9617; YANNIC, Glenn/0000-0002-6477-2312; GILG, Olivier/0000-0002-9083-4492; Heygster, Georg/0000-0003-2232-7429</t>
  </si>
  <si>
    <t>Kenneth Molson Foundation [58-0-205568]; Environment Canada [K4E21-12-0850]; Natural Sciences and Engineering Research Council of Canada [41-0-205561]; National Geographic Society; Prix Gore-Tex initiative; Fondation Avenir Finance; Arctic Ocean Diversity Census of Marine Life Project; CNES; CLS; Sagax expeditions; Magasins Intermarche; Societe Henry Maire; Lestra; MSR; MSR, Vitagermine; Moulin des Moines; GREA; Joint Norwegian-Russian Commission on Environmental Protection and Russian national programme [IPY 2007/08]</t>
  </si>
  <si>
    <t>Kenneth Molson Foundation; Environment Canada(CGIAR); Natural Sciences and Engineering Research Council of Canada(Natural Sciences and Engineering Research Council of Canada (NSERC)CGIAR); National Geographic Society(National Geographic Society); Prix Gore-Tex initiative; Fondation Avenir Finance; Arctic Ocean Diversity Census of Marine Life Project; CNES(Centre National D'etudes Spatiales); CLS; Sagax expeditions; Magasins Intermarche; Societe Henry Maire; Lestra; MSR; MSR, Vitagermine; Moulin des Moines; GREA; Joint Norwegian-Russian Commission on Environmental Protection and Russian national programme</t>
  </si>
  <si>
    <t>This work was supported by, in Canada: Kenneth Molson Foundation (58-0-205568), Environment Canada (K4E21-12-0850), Natural Sciences and Engineering Research Council of Canada (41-0-205561); in Greenland: National Geographic Society, Prix Gore-Tex initiative, Fondation Avenir Finance, Arctic Ocean Diversity Census of Marine Life Project, CNES, CLS, Sagax expeditions, Magasins Intermarche, Societe Henry Maire, Lestra, MSR, Vitagermine, Moulin des Moines, GREA, F. Mariaux, R. Cuvillier, E. Bourgois, F. Paulsen; in Norway and Russia: Norwegian Ministry of Climate and Environment, Norwegian Polar Institute (Centre for Ice, Climate and Ecosystems; ICE), Statoil, Arctic and Antarctic Research Institute. Fieldwork conducted in 2007 and 2008 was part of the Joint Norwegian-Russian Commission on Environmental Protection and Russian national programme of the IPY 2007/08.</t>
  </si>
  <si>
    <t>1744-9561</t>
  </si>
  <si>
    <t>1744-957X</t>
  </si>
  <si>
    <t>BIOL LETTERS</t>
  </si>
  <si>
    <t>Biol. Lett.</t>
  </si>
  <si>
    <t>10.1098/rsbl.2016.0277</t>
  </si>
  <si>
    <t>EE5HO</t>
  </si>
  <si>
    <t>WOS:000389637100003</t>
  </si>
  <si>
    <t>Yotova, R</t>
  </si>
  <si>
    <t>Yotova, Rumiana</t>
  </si>
  <si>
    <t>THE PRINCIPLES OF DUE DILIGENCE AND PREVENTION IN INTERNATIONAL ENVIRONMENTAL LAW</t>
  </si>
  <si>
    <t>CAMBRIDGE LAW JOURNAL</t>
  </si>
  <si>
    <t>ON 16 December 2015, the International Court of Justice (ICJ) delivered its judgment in the joined cases of Certain Activities Carried out by Nicaragua in the Border Area (Costa Rica v Nicaragua) and Construction of a Road in Costa Rica along the San Juan River (Nicaragua v Costa Rica), ICJ Reports 2015. These are the latest in a line of cases raising key principles of international environmental law before the ICJ, following Pulp Mills (2010), Aerial Herbicide Spraying and Whaling in the Antarctic (2014).</t>
  </si>
  <si>
    <t>[Yotova, Rumiana] Lucy Cavendish Coll, Cambridge CB3 0BU, England</t>
  </si>
  <si>
    <t>University of Cambridge</t>
  </si>
  <si>
    <t>Yotova, R (corresponding author), Lucy Cavendish Coll, Cambridge CB3 0BU, England.</t>
  </si>
  <si>
    <t>rvy21@cam.ac</t>
  </si>
  <si>
    <t>EDINBURGH BLDG, SHAFTESBURY RD, CB2 8RU CAMBRIDGE, ENGLAND</t>
  </si>
  <si>
    <t>0008-1973</t>
  </si>
  <si>
    <t>1469-2139</t>
  </si>
  <si>
    <t>CAMB LAW J</t>
  </si>
  <si>
    <t>Camb. Law J.</t>
  </si>
  <si>
    <t>10.1017/S0008197316000672</t>
  </si>
  <si>
    <t>EF6ED</t>
  </si>
  <si>
    <t>WOS:000390422900001</t>
  </si>
  <si>
    <t>Perkins-Kirkpatrick, SE; White, CJ; Alexander, LV; Argüeso, D; Boschat, G; Cowan, T; Evans, JP; Ekström, M; Oliver, ECJ; Phatak, A; Purich, A</t>
  </si>
  <si>
    <t>Perkins-Kirkpatrick, S. E.; White, C. J.; Alexander, L. V.; Argueso, D.; Boschat, G.; Cowan, T.; Evans, J. P.; Ekstrom, M.; Oliver, E. C. J.; Phatak, A.; Purich, A.</t>
  </si>
  <si>
    <t>Natural hazards in Australia: heatwaves</t>
  </si>
  <si>
    <t>ATMOSPHERIC CIRCULATION PATTERNS; HEAT WAVES; CLIMATE VARIABILITY; EL-NINO; TEMPERATURE EXTREMES; SOUTHERN-OSCILLATION; EUROPEAN HEATWAVE; WESTERN-AUSTRALIA; NINGALOO NINO; MODEL</t>
  </si>
  <si>
    <t>As part of a special issue on natural hazards, this paper reviews the current state of scientific knowledge of Australian heatwaves. Over recent years, progress has been made in understanding both the causes of and changes to heatwaves. Relationships between atmospheric heatwaves and large-scale and synoptic variability have been identified, with increasing trends in heatwave intensity, frequency and duration projected to continue throughout the 21st century. However, more research is required to further our understanding of the dynamical interactions of atmospheric heatwaves, particularly with the land surface. Research into marine heatwaves is still in its infancy, with little known about driving mechanisms, and observed and future changes. In order to address these knowledge gaps, recommendations include: focusing on a comprehensive assessment of atmospheric heatwave dynamics; understanding links with droughts; working towards a unified measurement framework; and investigating observed and future trends in marine heatwaves. Such work requires comprehensive and long-term collaboration activities. However, benefits will extend to the international community, thus addressing global grand challenges surrounding these extreme events.</t>
  </si>
  <si>
    <t>[Perkins-Kirkpatrick, S. E.; Alexander, L. V.; Argueso, D.; Evans, J. P.; Purich, A.] UNSW, Climate Change Res Ctr, Sydney, NSW, Australia; [Perkins-Kirkpatrick, S. E.; Alexander, L. V.; Argueso, D.; Evans, J. P.; Purich, A.] UNSW, ARC Ctr Excellence Climate Syst Sci, Sydney, NSW, Australia; [White, C. J.] Univ Tasmania, Sch Engn &amp; ICT, Hobart, Tas, Australia; [White, C. J.] Univ Tasmania, Antarctic Climate &amp; Ecosyst Cooperat Res Ctr, Hobart, Tas, Australia; [Boschat, G.] Univ Melbourne, Sch Earth Sci, Melbourne, Vic, Australia; [Boschat, G.] Univ Melbourne, ARC Ctr Excellence Climate Syst Sci, Melbourne, Vic, Australia; [Cowan, T.; Purich, A.] CSIRO Oceans &amp; Atmosphere, Aspendale, Vic, Australia; [Cowan, T.] Univ Edinburgh, Sch Geosci, Edinburgh, Midlothian, Scotland; [Ekstrom, M.] CSIRO Land &amp; Water, Canberra, ACT, Australia; [Oliver, E. C. J.] Univ Tasmania, Inst Marine &amp; Antarctic Studies, Hobart, Tas, Australia; [Oliver, E. C. J.] Univ Tasmania, ARC Ctr Excellence Climate Syst Sci, Hobart, Tas, Australia; [Phatak, A.] Curtin Univ, Dept Math &amp; Stat, Bentley, WA, Australia</t>
  </si>
  <si>
    <t>University of New South Wales Sydney; University of New South Wales Sydney; ARC Centre of Excellence for Climate System Science; University of Tasmania; Antarctic Climate &amp; Ecosystems Cooperative Research Centre (ACE CRC); University of Tasmania; University of Melbourne; Melbourne Bioinformatics; Melbourne Genomics Health Alliance; University of Melbourne; ARC Centre of Excellence for Climate System Science; Commonwealth Scientific &amp; Industrial Research Organisation (CSIRO); University of Edinburgh; Commonwealth Scientific &amp; Industrial Research Organisation (CSIRO); CSIRO Land &amp; Water; University of Tasmania; ARC Centre of Excellence for Climate System Science; University of Tasmania; Curtin University</t>
  </si>
  <si>
    <t>Perkins-Kirkpatrick, SE (corresponding author), UNSW, Climate Change Res Ctr, Sydney, NSW, Australia.;Perkins-Kirkpatrick, SE (corresponding author), UNSW, ARC Ctr Excellence Climate Syst Sci, Sydney, NSW, Australia.</t>
  </si>
  <si>
    <t>Sarah.Kirkpatrick@unsw.edu.au</t>
  </si>
  <si>
    <t>Cowan, Timothy D/AAA-7372-2019; Perkins-Kirkpatrick, Sarah E/O-5042-2015; Evans, Jason P./F-3716-2011; Argüeso, Daniel/G-1970-2012; Ekstrom, Marie/B-9225-2012; Oliver, Eric/G-5118-2014; Alexander, Lisa/A-8477-2011</t>
  </si>
  <si>
    <t>Cowan, Timothy D/0000-0002-8376-4879; Evans, Jason P./0000-0003-1776-3429; Argüeso, Daniel/0000-0002-4792-162X; Ekstrom, Marie/0000-0001-9716-2337; Oliver, Eric/0000-0002-4006-2826; Alexander, Lisa/0000-0002-5635-2457; Perkins-Kirkpatrick, Sarah/0000-0001-9443-4915</t>
  </si>
  <si>
    <t>Australian Research Council [DE140100952, CE110001028, DP140102855, FT110100576]; Goyder Institute for Water Research; Australian Climate Change Science Program; NSW Office of Environment and Heritage backed NSW/ACT Regional Climate Modelling (NARCliM) Project; Australian Research Council [DE140100952] Funding Source: Australian Research Council</t>
  </si>
  <si>
    <t>Australian Research Council(Australian Research Council); Goyder Institute for Water Research; Australian Climate Change Science Program; NSW Office of Environment and Heritage backed NSW/ACT Regional Climate Modelling (NARCliM) Project; Australian Research Council(Australian Research Council)</t>
  </si>
  <si>
    <t>S.E. Perkins-Kirkpatrick is supported by Australian Research Council grant number DE140100952. L.V. Alexander and E.C.J. Oliver are supported by Australian Research Council grant number CE110001028 and G. Boschat by Australian Research Council grand number DP140102855. T. Cowan and A. Purich are supported by the Goyder Institute for Water Research, and the Australian Climate Change Science Program. J.P. Evans is supported by funding from the NSW Office of Environment and Heritage backed NSW/ACT Regional Climate Modelling (NARCliM) Project and the Australian Research Council as part of the Future Fellowship FT110100576. This paper was a result of collaboration through the 'Trends and Extremes' working group as part of the Australian Water and Energy Exchanges Initiative (OzEWEX).</t>
  </si>
  <si>
    <t>10.1007/s10584-016-1650-0</t>
  </si>
  <si>
    <t>WOS:000387580100007</t>
  </si>
  <si>
    <t>Simon, CJ; Mendo, TC; Green, BS; Gardner, C</t>
  </si>
  <si>
    <t>Simon, Cedric J.; Mendo, Tania C.; Green, Bridget S.; Gardner, Caleb</t>
  </si>
  <si>
    <t>Predicting transport survival of brindle and red rock lobsters Jasus edwardsii using haemolymph biochemistry and behaviour traits</t>
  </si>
  <si>
    <t>Transport; Haemolymph; Crustacean; Biochemistry; Survival; Behaviour</t>
  </si>
  <si>
    <t>ACID-BASE-BALANCE; COMMERCIAL SHIPPING METHODS; HOMARUS-AMERICANUS; NUTRITIONAL CONDITION; PANULIRUS-CYGNUS; LIVE TRANSPORT; PHYSIOLOGICAL PROFILES; CANCER-PAGURUS; SPINY LOBSTER; AIR-EXPOSURE</t>
  </si>
  <si>
    <t>Mortality events during live transport of Jasus edwardsii rock lobsters are common around the time of season openings in Tasmania, with lobsters from deeper fishing areas with pale shell colouration (brindle) being perceived as more susceptible than shallow-water, red-coloured (red) lobsters. The aims of this study were to assess and predict the vulnerability of brindle and red lobsters to extended emersion exposure using pre- and post-emersion data which included 28 haemolymph biochemical parameters and 5 behaviour traits. No effect of lobster shell colour on haemolymph biochemistry, behaviour traits and their vulnerability to emersion was found. A combined survival of 97% after 40 h and 57% after 64 h in a first experiment, and 37% after 64 h in a second experiment, was observed. Behaviour traits (i.e., righting response, tail flips and three reflex behaviours) were poor indicator of survival. Haemolymph parameters were either unaffected by emersion (e.g., Brix index, protein and lipids), affected by emersion but not associated with mortality (e.g., total haemocyte counts, calcium, magnesium, bicarbonate, glucose and uric acid), or associated with mortality following a recovery period (e.g., pH, the sodium to potassium ratio, urea, and the activity of amylase). A build-up of anaerobic end-products and nitrogenous waste most likely resulted in the mortality. A model based on lobster size and the pre-emersion concentration of haemolymph bicarbonate and haemocyanin was found to be a useful indicator of future survival. This study provides promising leads towards the development of a blood based vulnerability test for live crustacean prior transport. (C) 2016 Elsevier Inc. All rights reserved.</t>
  </si>
  <si>
    <t>[Simon, Cedric J.; Mendo, Tania C.; Green, Bridget S.; Gardner, Caleb] Univ Tasmania, Inst Marine &amp; Antarctic Studies, Fisheries &amp; Aquaculture Ctr, Private Bag 49, Hobart, Tas 7001, Australia</t>
  </si>
  <si>
    <t>Simon, CJ (corresponding author), CSIRO, Bribie Isl Res Ctr, 144 North St,POB 2066, Woorim 4507, Australia.</t>
  </si>
  <si>
    <t>Cedric.simon@csiro.au</t>
  </si>
  <si>
    <t>Mendo, Tania/AAH-7734-2020; Simon, Cedric/AET-0945-2022; Simon, Cedric/AAX-5264-2020; Green, Bridget S/G-3368-2014; Gardner, Caleb/I-7086-2013</t>
  </si>
  <si>
    <t>Mendo, Tania/0000-0003-4397-2064; Simon, Cedric/0000-0002-7535-3332; Simon, Cedric/0000-0002-7535-3332; Gardner, Caleb/0000-0003-0324-4337</t>
  </si>
  <si>
    <t>Australian Seafood CRC [2014/726]; Australian Research Council's Industrial Transformation Research Program for Commercial Development of Rock Lobster Culture Systems [IH120100032]; Southern Rock Lobster Ltd.; Tasmanian Department of Primary Industry, Parks, Water and Environment through Sustainable Marine Research Collaboration Agreement</t>
  </si>
  <si>
    <t>Australian Seafood CRC(Australian GovernmentDepartment of Industry, Innovation and ScienceCooperative Research Centres (CRC) Programme); Australian Research Council's Industrial Transformation Research Program for Commercial Development of Rock Lobster Culture Systems(Australian Research Council); Southern Rock Lobster Ltd.; Tasmanian Department of Primary Industry, Parks, Water and Environment through Sustainable Marine Research Collaboration Agreement</t>
  </si>
  <si>
    <t>This work was supported by the Australian Seafood CRC (project 2014/726), the Australian Research Council's Industrial Transformation Research Program for Commercial Development of Rock Lobster Culture Systems (IH120100032), Southern Rock Lobster Ltd., and the Tasmanian Department of Primary Industry, Parks, Water and Environment through the Sustainable Marine Research Collaboration Agreement.</t>
  </si>
  <si>
    <t>10.1016/j.cbpa.2016.07.001</t>
  </si>
  <si>
    <t>WOS:000385325700013</t>
  </si>
  <si>
    <t>Postlethwait, JH; Yan, YL; Desvignes, T; Allard, C; Titus, T; Le François, NR; Detrich, HW</t>
  </si>
  <si>
    <t>Postlethwait, John H.; Yan, Yi-lin; Desvignes, Thomas; Allard, Corey; Titus, Tom; Le Francois, Nathalie R.; Detrich, H. William, III</t>
  </si>
  <si>
    <t>Embryogenesis and early skeletogenesis in the antarctic bullhead notothen, Notothenia coriiceps</t>
  </si>
  <si>
    <t>DEVELOPMENTAL DYNAMICS</t>
  </si>
  <si>
    <t>Notothenioid; Antarctic fish; embryonic developmental staging; skeletogenesis; global climate change; Sox9; Runx2; bone mineral density</t>
  </si>
  <si>
    <t>FISH TREMATOMUS-BERNACCHII; DANIO-RERIO OSTARIOPHYSI; TERRA-NOVA BAY; CHAENOCEPHALUS-ACERATUS; EMBRYONIC-DEVELOPMENT; PLEURAGRAMMA-ANTARCTICUM; SOUTH SHETLAND; EARLY ONTOGENY; CLIMATE-CHANGE; LIFE-HISTORY</t>
  </si>
  <si>
    <t>Background: Environmental temperature influences rates of embryonic development, but a detailed staging series for vertebrate embryos developing in the subzero cold of Antarctic waters is not yet available from fertilization to hatching. Given projected warming of the Southern Ocean, it is imperative to establish a baseline to evaluate potential effects of changing climate on fish developmental dynamics. Results: We studied the Bullhead notothen (Notothenia coriiceps), a notothenioid fish inhabiting waters between -1.9 and +2 degrees C. In vitro fertilization produced embryos that progressed through cleavage, epiboly, gastrulation, segmentation, organogenesis, and hatching. We compared morphogenesis spatially and temporally to Zebrafish and medaka. Experimental animals hatched after about 6 months to early larval stages. To help understand skeletogenesis, we analyzed late embryos for expression of sox9 and runx2, which regulate chondrogenesis, osteogenesis, and eye development. Results revealed that, despite their prolonged developmental time course, N. coriiceps embryos developed similarly to those of other teleosts with large yolk cells. Conclusions: Our studies set the stage for future molecular analyses of development in these extremophile fish. Results provide a foundation for understanding the impact of ocean warming on embryonic development and larval recruitment of notothenioid fish, which are key factors in the marine trophic system. Developmental Dynamics 245:1066-1080, 2016. (c) 2016 Wiley Periodicals, Inc.</t>
  </si>
  <si>
    <t>[Postlethwait, John H.; Yan, Yi-lin; Desvignes, Thomas; Titus, Tom] Univ Oregon, Inst Neurosci, Eugene, OR 97403 USA; [Allard, Corey; Detrich, H. William, III] Biodome Montreal, Div Collect Vivantes &amp; Rech, Montreal, PQ, Canada; [Le Francois, Nathalie R.] Northeastern Univ, Ctr Marine Sci, Dept Marine &amp; Environm Sci, Nahant, MA 01908 USA</t>
  </si>
  <si>
    <t>jpostle@uoneuro.uoregon.edu</t>
  </si>
  <si>
    <t>Thomas, Desvignes/AAX-3526-2020; Le François, Nathalie/U-4515-2019</t>
  </si>
  <si>
    <t>Thomas, Desvignes/0000-0001-5126-8785; Allard, Corey/0000-0002-3554-2059; Le Francois, Nathalie R./0000-0002-9748-8182</t>
  </si>
  <si>
    <t>National Institutes of Health, Office of the Director [R01OD011116]; Office of Polar Programs (OPP); Directorate For Geosciences [1543383, 1247510] Funding Source: National Science Foundation</t>
  </si>
  <si>
    <t>National Institutes of Health, Office of the Director(United States Department of Health &amp; Human ServicesNational Institutes of Health (NIH) - USA); Office of Polar Programs (OPP); Directorate For Geosciences(National Science Foundation (NSF)NSF - Directorate for Geosciences (GEO))</t>
  </si>
  <si>
    <t>Grant sponsor: National Institutes of Health, Office of the Director; Grant number: R01OD011116.</t>
  </si>
  <si>
    <t>1058-8388</t>
  </si>
  <si>
    <t>1097-0177</t>
  </si>
  <si>
    <t>DEV DYNAM</t>
  </si>
  <si>
    <t>Dev. Dyn.</t>
  </si>
  <si>
    <t>10.1002/dvdy.24437</t>
  </si>
  <si>
    <t>Anatomy &amp; Morphology; Developmental Biology</t>
  </si>
  <si>
    <t>DZ4MR</t>
  </si>
  <si>
    <t>WOS:000385833300002</t>
  </si>
  <si>
    <t>Schannwell, C; Barrand, NE; Radic, V</t>
  </si>
  <si>
    <t>Schannwell, Clemens; Barrand, Nicholas E.; Radic, Valentina</t>
  </si>
  <si>
    <t>Future sea-level rise from tidewater and ice-shelf tributary glaciers of the Antarctic Peninsula</t>
  </si>
  <si>
    <t>ice dynamics; sea-level rise; tidewater glaciers; ice-shelf collapse; ice-shelf tributary glaciers</t>
  </si>
  <si>
    <t>OUTLET GLACIERS; MASS CHANGES; SHEET; RETREAT; SURFACE; FLOW; DYNAMICS; INSTABILITY; STABILITY; SCENARIOS</t>
  </si>
  <si>
    <t>Iceberg calving and increased ice discharge from ice-shelf tributary glaciers contribute significant amounts to global sea-level rise (SLR) from the Antarctic Peninsula (AP). Owing to ongoing ice dynamical changes (collapse of buttressing ice shelves), these contributions have accelerated in recent years. As the AP is one of the fastest warming regions on Earth, further ice dynamical adjustment (increased ice discharge) is expected over the next two centuries. In this paper, the first regional SLR projection of the AP from both iceberg calving and increased ice discharge from ice-shelf tributary glaciers in response to ice-shelf collapse is presented. An ice-sheet model forced by temperature output from 13 global climate models (GCMs), in response to the high greenhouse gas emission scenario (RCP8.5), projects AP contribution to SLR of 28 +/- 16 to 32 +/- 16 mm by 2300, partitioned approximately equally between contributions from tidewater glaciers and ice-shelf tributary glaciers. In the RCP4.5 scenario, sea-level rise projections to 2300 are dominated by tidewater glaciers (similar to 8-18 mm). In this cooler scenario, 2.4 +/- 1 mm is added to global sea levels from ice-shelf tributary drainage basins as fewer ice-shelves are projected to collapse. Sea-level projections from ice-shelf tributary glaciers are dominated by drainage basins feeding George VI Ice Shelf, accounting for similar to 70% of simulated SLR. Combined total ice dynamical SLR projections to 2300 from the AP vary between 11 +/- 2 and 32 +/- 16 mm sea-level equivalent (SLE), depending on the emission scenario used. These simulations suggest that omission of tidewater glaciers could lead to a substantial underestimation of the ice-sheet's contribution to regional SLR. (C) 2016 Elsevier B.V. All rights reserved.</t>
  </si>
  <si>
    <t>[Schannwell, Clemens; Barrand, Nicholas E.] Univ Birmingham, Sch Geog Earth &amp; Environm Sci, Birmingham, W Midlands, England; [Schannwell, Clemens] British Antarctic Survey, Nat Environm Res Council, Cambridge, England; [Radic, Valentina] Univ British Columbia, Dept Earth Ocean &amp; Atmospher Sci, Vancouver, BC, Canada</t>
  </si>
  <si>
    <t>University of Birmingham; UK Research &amp; Innovation (UKRI); Natural Environment Research Council (NERC); NERC British Antarctic Survey; University of British Columbia</t>
  </si>
  <si>
    <t>Schannwell, C (corresponding author), Univ Birmingham, Sch Geog Earth &amp; Environm Sci, Birmingham, W Midlands, England.;Schannwell, C (corresponding author), British Antarctic Survey, Nat Environm Res Council, Cambridge, England.</t>
  </si>
  <si>
    <t>cxs400@bham.ac.uk</t>
  </si>
  <si>
    <t>Schannwell, Clemens/0000-0002-6160-2107; Radic, Valentina/0000-0002-1185-0751; Barrand, Nicholas/0000-0003-4428-1863</t>
  </si>
  <si>
    <t>University of Birmingham; NERC [bas0100034] Funding Source: UKRI; Natural Environment Research Council [bas0100034] Funding Source: researchfish</t>
  </si>
  <si>
    <t>University of Birmingham; NERC(UK Research &amp; Innovation (UKRI)Natural Environment Research Council (NERC)); Natural Environment Research Council(UK Research &amp; Innovation (UKRI)Natural Environment Research Council (NERC))</t>
  </si>
  <si>
    <t>C.S. was supported by a PhD studentship from the University of Birmingham. The computations described in this paper were performed using the University of Birmingham BlueBEAR HPC service, which provides a High Performance Computing service to the University's research community. See http://www.birmingham.ac.uk/bear for more details. We acknowledge the World Climate Research Programme's Working Group on Coupled Modelling, which is responsible for CMIP, and we thank the climate modeling groups for producing and making available their model output (available at http://pcmdi9.llnl.gov/). For CMIP the U.S. Department of Energy's Program for Climate Model Diagnosis and Intercomparison provides coordinating support and led development of software infrastructure in partnership with the Global Organization for Earth System Science Portals. We also thank Rob Arthern for fruitful discussions and for providing model output data for our computations, and two anonymous reviewers for comments which improved the manuscript.</t>
  </si>
  <si>
    <t>10.1016/j.epsl.2016.07.054</t>
  </si>
  <si>
    <t>DW8UZ</t>
  </si>
  <si>
    <t>WOS:000383932300016</t>
  </si>
  <si>
    <t>Zhang, HB; Griffiths, ML; Huang, JH; Cai, YJ; Wang, CF; Zhang, F; Cheng, H; Ning, YF; Hu, CY; Xie, SC</t>
  </si>
  <si>
    <t>Zhang, Hongbin; Griffiths, Michael L.; Huang, Junhua; Cai, Yanjun; Wang, Canfa; Zhang, Fan; Cheng, Hai; Ning, Youfeng; Hu, Chaoyong; Xie, Shucheng</t>
  </si>
  <si>
    <t>Antarctic link with East Asian summer monsoon variability during the Heinrich Stadial-Bolling interstadial transition</t>
  </si>
  <si>
    <t>speleothem; Asian monsoon; last deglaciation; Antarctic</t>
  </si>
  <si>
    <t>NORTH-ATLANTIC CLIMATE; SEA-LEVEL RISE; MILLENNIAL-SCALE; HIGH-RESOLUTION; DELTA-O-18 RECORDS; INDIAN MONSOON; SOUTHERN-HEMISPHERE; LAST DEGLACIATION; CAVE; HOLOCENE</t>
  </si>
  <si>
    <t>Previous research has shown a strong persistence for direct teleconnections between the East Asian summer monsoon (EASM) and high northern latitude climate variability during the last glacial and deglaciation, in particular between monsoon weakening and a reduced Atlantic meridional overturning circulation (AMOC). However, less attention has been paid to EASM strengthening as the AMOC was reinvigorated following peak Northern Hemisphere (NH) cooling. Moreover, climate model simulations have suggested a strong role for Antarctic meltwater discharge in modulating northward heat transport and hence NH warming, yet the degree to which Southern Hemisphere (SH) climate anomalies impacted the Asian monsoon region is still unclear. Here we present a new stalagmite oxygen-isotope record from the EASM affected region of central China, which documents two prominent stages of increased O-18-depleted moisture delivery to the region through the transition from Heinrich Stadial 1 (HS1) to the Belling-Allered (B-A) interstadial; this is in general agreement with the other monsoonal records from both NH and SH mid to low latitudes. Through novel comparisons with a recent iceberg-rafted debris (IRD) record from the Southern Ocean, we propose that the two-stage EASM intensification observed in our speleothem records were linked with two massive Antarctic icesheet discharge (AID) events at similar to 16.0 ka and, similar to 14.7 ka, immediately following the peak HS1 stadial event. Notably, the large increase in EASM intensity at the beginning of the HS1/B-A transition (similar to 16 ka) is relatively muted in the NH higher latitudes, and better-aligns with the changes observed in the SH, indicating the Antarctic and Southern Ocean perturbations could have an active role in driving the initial EASM strengthening at this time. Indeed, Antarctic freshwater input to the Southern Ocean during these AID events would have cooled the surrounding surface waters and caused an expansion of sea ice, restricting the southern extent of the SH westerlies. Moreover, increased meltwater flux during IRD events would have freshened Antarctic Intermediate Water, leading to the increased formation of North Atlantic Deep Water and enhanced North Atlantic subsurface heat release, and causing a strengthening of the AMOC during the HS1-Bolling transition. The result of this sequence-of-events would have been warming in the North Atlantic whilst at the same time cooling in the Antarctic. The ensuing interhemispheric temperature gradient would have acted to push the ITCZ northward, weakening the Australian-Indonesian summer monsoon (AISM) whilst intensifying the EASM. (C) 2016 Elsevier B.V. All rights reserved.</t>
  </si>
  <si>
    <t>[Zhang, Hongbin; Huang, Junhua; Zhang, Fan] China Univ Geosci, Sch Earth Sci, State Key Lab Geol Proc &amp; Mineral Resources, Wuhan 430074, Peoples R China; [Zhang, Hongbin; Wang, Canfa; Hu, Chaoyong; Xie, Shucheng] China Univ Geosci, State Key Lab Biogeol &amp; Environm Geol, Wuhan 430074, Peoples R China; [Griffiths, Michael L.] William Paterson Univ, Dept Environm Sci, Wayne, NJ 07470 USA; [Cai, Yanjun] Chinese Acad Sci, Inst Earth Environm, State Key Lab Loess &amp; Quaternary Geol, Xian 710075, Peoples R China; [Cai, Yanjun; Cheng, Hai; Ning, Youfeng] Xi An Jiao Tong Univ, Inst Global Environm Change, Xian 710049, Peoples R China; [Cheng, Hai] Univ Minnesota, Dept Earth Sci, Minneapolis, MN 55455 USA</t>
  </si>
  <si>
    <t>China University of Geosciences; China University of Geosciences; Chinese Academy of Sciences; Institute of Earth Environment, CAS; Xi'an Jiaotong University; University of Minnesota System; University of Minnesota Twin Cities</t>
  </si>
  <si>
    <t>Huang, JH (corresponding author), China Univ Geosci, Sch Earth Sci, State Key Lab Geol Proc &amp; Mineral Resources, Wuhan 430074, Peoples R China.;Xie, SC (corresponding author), China Univ Geosci, State Key Lab Biogeol &amp; Environm Geol, Wuhan 430074, Peoples R China.</t>
  </si>
  <si>
    <t>jhhuang@cug.edu.cn; xiecug@163.com</t>
  </si>
  <si>
    <t>CHENG, HAI/H-3413-2017; Xie, Shucheng/E-6713-2011; Griffiths, Michael L/E-9848-2011; WANG, CANFA/G-2644-2015; Cai, Yanjun/A-9462-2010</t>
  </si>
  <si>
    <t>CHENG, HAI/0000-0002-5305-9458; WANG, CANFA/0000-0002-4001-2845; Hu, Chaoyong/0000-0002-4821-9840; Griffiths, Michael/0000-0003-4051-7568; , Shucheng XIE/0000-0002-5763-2928; Cai, Yanjun/0000-0001-7063-5050</t>
  </si>
  <si>
    <t>National Natural Science Foundation of China [41130207]; Key R&amp;D Project of Ministry of Science and Technology [2016YFA0601100]; 111 Program (National Bureau for Foreign Experts and Ministry of Education of China) [B08030]</t>
  </si>
  <si>
    <t>National Natural Science Foundation of China(National Natural Science Foundation of China (NSFC)); Key R&amp;D Project of Ministry of Science and Technology; 111 Program (National Bureau for Foreign Experts and Ministry of Education of China)</t>
  </si>
  <si>
    <t>We are grateful for Prof. Ian Fairchild for his elaborating work and scientific suggestions on an early version of the manuscript. This work was supported by the National Natural Science Foundation of China (grant no. 41130207), the Key R&amp;D Project of Ministry of Science and Technology (grant no. 2016YFA0601100), the 111 Program (National Bureau for Foreign Experts and Ministry of Education of China, grant no. B08030). We thank two anonymous reviewers for insightful comments that greatly improved the overall quality of the manuscript.</t>
  </si>
  <si>
    <t>10.1016/j.epsl.2016.08.008</t>
  </si>
  <si>
    <t>WOS:000383932300024</t>
  </si>
  <si>
    <t>Miranda, JA; Culley, AI; Schvarcz, CR; Steward, GF</t>
  </si>
  <si>
    <t>Miranda, Jaclyn A.; Culley, Alexander I.; Schvarcz, Christopher R.; Steward, Grieg F.</t>
  </si>
  <si>
    <t>RNA viruses as major contributors to Antarctic virioplankton</t>
  </si>
  <si>
    <t>SINGLE-STRANDED-DNA; PRIMER AMPLIFICATION SISPA; INFECTS MARINE DIATOM; VIRAL MORTALITY; SOUTHERN-OCEAN; PENINSULA; SEA; METAGENOMICS; ECOSYSTEMS; DIVERSITY</t>
  </si>
  <si>
    <t>Early work on marine algal viruses focused exclusively on those having DNA genomes, but recent studies suggest that RNA viruses, especially those with positive-sense, single-stranded RNA (+ssRNA) genomes, are abundant in tropical and temperate coastal seawater. To test whether this was also true of polar waters, we estimated the relative abundances of RNA and DNA viruses using a mass ratio approach and conducted shotgun metagenomics on purified viral samples collected from a coastal site near Palmer Station, Antarctica on six occasions throughout a summer phytoplankton bloom (November-March). Our data suggest that RNA viruses contributed up to 65% of the total virioplankton (8-65%), and that, as observed previously in warmer waters, the majority of RNA viruses in these Antarctic RNA virus metagenomes had +ssRNA genomes most closely related to viruses in the order Picornavirales. Assembly of the metagenomic reads resulted in five novel, nearly complete genomes, three of which had features similar to diatom-infecting viruses. Our data are consistent with the hypothesis that RNA viruses influence diatom bloom dynamics in Antarctic waters.</t>
  </si>
  <si>
    <t>[Miranda, Jaclyn A.; Culley, Alexander I.; Schvarcz, Christopher R.; Steward, Grieg F.] Univ Hawaii Manoa, Ctr Microbial Oceanog Res &amp; Educ, Dept Oceanog, 1950 East West Rd, Honolulu, HI 96822 USA; [Culley, Alexander I.] Univ Laval, Dept Biochim Microbiol &amp; Bioinformat, Quebec City, PQ, Canada</t>
  </si>
  <si>
    <t>University of Hawaii System; University of Hawaii Manoa; Laval University</t>
  </si>
  <si>
    <t>Steward, GF (corresponding author), Univ Hawaii Manoa, Ctr Microbial Oceanog Res &amp; Educ, Dept Oceanog, 1950 East West Rd, Honolulu, HI 96822 USA.</t>
  </si>
  <si>
    <t>grieg@hawaii.edu</t>
  </si>
  <si>
    <t>Steward, Grieg/D-9768-2011</t>
  </si>
  <si>
    <t>Steward, Grieg/0000-0001-5988-0522; Schvarcz, Christopher/0000-0003-3789-2033</t>
  </si>
  <si>
    <t>NSF [ANT 09-44851, EF 04-24599]</t>
  </si>
  <si>
    <t>We thank the Palmer LTER group for assistance with sampling and logistics. In particular, Alice Alpert, Jennifer Brum, Kaycee Coleman, Carolina Funkey, Mike Garzio and Edgar Woznica provided invaluable assistance with collecting samples under often challenging conditions. We also thank Mahdi Belcaid and Guylaine Poisson at the Bioinformatics Laboratory at the University of Hawai'i at Manoa for the use of their computer cluster for sequence assembly and BLAST searches. This work was supported by NSF grants to GFS and AIC (ANT 09-44851) and by NSF funding to the Center for Microbial Oceanography: Research and Education (EF 04-24599).</t>
  </si>
  <si>
    <t>10.1111/1462-2920.13291</t>
  </si>
  <si>
    <t>ED1OM</t>
  </si>
  <si>
    <t>WOS:000388614800009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</si>
</sst>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89</v>
      </c>
      <c r="AH2">
        <v>63</v>
      </c>
      <c r="AI2">
        <v>79</v>
      </c>
      <c r="AJ2">
        <v>1</v>
      </c>
      <c r="AK2">
        <v>52</v>
      </c>
      <c r="AL2" t="s">
        <v>92</v>
      </c>
      <c r="AM2" t="s">
        <v>93</v>
      </c>
      <c r="AN2" t="s">
        <v>94</v>
      </c>
      <c r="AO2" t="s">
        <v>95</v>
      </c>
      <c r="AP2" t="s">
        <v>74</v>
      </c>
      <c r="AQ2" t="s">
        <v>74</v>
      </c>
      <c r="AR2" t="s">
        <v>96</v>
      </c>
      <c r="AS2" t="s">
        <v>97</v>
      </c>
      <c r="AT2" t="s">
        <v>98</v>
      </c>
      <c r="AU2">
        <v>2017</v>
      </c>
      <c r="AV2">
        <v>4</v>
      </c>
      <c r="AW2">
        <v>2</v>
      </c>
      <c r="AX2" t="s">
        <v>74</v>
      </c>
      <c r="AY2" t="s">
        <v>74</v>
      </c>
      <c r="AZ2" t="s">
        <v>74</v>
      </c>
      <c r="BA2" t="s">
        <v>74</v>
      </c>
      <c r="BB2" t="s">
        <v>74</v>
      </c>
      <c r="BC2" t="s">
        <v>74</v>
      </c>
      <c r="BD2">
        <v>160548</v>
      </c>
      <c r="BE2" t="s">
        <v>99</v>
      </c>
      <c r="BF2" t="str">
        <f>HYPERLINK("http://dx.doi.org/10.1098/rsos.160548","http://dx.doi.org/10.1098/rsos.160548")</f>
        <v>http://dx.doi.org/10.1098/rsos.160548</v>
      </c>
      <c r="BG2" t="s">
        <v>74</v>
      </c>
      <c r="BH2" t="s">
        <v>74</v>
      </c>
      <c r="BI2">
        <v>16</v>
      </c>
      <c r="BJ2" t="s">
        <v>100</v>
      </c>
      <c r="BK2" t="s">
        <v>101</v>
      </c>
      <c r="BL2" t="s">
        <v>102</v>
      </c>
      <c r="BM2" t="s">
        <v>103</v>
      </c>
      <c r="BN2">
        <v>28386419</v>
      </c>
      <c r="BO2" t="s">
        <v>104</v>
      </c>
      <c r="BP2" t="s">
        <v>74</v>
      </c>
      <c r="BQ2" t="s">
        <v>74</v>
      </c>
      <c r="BR2" t="s">
        <v>105</v>
      </c>
      <c r="BS2" t="s">
        <v>106</v>
      </c>
      <c r="BT2" t="str">
        <f>HYPERLINK("https%3A%2F%2Fwww.webofscience.com%2Fwos%2Fwoscc%2Ffull-record%2FWOS:000394469300011","View Full Record in Web of Science")</f>
        <v>View Full Record in Web of Science</v>
      </c>
    </row>
    <row r="3" spans="1:72" x14ac:dyDescent="0.15">
      <c r="A3" t="s">
        <v>72</v>
      </c>
      <c r="B3" t="s">
        <v>107</v>
      </c>
      <c r="C3" t="s">
        <v>74</v>
      </c>
      <c r="D3" t="s">
        <v>74</v>
      </c>
      <c r="E3" t="s">
        <v>74</v>
      </c>
      <c r="F3" t="s">
        <v>108</v>
      </c>
      <c r="G3" t="s">
        <v>74</v>
      </c>
      <c r="H3" t="s">
        <v>74</v>
      </c>
      <c r="I3" t="s">
        <v>109</v>
      </c>
      <c r="J3" t="s">
        <v>77</v>
      </c>
      <c r="K3" t="s">
        <v>74</v>
      </c>
      <c r="L3" t="s">
        <v>74</v>
      </c>
      <c r="M3" t="s">
        <v>78</v>
      </c>
      <c r="N3" t="s">
        <v>79</v>
      </c>
      <c r="O3" t="s">
        <v>74</v>
      </c>
      <c r="P3" t="s">
        <v>74</v>
      </c>
      <c r="Q3" t="s">
        <v>74</v>
      </c>
      <c r="R3" t="s">
        <v>74</v>
      </c>
      <c r="S3" t="s">
        <v>74</v>
      </c>
      <c r="T3" t="s">
        <v>110</v>
      </c>
      <c r="U3" t="s">
        <v>111</v>
      </c>
      <c r="V3" t="s">
        <v>112</v>
      </c>
      <c r="W3" t="s">
        <v>113</v>
      </c>
      <c r="X3" t="s">
        <v>114</v>
      </c>
      <c r="Y3" t="s">
        <v>115</v>
      </c>
      <c r="Z3" t="s">
        <v>116</v>
      </c>
      <c r="AA3" t="s">
        <v>117</v>
      </c>
      <c r="AB3" t="s">
        <v>118</v>
      </c>
      <c r="AC3" t="s">
        <v>119</v>
      </c>
      <c r="AD3" t="s">
        <v>120</v>
      </c>
      <c r="AE3" t="s">
        <v>121</v>
      </c>
      <c r="AF3" t="s">
        <v>74</v>
      </c>
      <c r="AG3">
        <v>54</v>
      </c>
      <c r="AH3">
        <v>6</v>
      </c>
      <c r="AI3">
        <v>7</v>
      </c>
      <c r="AJ3">
        <v>0</v>
      </c>
      <c r="AK3">
        <v>5</v>
      </c>
      <c r="AL3" t="s">
        <v>92</v>
      </c>
      <c r="AM3" t="s">
        <v>93</v>
      </c>
      <c r="AN3" t="s">
        <v>94</v>
      </c>
      <c r="AO3" t="s">
        <v>95</v>
      </c>
      <c r="AP3" t="s">
        <v>74</v>
      </c>
      <c r="AQ3" t="s">
        <v>74</v>
      </c>
      <c r="AR3" t="s">
        <v>96</v>
      </c>
      <c r="AS3" t="s">
        <v>97</v>
      </c>
      <c r="AT3" t="s">
        <v>98</v>
      </c>
      <c r="AU3">
        <v>2017</v>
      </c>
      <c r="AV3">
        <v>4</v>
      </c>
      <c r="AW3">
        <v>2</v>
      </c>
      <c r="AX3" t="s">
        <v>74</v>
      </c>
      <c r="AY3" t="s">
        <v>74</v>
      </c>
      <c r="AZ3" t="s">
        <v>74</v>
      </c>
      <c r="BA3" t="s">
        <v>74</v>
      </c>
      <c r="BB3" t="s">
        <v>74</v>
      </c>
      <c r="BC3" t="s">
        <v>74</v>
      </c>
      <c r="BD3">
        <v>160515</v>
      </c>
      <c r="BE3" t="s">
        <v>122</v>
      </c>
      <c r="BF3" t="str">
        <f>HYPERLINK("http://dx.doi.org/10.1098/rsos.160515","http://dx.doi.org/10.1098/rsos.160515")</f>
        <v>http://dx.doi.org/10.1098/rsos.160515</v>
      </c>
      <c r="BG3" t="s">
        <v>74</v>
      </c>
      <c r="BH3" t="s">
        <v>74</v>
      </c>
      <c r="BI3">
        <v>18</v>
      </c>
      <c r="BJ3" t="s">
        <v>100</v>
      </c>
      <c r="BK3" t="s">
        <v>101</v>
      </c>
      <c r="BL3" t="s">
        <v>102</v>
      </c>
      <c r="BM3" t="s">
        <v>103</v>
      </c>
      <c r="BN3">
        <v>28386417</v>
      </c>
      <c r="BO3" t="s">
        <v>123</v>
      </c>
      <c r="BP3" t="s">
        <v>74</v>
      </c>
      <c r="BQ3" t="s">
        <v>74</v>
      </c>
      <c r="BR3" t="s">
        <v>105</v>
      </c>
      <c r="BS3" t="s">
        <v>124</v>
      </c>
      <c r="BT3" t="str">
        <f>HYPERLINK("https%3A%2F%2Fwww.webofscience.com%2Fwos%2Fwoscc%2Ffull-record%2FWOS:000394469300009","View Full Record in Web of Science")</f>
        <v>View Full Record in Web of Science</v>
      </c>
    </row>
    <row r="4" spans="1:72" x14ac:dyDescent="0.15">
      <c r="A4" t="s">
        <v>72</v>
      </c>
      <c r="B4" t="s">
        <v>125</v>
      </c>
      <c r="C4" t="s">
        <v>74</v>
      </c>
      <c r="D4" t="s">
        <v>74</v>
      </c>
      <c r="E4" t="s">
        <v>74</v>
      </c>
      <c r="F4" t="s">
        <v>126</v>
      </c>
      <c r="G4" t="s">
        <v>74</v>
      </c>
      <c r="H4" t="s">
        <v>127</v>
      </c>
      <c r="I4" t="s">
        <v>128</v>
      </c>
      <c r="J4" t="s">
        <v>129</v>
      </c>
      <c r="K4" t="s">
        <v>74</v>
      </c>
      <c r="L4" t="s">
        <v>74</v>
      </c>
      <c r="M4" t="s">
        <v>78</v>
      </c>
      <c r="N4" t="s">
        <v>79</v>
      </c>
      <c r="O4" t="s">
        <v>74</v>
      </c>
      <c r="P4" t="s">
        <v>74</v>
      </c>
      <c r="Q4" t="s">
        <v>74</v>
      </c>
      <c r="R4" t="s">
        <v>74</v>
      </c>
      <c r="S4" t="s">
        <v>74</v>
      </c>
      <c r="T4" t="s">
        <v>74</v>
      </c>
      <c r="U4" t="s">
        <v>130</v>
      </c>
      <c r="V4" t="s">
        <v>131</v>
      </c>
      <c r="W4" t="s">
        <v>132</v>
      </c>
      <c r="X4" t="s">
        <v>133</v>
      </c>
      <c r="Y4" t="s">
        <v>134</v>
      </c>
      <c r="Z4" t="s">
        <v>135</v>
      </c>
      <c r="AA4" t="s">
        <v>136</v>
      </c>
      <c r="AB4" t="s">
        <v>137</v>
      </c>
      <c r="AC4" t="s">
        <v>138</v>
      </c>
      <c r="AD4" t="s">
        <v>139</v>
      </c>
      <c r="AE4" t="s">
        <v>140</v>
      </c>
      <c r="AF4" t="s">
        <v>74</v>
      </c>
      <c r="AG4">
        <v>85</v>
      </c>
      <c r="AH4">
        <v>95</v>
      </c>
      <c r="AI4">
        <v>100</v>
      </c>
      <c r="AJ4">
        <v>1</v>
      </c>
      <c r="AK4">
        <v>58</v>
      </c>
      <c r="AL4" t="s">
        <v>141</v>
      </c>
      <c r="AM4" t="s">
        <v>142</v>
      </c>
      <c r="AN4" t="s">
        <v>143</v>
      </c>
      <c r="AO4" t="s">
        <v>144</v>
      </c>
      <c r="AP4" t="s">
        <v>74</v>
      </c>
      <c r="AQ4" t="s">
        <v>74</v>
      </c>
      <c r="AR4" t="s">
        <v>145</v>
      </c>
      <c r="AS4" t="s">
        <v>146</v>
      </c>
      <c r="AT4" t="s">
        <v>98</v>
      </c>
      <c r="AU4">
        <v>2017</v>
      </c>
      <c r="AV4">
        <v>3</v>
      </c>
      <c r="AW4">
        <v>2</v>
      </c>
      <c r="AX4" t="s">
        <v>74</v>
      </c>
      <c r="AY4" t="s">
        <v>74</v>
      </c>
      <c r="AZ4" t="s">
        <v>74</v>
      </c>
      <c r="BA4" t="s">
        <v>74</v>
      </c>
      <c r="BB4" t="s">
        <v>74</v>
      </c>
      <c r="BC4" t="s">
        <v>74</v>
      </c>
      <c r="BD4" t="s">
        <v>147</v>
      </c>
      <c r="BE4" t="s">
        <v>148</v>
      </c>
      <c r="BF4" t="str">
        <f>HYPERLINK("http://dx.doi.org/10.1126/sciadv.1600446","http://dx.doi.org/10.1126/sciadv.1600446")</f>
        <v>http://dx.doi.org/10.1126/sciadv.1600446</v>
      </c>
      <c r="BG4" t="s">
        <v>74</v>
      </c>
      <c r="BH4" t="s">
        <v>74</v>
      </c>
      <c r="BI4">
        <v>13</v>
      </c>
      <c r="BJ4" t="s">
        <v>100</v>
      </c>
      <c r="BK4" t="s">
        <v>101</v>
      </c>
      <c r="BL4" t="s">
        <v>102</v>
      </c>
      <c r="BM4" t="s">
        <v>149</v>
      </c>
      <c r="BN4">
        <v>28246631</v>
      </c>
      <c r="BO4" t="s">
        <v>150</v>
      </c>
      <c r="BP4" t="s">
        <v>74</v>
      </c>
      <c r="BQ4" t="s">
        <v>74</v>
      </c>
      <c r="BR4" t="s">
        <v>105</v>
      </c>
      <c r="BS4" t="s">
        <v>151</v>
      </c>
      <c r="BT4" t="str">
        <f>HYPERLINK("https%3A%2F%2Fwww.webofscience.com%2Fwos%2Fwoscc%2Ffull-record%2FWOS:000397039500017","View Full Record in Web of Science")</f>
        <v>View Full Record in Web of Science</v>
      </c>
    </row>
    <row r="5" spans="1:72" x14ac:dyDescent="0.15">
      <c r="A5" t="s">
        <v>72</v>
      </c>
      <c r="B5" t="s">
        <v>152</v>
      </c>
      <c r="C5" t="s">
        <v>74</v>
      </c>
      <c r="D5" t="s">
        <v>74</v>
      </c>
      <c r="E5" t="s">
        <v>74</v>
      </c>
      <c r="F5" t="s">
        <v>153</v>
      </c>
      <c r="G5" t="s">
        <v>74</v>
      </c>
      <c r="H5" t="s">
        <v>74</v>
      </c>
      <c r="I5" t="s">
        <v>154</v>
      </c>
      <c r="J5" t="s">
        <v>155</v>
      </c>
      <c r="K5" t="s">
        <v>74</v>
      </c>
      <c r="L5" t="s">
        <v>74</v>
      </c>
      <c r="M5" t="s">
        <v>78</v>
      </c>
      <c r="N5" t="s">
        <v>79</v>
      </c>
      <c r="O5" t="s">
        <v>74</v>
      </c>
      <c r="P5" t="s">
        <v>74</v>
      </c>
      <c r="Q5" t="s">
        <v>74</v>
      </c>
      <c r="R5" t="s">
        <v>74</v>
      </c>
      <c r="S5" t="s">
        <v>74</v>
      </c>
      <c r="T5" t="s">
        <v>156</v>
      </c>
      <c r="U5" t="s">
        <v>157</v>
      </c>
      <c r="V5" t="s">
        <v>158</v>
      </c>
      <c r="W5" t="s">
        <v>159</v>
      </c>
      <c r="X5" t="s">
        <v>160</v>
      </c>
      <c r="Y5" t="s">
        <v>161</v>
      </c>
      <c r="Z5" t="s">
        <v>162</v>
      </c>
      <c r="AA5" t="s">
        <v>163</v>
      </c>
      <c r="AB5" t="s">
        <v>164</v>
      </c>
      <c r="AC5" t="s">
        <v>165</v>
      </c>
      <c r="AD5" t="s">
        <v>166</v>
      </c>
      <c r="AE5" t="s">
        <v>167</v>
      </c>
      <c r="AF5" t="s">
        <v>74</v>
      </c>
      <c r="AG5">
        <v>43</v>
      </c>
      <c r="AH5">
        <v>36</v>
      </c>
      <c r="AI5">
        <v>38</v>
      </c>
      <c r="AJ5">
        <v>1</v>
      </c>
      <c r="AK5">
        <v>36</v>
      </c>
      <c r="AL5" t="s">
        <v>168</v>
      </c>
      <c r="AM5" t="s">
        <v>169</v>
      </c>
      <c r="AN5" t="s">
        <v>170</v>
      </c>
      <c r="AO5" t="s">
        <v>171</v>
      </c>
      <c r="AP5" t="s">
        <v>172</v>
      </c>
      <c r="AQ5" t="s">
        <v>74</v>
      </c>
      <c r="AR5" t="s">
        <v>173</v>
      </c>
      <c r="AS5" t="s">
        <v>174</v>
      </c>
      <c r="AT5" t="s">
        <v>175</v>
      </c>
      <c r="AU5">
        <v>2017</v>
      </c>
      <c r="AV5">
        <v>579</v>
      </c>
      <c r="AW5" t="s">
        <v>74</v>
      </c>
      <c r="AX5" t="s">
        <v>74</v>
      </c>
      <c r="AY5" t="s">
        <v>74</v>
      </c>
      <c r="AZ5" t="s">
        <v>74</v>
      </c>
      <c r="BA5" t="s">
        <v>74</v>
      </c>
      <c r="BB5">
        <v>359</v>
      </c>
      <c r="BC5">
        <v>365</v>
      </c>
      <c r="BD5" t="s">
        <v>74</v>
      </c>
      <c r="BE5" t="s">
        <v>176</v>
      </c>
      <c r="BF5" t="str">
        <f>HYPERLINK("http://dx.doi.org/10.1016/j.scitotenv.2016.11.089","http://dx.doi.org/10.1016/j.scitotenv.2016.11.089")</f>
        <v>http://dx.doi.org/10.1016/j.scitotenv.2016.11.089</v>
      </c>
      <c r="BG5" t="s">
        <v>74</v>
      </c>
      <c r="BH5" t="s">
        <v>74</v>
      </c>
      <c r="BI5">
        <v>7</v>
      </c>
      <c r="BJ5" t="s">
        <v>177</v>
      </c>
      <c r="BK5" t="s">
        <v>101</v>
      </c>
      <c r="BL5" t="s">
        <v>178</v>
      </c>
      <c r="BM5" t="s">
        <v>179</v>
      </c>
      <c r="BN5">
        <v>27876392</v>
      </c>
      <c r="BO5" t="s">
        <v>74</v>
      </c>
      <c r="BP5" t="s">
        <v>74</v>
      </c>
      <c r="BQ5" t="s">
        <v>74</v>
      </c>
      <c r="BR5" t="s">
        <v>105</v>
      </c>
      <c r="BS5" t="s">
        <v>180</v>
      </c>
      <c r="BT5" t="str">
        <f>HYPERLINK("https%3A%2F%2Fwww.webofscience.com%2Fwos%2Fwoscc%2Ffull-record%2FWOS:000391897800036","View Full Record in Web of Science")</f>
        <v>View Full Record in Web of Science</v>
      </c>
    </row>
    <row r="6" spans="1:72" x14ac:dyDescent="0.15">
      <c r="A6" t="s">
        <v>72</v>
      </c>
      <c r="B6" t="s">
        <v>181</v>
      </c>
      <c r="C6" t="s">
        <v>74</v>
      </c>
      <c r="D6" t="s">
        <v>74</v>
      </c>
      <c r="E6" t="s">
        <v>74</v>
      </c>
      <c r="F6" t="s">
        <v>182</v>
      </c>
      <c r="G6" t="s">
        <v>74</v>
      </c>
      <c r="H6" t="s">
        <v>74</v>
      </c>
      <c r="I6" t="s">
        <v>183</v>
      </c>
      <c r="J6" t="s">
        <v>184</v>
      </c>
      <c r="K6" t="s">
        <v>74</v>
      </c>
      <c r="L6" t="s">
        <v>74</v>
      </c>
      <c r="M6" t="s">
        <v>78</v>
      </c>
      <c r="N6" t="s">
        <v>185</v>
      </c>
      <c r="O6" t="s">
        <v>74</v>
      </c>
      <c r="P6" t="s">
        <v>74</v>
      </c>
      <c r="Q6" t="s">
        <v>74</v>
      </c>
      <c r="R6" t="s">
        <v>74</v>
      </c>
      <c r="S6" t="s">
        <v>74</v>
      </c>
      <c r="T6" t="s">
        <v>74</v>
      </c>
      <c r="U6" t="s">
        <v>74</v>
      </c>
      <c r="V6" t="s">
        <v>74</v>
      </c>
      <c r="W6" t="s">
        <v>74</v>
      </c>
      <c r="X6" t="s">
        <v>74</v>
      </c>
      <c r="Y6" t="s">
        <v>74</v>
      </c>
      <c r="Z6" t="s">
        <v>74</v>
      </c>
      <c r="AA6" t="s">
        <v>74</v>
      </c>
      <c r="AB6" t="s">
        <v>74</v>
      </c>
      <c r="AC6" t="s">
        <v>74</v>
      </c>
      <c r="AD6" t="s">
        <v>74</v>
      </c>
      <c r="AE6" t="s">
        <v>74</v>
      </c>
      <c r="AF6" t="s">
        <v>74</v>
      </c>
      <c r="AG6">
        <v>0</v>
      </c>
      <c r="AH6">
        <v>0</v>
      </c>
      <c r="AI6">
        <v>0</v>
      </c>
      <c r="AJ6">
        <v>0</v>
      </c>
      <c r="AK6">
        <v>2</v>
      </c>
      <c r="AL6" t="s">
        <v>186</v>
      </c>
      <c r="AM6" t="s">
        <v>187</v>
      </c>
      <c r="AN6" t="s">
        <v>188</v>
      </c>
      <c r="AO6" t="s">
        <v>189</v>
      </c>
      <c r="AP6" t="s">
        <v>74</v>
      </c>
      <c r="AQ6" t="s">
        <v>74</v>
      </c>
      <c r="AR6" t="s">
        <v>190</v>
      </c>
      <c r="AS6" t="s">
        <v>191</v>
      </c>
      <c r="AT6" t="s">
        <v>98</v>
      </c>
      <c r="AU6">
        <v>2017</v>
      </c>
      <c r="AV6">
        <v>316</v>
      </c>
      <c r="AW6">
        <v>2</v>
      </c>
      <c r="AX6" t="s">
        <v>74</v>
      </c>
      <c r="AY6" t="s">
        <v>74</v>
      </c>
      <c r="AZ6" t="s">
        <v>74</v>
      </c>
      <c r="BA6" t="s">
        <v>74</v>
      </c>
      <c r="BB6">
        <v>18</v>
      </c>
      <c r="BC6">
        <v>18</v>
      </c>
      <c r="BD6" t="s">
        <v>74</v>
      </c>
      <c r="BE6" t="s">
        <v>192</v>
      </c>
      <c r="BF6" t="str">
        <f>HYPERLINK("http://dx.doi.org/10.1038/scientificamerican0217-18a","http://dx.doi.org/10.1038/scientificamerican0217-18a")</f>
        <v>http://dx.doi.org/10.1038/scientificamerican0217-18a</v>
      </c>
      <c r="BG6" t="s">
        <v>74</v>
      </c>
      <c r="BH6" t="s">
        <v>74</v>
      </c>
      <c r="BI6">
        <v>1</v>
      </c>
      <c r="BJ6" t="s">
        <v>100</v>
      </c>
      <c r="BK6" t="s">
        <v>101</v>
      </c>
      <c r="BL6" t="s">
        <v>102</v>
      </c>
      <c r="BM6" t="s">
        <v>193</v>
      </c>
      <c r="BN6">
        <v>28118336</v>
      </c>
      <c r="BO6" t="s">
        <v>74</v>
      </c>
      <c r="BP6" t="s">
        <v>74</v>
      </c>
      <c r="BQ6" t="s">
        <v>74</v>
      </c>
      <c r="BR6" t="s">
        <v>105</v>
      </c>
      <c r="BS6" t="s">
        <v>194</v>
      </c>
      <c r="BT6" t="str">
        <f>HYPERLINK("https%3A%2F%2Fwww.webofscience.com%2Fwos%2Fwoscc%2Ffull-record%2FWOS:000397037600016","View Full Record in Web of Science")</f>
        <v>View Full Record in Web of Science</v>
      </c>
    </row>
    <row r="7" spans="1:72" x14ac:dyDescent="0.15">
      <c r="A7" t="s">
        <v>72</v>
      </c>
      <c r="B7" t="s">
        <v>195</v>
      </c>
      <c r="C7" t="s">
        <v>74</v>
      </c>
      <c r="D7" t="s">
        <v>74</v>
      </c>
      <c r="E7" t="s">
        <v>74</v>
      </c>
      <c r="F7" t="s">
        <v>196</v>
      </c>
      <c r="G7" t="s">
        <v>74</v>
      </c>
      <c r="H7" t="s">
        <v>74</v>
      </c>
      <c r="I7" t="s">
        <v>197</v>
      </c>
      <c r="J7" t="s">
        <v>198</v>
      </c>
      <c r="K7" t="s">
        <v>74</v>
      </c>
      <c r="L7" t="s">
        <v>74</v>
      </c>
      <c r="M7" t="s">
        <v>78</v>
      </c>
      <c r="N7" t="s">
        <v>79</v>
      </c>
      <c r="O7" t="s">
        <v>74</v>
      </c>
      <c r="P7" t="s">
        <v>74</v>
      </c>
      <c r="Q7" t="s">
        <v>74</v>
      </c>
      <c r="R7" t="s">
        <v>74</v>
      </c>
      <c r="S7" t="s">
        <v>74</v>
      </c>
      <c r="T7" t="s">
        <v>199</v>
      </c>
      <c r="U7" t="s">
        <v>200</v>
      </c>
      <c r="V7" t="s">
        <v>201</v>
      </c>
      <c r="W7" t="s">
        <v>202</v>
      </c>
      <c r="X7" t="s">
        <v>203</v>
      </c>
      <c r="Y7" t="s">
        <v>204</v>
      </c>
      <c r="Z7" t="s">
        <v>205</v>
      </c>
      <c r="AA7" t="s">
        <v>206</v>
      </c>
      <c r="AB7" t="s">
        <v>207</v>
      </c>
      <c r="AC7" t="s">
        <v>208</v>
      </c>
      <c r="AD7" t="s">
        <v>209</v>
      </c>
      <c r="AE7" t="s">
        <v>210</v>
      </c>
      <c r="AF7" t="s">
        <v>74</v>
      </c>
      <c r="AG7">
        <v>42</v>
      </c>
      <c r="AH7">
        <v>21</v>
      </c>
      <c r="AI7">
        <v>22</v>
      </c>
      <c r="AJ7">
        <v>3</v>
      </c>
      <c r="AK7">
        <v>22</v>
      </c>
      <c r="AL7" t="s">
        <v>211</v>
      </c>
      <c r="AM7" t="s">
        <v>212</v>
      </c>
      <c r="AN7" t="s">
        <v>213</v>
      </c>
      <c r="AO7" t="s">
        <v>214</v>
      </c>
      <c r="AP7" t="s">
        <v>215</v>
      </c>
      <c r="AQ7" t="s">
        <v>74</v>
      </c>
      <c r="AR7" t="s">
        <v>216</v>
      </c>
      <c r="AS7" t="s">
        <v>217</v>
      </c>
      <c r="AT7" t="s">
        <v>98</v>
      </c>
      <c r="AU7">
        <v>2017</v>
      </c>
      <c r="AV7">
        <v>228</v>
      </c>
      <c r="AW7">
        <v>2</v>
      </c>
      <c r="AX7" t="s">
        <v>74</v>
      </c>
      <c r="AY7" t="s">
        <v>74</v>
      </c>
      <c r="AZ7" t="s">
        <v>74</v>
      </c>
      <c r="BA7" t="s">
        <v>74</v>
      </c>
      <c r="BB7" t="s">
        <v>74</v>
      </c>
      <c r="BC7" t="s">
        <v>74</v>
      </c>
      <c r="BD7">
        <v>66</v>
      </c>
      <c r="BE7" t="s">
        <v>218</v>
      </c>
      <c r="BF7" t="str">
        <f>HYPERLINK("http://dx.doi.org/10.1007/s11270-017-3245-4","http://dx.doi.org/10.1007/s11270-017-3245-4")</f>
        <v>http://dx.doi.org/10.1007/s11270-017-3245-4</v>
      </c>
      <c r="BG7" t="s">
        <v>74</v>
      </c>
      <c r="BH7" t="s">
        <v>74</v>
      </c>
      <c r="BI7">
        <v>9</v>
      </c>
      <c r="BJ7" t="s">
        <v>219</v>
      </c>
      <c r="BK7" t="s">
        <v>101</v>
      </c>
      <c r="BL7" t="s">
        <v>220</v>
      </c>
      <c r="BM7" t="s">
        <v>221</v>
      </c>
      <c r="BN7" t="s">
        <v>74</v>
      </c>
      <c r="BO7" t="s">
        <v>74</v>
      </c>
      <c r="BP7" t="s">
        <v>74</v>
      </c>
      <c r="BQ7" t="s">
        <v>74</v>
      </c>
      <c r="BR7" t="s">
        <v>105</v>
      </c>
      <c r="BS7" t="s">
        <v>222</v>
      </c>
      <c r="BT7" t="str">
        <f>HYPERLINK("https%3A%2F%2Fwww.webofscience.com%2Fwos%2Fwoscc%2Ffull-record%2FWOS:000394351400014","View Full Record in Web of Science")</f>
        <v>View Full Record in Web of Science</v>
      </c>
    </row>
    <row r="8" spans="1:72" x14ac:dyDescent="0.15">
      <c r="A8" t="s">
        <v>72</v>
      </c>
      <c r="B8" t="s">
        <v>223</v>
      </c>
      <c r="C8" t="s">
        <v>74</v>
      </c>
      <c r="D8" t="s">
        <v>74</v>
      </c>
      <c r="E8" t="s">
        <v>74</v>
      </c>
      <c r="F8" t="s">
        <v>224</v>
      </c>
      <c r="G8" t="s">
        <v>74</v>
      </c>
      <c r="H8" t="s">
        <v>74</v>
      </c>
      <c r="I8" t="s">
        <v>225</v>
      </c>
      <c r="J8" t="s">
        <v>226</v>
      </c>
      <c r="K8" t="s">
        <v>74</v>
      </c>
      <c r="L8" t="s">
        <v>74</v>
      </c>
      <c r="M8" t="s">
        <v>78</v>
      </c>
      <c r="N8" t="s">
        <v>79</v>
      </c>
      <c r="O8" t="s">
        <v>74</v>
      </c>
      <c r="P8" t="s">
        <v>74</v>
      </c>
      <c r="Q8" t="s">
        <v>74</v>
      </c>
      <c r="R8" t="s">
        <v>74</v>
      </c>
      <c r="S8" t="s">
        <v>74</v>
      </c>
      <c r="T8" t="s">
        <v>227</v>
      </c>
      <c r="U8" t="s">
        <v>228</v>
      </c>
      <c r="V8" t="s">
        <v>229</v>
      </c>
      <c r="W8" t="s">
        <v>230</v>
      </c>
      <c r="X8" t="s">
        <v>231</v>
      </c>
      <c r="Y8" t="s">
        <v>232</v>
      </c>
      <c r="Z8" t="s">
        <v>233</v>
      </c>
      <c r="AA8" t="s">
        <v>234</v>
      </c>
      <c r="AB8" t="s">
        <v>235</v>
      </c>
      <c r="AC8" t="s">
        <v>236</v>
      </c>
      <c r="AD8" t="s">
        <v>237</v>
      </c>
      <c r="AE8" t="s">
        <v>238</v>
      </c>
      <c r="AF8" t="s">
        <v>74</v>
      </c>
      <c r="AG8">
        <v>91</v>
      </c>
      <c r="AH8">
        <v>19</v>
      </c>
      <c r="AI8">
        <v>21</v>
      </c>
      <c r="AJ8">
        <v>4</v>
      </c>
      <c r="AK8">
        <v>102</v>
      </c>
      <c r="AL8" t="s">
        <v>211</v>
      </c>
      <c r="AM8" t="s">
        <v>212</v>
      </c>
      <c r="AN8" t="s">
        <v>213</v>
      </c>
      <c r="AO8" t="s">
        <v>239</v>
      </c>
      <c r="AP8" t="s">
        <v>240</v>
      </c>
      <c r="AQ8" t="s">
        <v>74</v>
      </c>
      <c r="AR8" t="s">
        <v>241</v>
      </c>
      <c r="AS8" t="s">
        <v>242</v>
      </c>
      <c r="AT8" t="s">
        <v>98</v>
      </c>
      <c r="AU8">
        <v>2017</v>
      </c>
      <c r="AV8">
        <v>25</v>
      </c>
      <c r="AW8">
        <v>1</v>
      </c>
      <c r="AX8" t="s">
        <v>74</v>
      </c>
      <c r="AY8" t="s">
        <v>74</v>
      </c>
      <c r="AZ8" t="s">
        <v>74</v>
      </c>
      <c r="BA8" t="s">
        <v>74</v>
      </c>
      <c r="BB8">
        <v>3</v>
      </c>
      <c r="BC8">
        <v>22</v>
      </c>
      <c r="BD8" t="s">
        <v>74</v>
      </c>
      <c r="BE8" t="s">
        <v>243</v>
      </c>
      <c r="BF8" t="str">
        <f>HYPERLINK("http://dx.doi.org/10.1007/s11273-016-9515-x","http://dx.doi.org/10.1007/s11273-016-9515-x")</f>
        <v>http://dx.doi.org/10.1007/s11273-016-9515-x</v>
      </c>
      <c r="BG8" t="s">
        <v>74</v>
      </c>
      <c r="BH8" t="s">
        <v>74</v>
      </c>
      <c r="BI8">
        <v>20</v>
      </c>
      <c r="BJ8" t="s">
        <v>244</v>
      </c>
      <c r="BK8" t="s">
        <v>245</v>
      </c>
      <c r="BL8" t="s">
        <v>246</v>
      </c>
      <c r="BM8" t="s">
        <v>247</v>
      </c>
      <c r="BN8" t="s">
        <v>74</v>
      </c>
      <c r="BO8" t="s">
        <v>74</v>
      </c>
      <c r="BP8" t="s">
        <v>74</v>
      </c>
      <c r="BQ8" t="s">
        <v>74</v>
      </c>
      <c r="BR8" t="s">
        <v>105</v>
      </c>
      <c r="BS8" t="s">
        <v>248</v>
      </c>
      <c r="BT8" t="str">
        <f>HYPERLINK("https%3A%2F%2Fwww.webofscience.com%2Fwos%2Fwoscc%2Ffull-record%2FWOS:000394165100002","View Full Record in Web of Science")</f>
        <v>View Full Record in Web of Science</v>
      </c>
    </row>
    <row r="9" spans="1:72" x14ac:dyDescent="0.15">
      <c r="A9" t="s">
        <v>72</v>
      </c>
      <c r="B9" t="s">
        <v>249</v>
      </c>
      <c r="C9" t="s">
        <v>74</v>
      </c>
      <c r="D9" t="s">
        <v>74</v>
      </c>
      <c r="E9" t="s">
        <v>74</v>
      </c>
      <c r="F9" t="s">
        <v>250</v>
      </c>
      <c r="G9" t="s">
        <v>74</v>
      </c>
      <c r="H9" t="s">
        <v>74</v>
      </c>
      <c r="I9" t="s">
        <v>251</v>
      </c>
      <c r="J9" t="s">
        <v>252</v>
      </c>
      <c r="K9" t="s">
        <v>74</v>
      </c>
      <c r="L9" t="s">
        <v>74</v>
      </c>
      <c r="M9" t="s">
        <v>78</v>
      </c>
      <c r="N9" t="s">
        <v>79</v>
      </c>
      <c r="O9" t="s">
        <v>74</v>
      </c>
      <c r="P9" t="s">
        <v>74</v>
      </c>
      <c r="Q9" t="s">
        <v>74</v>
      </c>
      <c r="R9" t="s">
        <v>74</v>
      </c>
      <c r="S9" t="s">
        <v>74</v>
      </c>
      <c r="T9" t="s">
        <v>253</v>
      </c>
      <c r="U9" t="s">
        <v>254</v>
      </c>
      <c r="V9" t="s">
        <v>255</v>
      </c>
      <c r="W9" t="s">
        <v>256</v>
      </c>
      <c r="X9" t="s">
        <v>257</v>
      </c>
      <c r="Y9" t="s">
        <v>258</v>
      </c>
      <c r="Z9" t="s">
        <v>259</v>
      </c>
      <c r="AA9" t="s">
        <v>260</v>
      </c>
      <c r="AB9" t="s">
        <v>261</v>
      </c>
      <c r="AC9" t="s">
        <v>262</v>
      </c>
      <c r="AD9" t="s">
        <v>262</v>
      </c>
      <c r="AE9" t="s">
        <v>263</v>
      </c>
      <c r="AF9" t="s">
        <v>74</v>
      </c>
      <c r="AG9">
        <v>55</v>
      </c>
      <c r="AH9">
        <v>4</v>
      </c>
      <c r="AI9">
        <v>6</v>
      </c>
      <c r="AJ9">
        <v>0</v>
      </c>
      <c r="AK9">
        <v>33</v>
      </c>
      <c r="AL9" t="s">
        <v>264</v>
      </c>
      <c r="AM9" t="s">
        <v>169</v>
      </c>
      <c r="AN9" t="s">
        <v>265</v>
      </c>
      <c r="AO9" t="s">
        <v>266</v>
      </c>
      <c r="AP9" t="s">
        <v>267</v>
      </c>
      <c r="AQ9" t="s">
        <v>74</v>
      </c>
      <c r="AR9" t="s">
        <v>268</v>
      </c>
      <c r="AS9" t="s">
        <v>269</v>
      </c>
      <c r="AT9" t="s">
        <v>98</v>
      </c>
      <c r="AU9">
        <v>2017</v>
      </c>
      <c r="AV9">
        <v>186</v>
      </c>
      <c r="AW9" t="s">
        <v>74</v>
      </c>
      <c r="AX9">
        <v>3</v>
      </c>
      <c r="AY9" t="s">
        <v>74</v>
      </c>
      <c r="AZ9" t="s">
        <v>270</v>
      </c>
      <c r="BA9" t="s">
        <v>74</v>
      </c>
      <c r="BB9">
        <v>634</v>
      </c>
      <c r="BC9">
        <v>641</v>
      </c>
      <c r="BD9" t="s">
        <v>74</v>
      </c>
      <c r="BE9" t="s">
        <v>271</v>
      </c>
      <c r="BF9" t="str">
        <f>HYPERLINK("http://dx.doi.org/10.1016/j.fishres.2016.05.022","http://dx.doi.org/10.1016/j.fishres.2016.05.022")</f>
        <v>http://dx.doi.org/10.1016/j.fishres.2016.05.022</v>
      </c>
      <c r="BG9" t="s">
        <v>74</v>
      </c>
      <c r="BH9" t="s">
        <v>74</v>
      </c>
      <c r="BI9">
        <v>8</v>
      </c>
      <c r="BJ9" t="s">
        <v>272</v>
      </c>
      <c r="BK9" t="s">
        <v>101</v>
      </c>
      <c r="BL9" t="s">
        <v>272</v>
      </c>
      <c r="BM9" t="s">
        <v>273</v>
      </c>
      <c r="BN9" t="s">
        <v>74</v>
      </c>
      <c r="BO9" t="s">
        <v>74</v>
      </c>
      <c r="BP9" t="s">
        <v>74</v>
      </c>
      <c r="BQ9" t="s">
        <v>74</v>
      </c>
      <c r="BR9" t="s">
        <v>105</v>
      </c>
      <c r="BS9" t="s">
        <v>274</v>
      </c>
      <c r="BT9" t="str">
        <f>HYPERLINK("https%3A%2F%2Fwww.webofscience.com%2Fwos%2Fwoscc%2Ffull-record%2FWOS:000390743700006","View Full Record in Web of Science")</f>
        <v>View Full Record in Web of Science</v>
      </c>
    </row>
    <row r="10" spans="1:72" x14ac:dyDescent="0.15">
      <c r="A10" t="s">
        <v>72</v>
      </c>
      <c r="B10" t="s">
        <v>275</v>
      </c>
      <c r="C10" t="s">
        <v>74</v>
      </c>
      <c r="D10" t="s">
        <v>74</v>
      </c>
      <c r="E10" t="s">
        <v>74</v>
      </c>
      <c r="F10" t="s">
        <v>276</v>
      </c>
      <c r="G10" t="s">
        <v>74</v>
      </c>
      <c r="H10" t="s">
        <v>74</v>
      </c>
      <c r="I10" t="s">
        <v>277</v>
      </c>
      <c r="J10" t="s">
        <v>278</v>
      </c>
      <c r="K10" t="s">
        <v>74</v>
      </c>
      <c r="L10" t="s">
        <v>74</v>
      </c>
      <c r="M10" t="s">
        <v>78</v>
      </c>
      <c r="N10" t="s">
        <v>79</v>
      </c>
      <c r="O10" t="s">
        <v>74</v>
      </c>
      <c r="P10" t="s">
        <v>74</v>
      </c>
      <c r="Q10" t="s">
        <v>74</v>
      </c>
      <c r="R10" t="s">
        <v>74</v>
      </c>
      <c r="S10" t="s">
        <v>74</v>
      </c>
      <c r="T10" t="s">
        <v>279</v>
      </c>
      <c r="U10" t="s">
        <v>280</v>
      </c>
      <c r="V10" t="s">
        <v>281</v>
      </c>
      <c r="W10" t="s">
        <v>282</v>
      </c>
      <c r="X10" t="s">
        <v>283</v>
      </c>
      <c r="Y10" t="s">
        <v>284</v>
      </c>
      <c r="Z10" t="s">
        <v>285</v>
      </c>
      <c r="AA10" t="s">
        <v>286</v>
      </c>
      <c r="AB10" t="s">
        <v>287</v>
      </c>
      <c r="AC10" t="s">
        <v>288</v>
      </c>
      <c r="AD10" t="s">
        <v>289</v>
      </c>
      <c r="AE10" t="s">
        <v>290</v>
      </c>
      <c r="AF10" t="s">
        <v>74</v>
      </c>
      <c r="AG10">
        <v>76</v>
      </c>
      <c r="AH10">
        <v>17</v>
      </c>
      <c r="AI10">
        <v>18</v>
      </c>
      <c r="AJ10">
        <v>0</v>
      </c>
      <c r="AK10">
        <v>23</v>
      </c>
      <c r="AL10" t="s">
        <v>291</v>
      </c>
      <c r="AM10" t="s">
        <v>292</v>
      </c>
      <c r="AN10" t="s">
        <v>293</v>
      </c>
      <c r="AO10" t="s">
        <v>294</v>
      </c>
      <c r="AP10" t="s">
        <v>295</v>
      </c>
      <c r="AQ10" t="s">
        <v>74</v>
      </c>
      <c r="AR10" t="s">
        <v>296</v>
      </c>
      <c r="AS10" t="s">
        <v>297</v>
      </c>
      <c r="AT10" t="s">
        <v>175</v>
      </c>
      <c r="AU10">
        <v>2017</v>
      </c>
      <c r="AV10">
        <v>198</v>
      </c>
      <c r="AW10" t="s">
        <v>74</v>
      </c>
      <c r="AX10" t="s">
        <v>74</v>
      </c>
      <c r="AY10" t="s">
        <v>74</v>
      </c>
      <c r="AZ10" t="s">
        <v>74</v>
      </c>
      <c r="BA10" t="s">
        <v>74</v>
      </c>
      <c r="BB10">
        <v>379</v>
      </c>
      <c r="BC10">
        <v>395</v>
      </c>
      <c r="BD10" t="s">
        <v>74</v>
      </c>
      <c r="BE10" t="s">
        <v>298</v>
      </c>
      <c r="BF10" t="str">
        <f>HYPERLINK("http://dx.doi.org/10.1016/j.gca.2016.11.026","http://dx.doi.org/10.1016/j.gca.2016.11.026")</f>
        <v>http://dx.doi.org/10.1016/j.gca.2016.11.026</v>
      </c>
      <c r="BG10" t="s">
        <v>74</v>
      </c>
      <c r="BH10" t="s">
        <v>74</v>
      </c>
      <c r="BI10">
        <v>17</v>
      </c>
      <c r="BJ10" t="s">
        <v>299</v>
      </c>
      <c r="BK10" t="s">
        <v>101</v>
      </c>
      <c r="BL10" t="s">
        <v>299</v>
      </c>
      <c r="BM10" t="s">
        <v>300</v>
      </c>
      <c r="BN10" t="s">
        <v>74</v>
      </c>
      <c r="BO10" t="s">
        <v>301</v>
      </c>
      <c r="BP10" t="s">
        <v>74</v>
      </c>
      <c r="BQ10" t="s">
        <v>74</v>
      </c>
      <c r="BR10" t="s">
        <v>105</v>
      </c>
      <c r="BS10" t="s">
        <v>302</v>
      </c>
      <c r="BT10" t="str">
        <f>HYPERLINK("https%3A%2F%2Fwww.webofscience.com%2Fwos%2Fwoscc%2Ffull-record%2FWOS:000390987900023","View Full Record in Web of Science")</f>
        <v>View Full Record in Web of Science</v>
      </c>
    </row>
    <row r="11" spans="1:72" x14ac:dyDescent="0.15">
      <c r="A11" t="s">
        <v>72</v>
      </c>
      <c r="B11" t="s">
        <v>303</v>
      </c>
      <c r="C11" t="s">
        <v>74</v>
      </c>
      <c r="D11" t="s">
        <v>74</v>
      </c>
      <c r="E11" t="s">
        <v>74</v>
      </c>
      <c r="F11" t="s">
        <v>304</v>
      </c>
      <c r="G11" t="s">
        <v>74</v>
      </c>
      <c r="H11" t="s">
        <v>74</v>
      </c>
      <c r="I11" t="s">
        <v>305</v>
      </c>
      <c r="J11" t="s">
        <v>306</v>
      </c>
      <c r="K11" t="s">
        <v>74</v>
      </c>
      <c r="L11" t="s">
        <v>74</v>
      </c>
      <c r="M11" t="s">
        <v>78</v>
      </c>
      <c r="N11" t="s">
        <v>79</v>
      </c>
      <c r="O11" t="s">
        <v>74</v>
      </c>
      <c r="P11" t="s">
        <v>74</v>
      </c>
      <c r="Q11" t="s">
        <v>74</v>
      </c>
      <c r="R11" t="s">
        <v>74</v>
      </c>
      <c r="S11" t="s">
        <v>74</v>
      </c>
      <c r="T11" t="s">
        <v>307</v>
      </c>
      <c r="U11" t="s">
        <v>308</v>
      </c>
      <c r="V11" t="s">
        <v>309</v>
      </c>
      <c r="W11" t="s">
        <v>310</v>
      </c>
      <c r="X11" t="s">
        <v>311</v>
      </c>
      <c r="Y11" t="s">
        <v>312</v>
      </c>
      <c r="Z11" t="s">
        <v>313</v>
      </c>
      <c r="AA11" t="s">
        <v>314</v>
      </c>
      <c r="AB11" t="s">
        <v>315</v>
      </c>
      <c r="AC11" t="s">
        <v>316</v>
      </c>
      <c r="AD11" t="s">
        <v>316</v>
      </c>
      <c r="AE11" t="s">
        <v>317</v>
      </c>
      <c r="AF11" t="s">
        <v>74</v>
      </c>
      <c r="AG11">
        <v>95</v>
      </c>
      <c r="AH11">
        <v>21</v>
      </c>
      <c r="AI11">
        <v>21</v>
      </c>
      <c r="AJ11">
        <v>0</v>
      </c>
      <c r="AK11">
        <v>29</v>
      </c>
      <c r="AL11" t="s">
        <v>264</v>
      </c>
      <c r="AM11" t="s">
        <v>169</v>
      </c>
      <c r="AN11" t="s">
        <v>265</v>
      </c>
      <c r="AO11" t="s">
        <v>318</v>
      </c>
      <c r="AP11" t="s">
        <v>319</v>
      </c>
      <c r="AQ11" t="s">
        <v>74</v>
      </c>
      <c r="AR11" t="s">
        <v>320</v>
      </c>
      <c r="AS11" t="s">
        <v>321</v>
      </c>
      <c r="AT11" t="s">
        <v>98</v>
      </c>
      <c r="AU11">
        <v>2017</v>
      </c>
      <c r="AV11">
        <v>166</v>
      </c>
      <c r="AW11" t="s">
        <v>74</v>
      </c>
      <c r="AX11" t="s">
        <v>74</v>
      </c>
      <c r="AY11" t="s">
        <v>74</v>
      </c>
      <c r="AZ11" t="s">
        <v>74</v>
      </c>
      <c r="BA11" t="s">
        <v>74</v>
      </c>
      <c r="BB11">
        <v>26</v>
      </c>
      <c r="BC11">
        <v>36</v>
      </c>
      <c r="BD11" t="s">
        <v>74</v>
      </c>
      <c r="BE11" t="s">
        <v>322</v>
      </c>
      <c r="BF11" t="str">
        <f>HYPERLINK("http://dx.doi.org/10.1016/j.jmarsys.2016.06.007","http://dx.doi.org/10.1016/j.jmarsys.2016.06.007")</f>
        <v>http://dx.doi.org/10.1016/j.jmarsys.2016.06.007</v>
      </c>
      <c r="BG11" t="s">
        <v>74</v>
      </c>
      <c r="BH11" t="s">
        <v>74</v>
      </c>
      <c r="BI11">
        <v>11</v>
      </c>
      <c r="BJ11" t="s">
        <v>323</v>
      </c>
      <c r="BK11" t="s">
        <v>101</v>
      </c>
      <c r="BL11" t="s">
        <v>324</v>
      </c>
      <c r="BM11" t="s">
        <v>325</v>
      </c>
      <c r="BN11" t="s">
        <v>74</v>
      </c>
      <c r="BO11" t="s">
        <v>74</v>
      </c>
      <c r="BP11" t="s">
        <v>74</v>
      </c>
      <c r="BQ11" t="s">
        <v>74</v>
      </c>
      <c r="BR11" t="s">
        <v>105</v>
      </c>
      <c r="BS11" t="s">
        <v>326</v>
      </c>
      <c r="BT11" t="str">
        <f>HYPERLINK("https%3A%2F%2Fwww.webofscience.com%2Fwos%2Fwoscc%2Ffull-record%2FWOS:000391074300003","View Full Record in Web of Science")</f>
        <v>View Full Record in Web of Science</v>
      </c>
    </row>
    <row r="12" spans="1:72" x14ac:dyDescent="0.15">
      <c r="A12" t="s">
        <v>72</v>
      </c>
      <c r="B12" t="s">
        <v>327</v>
      </c>
      <c r="C12" t="s">
        <v>74</v>
      </c>
      <c r="D12" t="s">
        <v>74</v>
      </c>
      <c r="E12" t="s">
        <v>74</v>
      </c>
      <c r="F12" t="s">
        <v>328</v>
      </c>
      <c r="G12" t="s">
        <v>74</v>
      </c>
      <c r="H12" t="s">
        <v>74</v>
      </c>
      <c r="I12" t="s">
        <v>329</v>
      </c>
      <c r="J12" t="s">
        <v>306</v>
      </c>
      <c r="K12" t="s">
        <v>74</v>
      </c>
      <c r="L12" t="s">
        <v>74</v>
      </c>
      <c r="M12" t="s">
        <v>78</v>
      </c>
      <c r="N12" t="s">
        <v>79</v>
      </c>
      <c r="O12" t="s">
        <v>74</v>
      </c>
      <c r="P12" t="s">
        <v>74</v>
      </c>
      <c r="Q12" t="s">
        <v>74</v>
      </c>
      <c r="R12" t="s">
        <v>74</v>
      </c>
      <c r="S12" t="s">
        <v>74</v>
      </c>
      <c r="T12" t="s">
        <v>330</v>
      </c>
      <c r="U12" t="s">
        <v>331</v>
      </c>
      <c r="V12" t="s">
        <v>332</v>
      </c>
      <c r="W12" t="s">
        <v>333</v>
      </c>
      <c r="X12" t="s">
        <v>334</v>
      </c>
      <c r="Y12" t="s">
        <v>335</v>
      </c>
      <c r="Z12" t="s">
        <v>336</v>
      </c>
      <c r="AA12" t="s">
        <v>337</v>
      </c>
      <c r="AB12" t="s">
        <v>338</v>
      </c>
      <c r="AC12" t="s">
        <v>339</v>
      </c>
      <c r="AD12" t="s">
        <v>340</v>
      </c>
      <c r="AE12" t="s">
        <v>341</v>
      </c>
      <c r="AF12" t="s">
        <v>74</v>
      </c>
      <c r="AG12">
        <v>48</v>
      </c>
      <c r="AH12">
        <v>35</v>
      </c>
      <c r="AI12">
        <v>36</v>
      </c>
      <c r="AJ12">
        <v>0</v>
      </c>
      <c r="AK12">
        <v>39</v>
      </c>
      <c r="AL12" t="s">
        <v>168</v>
      </c>
      <c r="AM12" t="s">
        <v>169</v>
      </c>
      <c r="AN12" t="s">
        <v>170</v>
      </c>
      <c r="AO12" t="s">
        <v>318</v>
      </c>
      <c r="AP12" t="s">
        <v>319</v>
      </c>
      <c r="AQ12" t="s">
        <v>74</v>
      </c>
      <c r="AR12" t="s">
        <v>320</v>
      </c>
      <c r="AS12" t="s">
        <v>321</v>
      </c>
      <c r="AT12" t="s">
        <v>98</v>
      </c>
      <c r="AU12">
        <v>2017</v>
      </c>
      <c r="AV12">
        <v>166</v>
      </c>
      <c r="AW12" t="s">
        <v>74</v>
      </c>
      <c r="AX12" t="s">
        <v>74</v>
      </c>
      <c r="AY12" t="s">
        <v>74</v>
      </c>
      <c r="AZ12" t="s">
        <v>74</v>
      </c>
      <c r="BA12" t="s">
        <v>74</v>
      </c>
      <c r="BB12">
        <v>37</v>
      </c>
      <c r="BC12">
        <v>49</v>
      </c>
      <c r="BD12" t="s">
        <v>74</v>
      </c>
      <c r="BE12" t="s">
        <v>342</v>
      </c>
      <c r="BF12" t="str">
        <f>HYPERLINK("http://dx.doi.org/10.1016/j.jmarsys.2016.05.006","http://dx.doi.org/10.1016/j.jmarsys.2016.05.006")</f>
        <v>http://dx.doi.org/10.1016/j.jmarsys.2016.05.006</v>
      </c>
      <c r="BG12" t="s">
        <v>74</v>
      </c>
      <c r="BH12" t="s">
        <v>74</v>
      </c>
      <c r="BI12">
        <v>13</v>
      </c>
      <c r="BJ12" t="s">
        <v>323</v>
      </c>
      <c r="BK12" t="s">
        <v>101</v>
      </c>
      <c r="BL12" t="s">
        <v>324</v>
      </c>
      <c r="BM12" t="s">
        <v>325</v>
      </c>
      <c r="BN12" t="s">
        <v>74</v>
      </c>
      <c r="BO12" t="s">
        <v>74</v>
      </c>
      <c r="BP12" t="s">
        <v>74</v>
      </c>
      <c r="BQ12" t="s">
        <v>74</v>
      </c>
      <c r="BR12" t="s">
        <v>105</v>
      </c>
      <c r="BS12" t="s">
        <v>343</v>
      </c>
      <c r="BT12" t="str">
        <f>HYPERLINK("https%3A%2F%2Fwww.webofscience.com%2Fwos%2Fwoscc%2Ffull-record%2FWOS:000391074300004","View Full Record in Web of Science")</f>
        <v>View Full Record in Web of Science</v>
      </c>
    </row>
    <row r="13" spans="1:72" x14ac:dyDescent="0.15">
      <c r="A13" t="s">
        <v>72</v>
      </c>
      <c r="B13" t="s">
        <v>344</v>
      </c>
      <c r="C13" t="s">
        <v>74</v>
      </c>
      <c r="D13" t="s">
        <v>74</v>
      </c>
      <c r="E13" t="s">
        <v>74</v>
      </c>
      <c r="F13" t="s">
        <v>345</v>
      </c>
      <c r="G13" t="s">
        <v>74</v>
      </c>
      <c r="H13" t="s">
        <v>74</v>
      </c>
      <c r="I13" t="s">
        <v>346</v>
      </c>
      <c r="J13" t="s">
        <v>306</v>
      </c>
      <c r="K13" t="s">
        <v>74</v>
      </c>
      <c r="L13" t="s">
        <v>74</v>
      </c>
      <c r="M13" t="s">
        <v>78</v>
      </c>
      <c r="N13" t="s">
        <v>79</v>
      </c>
      <c r="O13" t="s">
        <v>74</v>
      </c>
      <c r="P13" t="s">
        <v>74</v>
      </c>
      <c r="Q13" t="s">
        <v>74</v>
      </c>
      <c r="R13" t="s">
        <v>74</v>
      </c>
      <c r="S13" t="s">
        <v>74</v>
      </c>
      <c r="T13" t="s">
        <v>347</v>
      </c>
      <c r="U13" t="s">
        <v>348</v>
      </c>
      <c r="V13" t="s">
        <v>349</v>
      </c>
      <c r="W13" t="s">
        <v>350</v>
      </c>
      <c r="X13" t="s">
        <v>351</v>
      </c>
      <c r="Y13" t="s">
        <v>352</v>
      </c>
      <c r="Z13" t="s">
        <v>353</v>
      </c>
      <c r="AA13" t="s">
        <v>354</v>
      </c>
      <c r="AB13" t="s">
        <v>355</v>
      </c>
      <c r="AC13" t="s">
        <v>356</v>
      </c>
      <c r="AD13" t="s">
        <v>357</v>
      </c>
      <c r="AE13" t="s">
        <v>358</v>
      </c>
      <c r="AF13" t="s">
        <v>74</v>
      </c>
      <c r="AG13">
        <v>67</v>
      </c>
      <c r="AH13">
        <v>16</v>
      </c>
      <c r="AI13">
        <v>17</v>
      </c>
      <c r="AJ13">
        <v>1</v>
      </c>
      <c r="AK13">
        <v>28</v>
      </c>
      <c r="AL13" t="s">
        <v>264</v>
      </c>
      <c r="AM13" t="s">
        <v>169</v>
      </c>
      <c r="AN13" t="s">
        <v>265</v>
      </c>
      <c r="AO13" t="s">
        <v>318</v>
      </c>
      <c r="AP13" t="s">
        <v>319</v>
      </c>
      <c r="AQ13" t="s">
        <v>74</v>
      </c>
      <c r="AR13" t="s">
        <v>320</v>
      </c>
      <c r="AS13" t="s">
        <v>321</v>
      </c>
      <c r="AT13" t="s">
        <v>98</v>
      </c>
      <c r="AU13">
        <v>2017</v>
      </c>
      <c r="AV13">
        <v>166</v>
      </c>
      <c r="AW13" t="s">
        <v>74</v>
      </c>
      <c r="AX13" t="s">
        <v>74</v>
      </c>
      <c r="AY13" t="s">
        <v>74</v>
      </c>
      <c r="AZ13" t="s">
        <v>74</v>
      </c>
      <c r="BA13" t="s">
        <v>74</v>
      </c>
      <c r="BB13">
        <v>61</v>
      </c>
      <c r="BC13">
        <v>72</v>
      </c>
      <c r="BD13" t="s">
        <v>74</v>
      </c>
      <c r="BE13" t="s">
        <v>359</v>
      </c>
      <c r="BF13" t="str">
        <f>HYPERLINK("http://dx.doi.org/10.1016/j.jmarsys.2016.07.009","http://dx.doi.org/10.1016/j.jmarsys.2016.07.009")</f>
        <v>http://dx.doi.org/10.1016/j.jmarsys.2016.07.009</v>
      </c>
      <c r="BG13" t="s">
        <v>74</v>
      </c>
      <c r="BH13" t="s">
        <v>74</v>
      </c>
      <c r="BI13">
        <v>12</v>
      </c>
      <c r="BJ13" t="s">
        <v>323</v>
      </c>
      <c r="BK13" t="s">
        <v>101</v>
      </c>
      <c r="BL13" t="s">
        <v>324</v>
      </c>
      <c r="BM13" t="s">
        <v>325</v>
      </c>
      <c r="BN13" t="s">
        <v>74</v>
      </c>
      <c r="BO13" t="s">
        <v>360</v>
      </c>
      <c r="BP13" t="s">
        <v>74</v>
      </c>
      <c r="BQ13" t="s">
        <v>74</v>
      </c>
      <c r="BR13" t="s">
        <v>105</v>
      </c>
      <c r="BS13" t="s">
        <v>361</v>
      </c>
      <c r="BT13" t="str">
        <f>HYPERLINK("https%3A%2F%2Fwww.webofscience.com%2Fwos%2Fwoscc%2Ffull-record%2FWOS:000391074300006","View Full Record in Web of Science")</f>
        <v>View Full Record in Web of Science</v>
      </c>
    </row>
    <row r="14" spans="1:72" x14ac:dyDescent="0.15">
      <c r="A14" t="s">
        <v>72</v>
      </c>
      <c r="B14" t="s">
        <v>362</v>
      </c>
      <c r="C14" t="s">
        <v>74</v>
      </c>
      <c r="D14" t="s">
        <v>74</v>
      </c>
      <c r="E14" t="s">
        <v>74</v>
      </c>
      <c r="F14" t="s">
        <v>363</v>
      </c>
      <c r="G14" t="s">
        <v>74</v>
      </c>
      <c r="H14" t="s">
        <v>74</v>
      </c>
      <c r="I14" t="s">
        <v>364</v>
      </c>
      <c r="J14" t="s">
        <v>306</v>
      </c>
      <c r="K14" t="s">
        <v>74</v>
      </c>
      <c r="L14" t="s">
        <v>74</v>
      </c>
      <c r="M14" t="s">
        <v>78</v>
      </c>
      <c r="N14" t="s">
        <v>79</v>
      </c>
      <c r="O14" t="s">
        <v>74</v>
      </c>
      <c r="P14" t="s">
        <v>74</v>
      </c>
      <c r="Q14" t="s">
        <v>74</v>
      </c>
      <c r="R14" t="s">
        <v>74</v>
      </c>
      <c r="S14" t="s">
        <v>74</v>
      </c>
      <c r="T14" t="s">
        <v>365</v>
      </c>
      <c r="U14" t="s">
        <v>366</v>
      </c>
      <c r="V14" t="s">
        <v>367</v>
      </c>
      <c r="W14" t="s">
        <v>368</v>
      </c>
      <c r="X14" t="s">
        <v>369</v>
      </c>
      <c r="Y14" t="s">
        <v>370</v>
      </c>
      <c r="Z14" t="s">
        <v>371</v>
      </c>
      <c r="AA14" t="s">
        <v>372</v>
      </c>
      <c r="AB14" t="s">
        <v>373</v>
      </c>
      <c r="AC14" t="s">
        <v>374</v>
      </c>
      <c r="AD14" t="s">
        <v>375</v>
      </c>
      <c r="AE14" t="s">
        <v>376</v>
      </c>
      <c r="AF14" t="s">
        <v>74</v>
      </c>
      <c r="AG14">
        <v>46</v>
      </c>
      <c r="AH14">
        <v>21</v>
      </c>
      <c r="AI14">
        <v>27</v>
      </c>
      <c r="AJ14">
        <v>0</v>
      </c>
      <c r="AK14">
        <v>21</v>
      </c>
      <c r="AL14" t="s">
        <v>168</v>
      </c>
      <c r="AM14" t="s">
        <v>169</v>
      </c>
      <c r="AN14" t="s">
        <v>170</v>
      </c>
      <c r="AO14" t="s">
        <v>318</v>
      </c>
      <c r="AP14" t="s">
        <v>319</v>
      </c>
      <c r="AQ14" t="s">
        <v>74</v>
      </c>
      <c r="AR14" t="s">
        <v>320</v>
      </c>
      <c r="AS14" t="s">
        <v>321</v>
      </c>
      <c r="AT14" t="s">
        <v>98</v>
      </c>
      <c r="AU14">
        <v>2017</v>
      </c>
      <c r="AV14">
        <v>166</v>
      </c>
      <c r="AW14" t="s">
        <v>74</v>
      </c>
      <c r="AX14" t="s">
        <v>74</v>
      </c>
      <c r="AY14" t="s">
        <v>74</v>
      </c>
      <c r="AZ14" t="s">
        <v>74</v>
      </c>
      <c r="BA14" t="s">
        <v>74</v>
      </c>
      <c r="BB14">
        <v>73</v>
      </c>
      <c r="BC14">
        <v>86</v>
      </c>
      <c r="BD14" t="s">
        <v>74</v>
      </c>
      <c r="BE14" t="s">
        <v>377</v>
      </c>
      <c r="BF14" t="str">
        <f>HYPERLINK("http://dx.doi.org/10.1016/j.jmarsys.2016.10.008","http://dx.doi.org/10.1016/j.jmarsys.2016.10.008")</f>
        <v>http://dx.doi.org/10.1016/j.jmarsys.2016.10.008</v>
      </c>
      <c r="BG14" t="s">
        <v>74</v>
      </c>
      <c r="BH14" t="s">
        <v>74</v>
      </c>
      <c r="BI14">
        <v>14</v>
      </c>
      <c r="BJ14" t="s">
        <v>323</v>
      </c>
      <c r="BK14" t="s">
        <v>101</v>
      </c>
      <c r="BL14" t="s">
        <v>324</v>
      </c>
      <c r="BM14" t="s">
        <v>325</v>
      </c>
      <c r="BN14" t="s">
        <v>74</v>
      </c>
      <c r="BO14" t="s">
        <v>378</v>
      </c>
      <c r="BP14" t="s">
        <v>74</v>
      </c>
      <c r="BQ14" t="s">
        <v>74</v>
      </c>
      <c r="BR14" t="s">
        <v>105</v>
      </c>
      <c r="BS14" t="s">
        <v>379</v>
      </c>
      <c r="BT14" t="str">
        <f>HYPERLINK("https%3A%2F%2Fwww.webofscience.com%2Fwos%2Fwoscc%2Ffull-record%2FWOS:000391074300007","View Full Record in Web of Science")</f>
        <v>View Full Record in Web of Science</v>
      </c>
    </row>
    <row r="15" spans="1:72" x14ac:dyDescent="0.15">
      <c r="A15" t="s">
        <v>72</v>
      </c>
      <c r="B15" t="s">
        <v>380</v>
      </c>
      <c r="C15" t="s">
        <v>74</v>
      </c>
      <c r="D15" t="s">
        <v>74</v>
      </c>
      <c r="E15" t="s">
        <v>74</v>
      </c>
      <c r="F15" t="s">
        <v>381</v>
      </c>
      <c r="G15" t="s">
        <v>74</v>
      </c>
      <c r="H15" t="s">
        <v>74</v>
      </c>
      <c r="I15" t="s">
        <v>382</v>
      </c>
      <c r="J15" t="s">
        <v>306</v>
      </c>
      <c r="K15" t="s">
        <v>74</v>
      </c>
      <c r="L15" t="s">
        <v>74</v>
      </c>
      <c r="M15" t="s">
        <v>78</v>
      </c>
      <c r="N15" t="s">
        <v>79</v>
      </c>
      <c r="O15" t="s">
        <v>74</v>
      </c>
      <c r="P15" t="s">
        <v>74</v>
      </c>
      <c r="Q15" t="s">
        <v>74</v>
      </c>
      <c r="R15" t="s">
        <v>74</v>
      </c>
      <c r="S15" t="s">
        <v>74</v>
      </c>
      <c r="T15" t="s">
        <v>383</v>
      </c>
      <c r="U15" t="s">
        <v>384</v>
      </c>
      <c r="V15" t="s">
        <v>385</v>
      </c>
      <c r="W15" t="s">
        <v>386</v>
      </c>
      <c r="X15" t="s">
        <v>387</v>
      </c>
      <c r="Y15" t="s">
        <v>388</v>
      </c>
      <c r="Z15" t="s">
        <v>389</v>
      </c>
      <c r="AA15" t="s">
        <v>390</v>
      </c>
      <c r="AB15" t="s">
        <v>391</v>
      </c>
      <c r="AC15" t="s">
        <v>392</v>
      </c>
      <c r="AD15" t="s">
        <v>393</v>
      </c>
      <c r="AE15" t="s">
        <v>394</v>
      </c>
      <c r="AF15" t="s">
        <v>74</v>
      </c>
      <c r="AG15">
        <v>63</v>
      </c>
      <c r="AH15">
        <v>18</v>
      </c>
      <c r="AI15">
        <v>21</v>
      </c>
      <c r="AJ15">
        <v>1</v>
      </c>
      <c r="AK15">
        <v>24</v>
      </c>
      <c r="AL15" t="s">
        <v>264</v>
      </c>
      <c r="AM15" t="s">
        <v>169</v>
      </c>
      <c r="AN15" t="s">
        <v>265</v>
      </c>
      <c r="AO15" t="s">
        <v>318</v>
      </c>
      <c r="AP15" t="s">
        <v>319</v>
      </c>
      <c r="AQ15" t="s">
        <v>74</v>
      </c>
      <c r="AR15" t="s">
        <v>320</v>
      </c>
      <c r="AS15" t="s">
        <v>321</v>
      </c>
      <c r="AT15" t="s">
        <v>98</v>
      </c>
      <c r="AU15">
        <v>2017</v>
      </c>
      <c r="AV15">
        <v>166</v>
      </c>
      <c r="AW15" t="s">
        <v>74</v>
      </c>
      <c r="AX15" t="s">
        <v>74</v>
      </c>
      <c r="AY15" t="s">
        <v>74</v>
      </c>
      <c r="AZ15" t="s">
        <v>74</v>
      </c>
      <c r="BA15" t="s">
        <v>74</v>
      </c>
      <c r="BB15">
        <v>108</v>
      </c>
      <c r="BC15">
        <v>119</v>
      </c>
      <c r="BD15" t="s">
        <v>74</v>
      </c>
      <c r="BE15" t="s">
        <v>395</v>
      </c>
      <c r="BF15" t="str">
        <f>HYPERLINK("http://dx.doi.org/10.1016/j.jmarsys.2016.07.002","http://dx.doi.org/10.1016/j.jmarsys.2016.07.002")</f>
        <v>http://dx.doi.org/10.1016/j.jmarsys.2016.07.002</v>
      </c>
      <c r="BG15" t="s">
        <v>74</v>
      </c>
      <c r="BH15" t="s">
        <v>74</v>
      </c>
      <c r="BI15">
        <v>12</v>
      </c>
      <c r="BJ15" t="s">
        <v>323</v>
      </c>
      <c r="BK15" t="s">
        <v>101</v>
      </c>
      <c r="BL15" t="s">
        <v>324</v>
      </c>
      <c r="BM15" t="s">
        <v>325</v>
      </c>
      <c r="BN15" t="s">
        <v>74</v>
      </c>
      <c r="BO15" t="s">
        <v>396</v>
      </c>
      <c r="BP15" t="s">
        <v>74</v>
      </c>
      <c r="BQ15" t="s">
        <v>74</v>
      </c>
      <c r="BR15" t="s">
        <v>105</v>
      </c>
      <c r="BS15" t="s">
        <v>397</v>
      </c>
      <c r="BT15" t="str">
        <f>HYPERLINK("https%3A%2F%2Fwww.webofscience.com%2Fwos%2Fwoscc%2Ffull-record%2FWOS:000391074300010","View Full Record in Web of Science")</f>
        <v>View Full Record in Web of Science</v>
      </c>
    </row>
    <row r="16" spans="1:72" x14ac:dyDescent="0.15">
      <c r="A16" t="s">
        <v>72</v>
      </c>
      <c r="B16" t="s">
        <v>398</v>
      </c>
      <c r="C16" t="s">
        <v>74</v>
      </c>
      <c r="D16" t="s">
        <v>74</v>
      </c>
      <c r="E16" t="s">
        <v>74</v>
      </c>
      <c r="F16" t="s">
        <v>399</v>
      </c>
      <c r="G16" t="s">
        <v>74</v>
      </c>
      <c r="H16" t="s">
        <v>74</v>
      </c>
      <c r="I16" t="s">
        <v>400</v>
      </c>
      <c r="J16" t="s">
        <v>306</v>
      </c>
      <c r="K16" t="s">
        <v>74</v>
      </c>
      <c r="L16" t="s">
        <v>74</v>
      </c>
      <c r="M16" t="s">
        <v>78</v>
      </c>
      <c r="N16" t="s">
        <v>79</v>
      </c>
      <c r="O16" t="s">
        <v>74</v>
      </c>
      <c r="P16" t="s">
        <v>74</v>
      </c>
      <c r="Q16" t="s">
        <v>74</v>
      </c>
      <c r="R16" t="s">
        <v>74</v>
      </c>
      <c r="S16" t="s">
        <v>74</v>
      </c>
      <c r="T16" t="s">
        <v>401</v>
      </c>
      <c r="U16" t="s">
        <v>402</v>
      </c>
      <c r="V16" t="s">
        <v>403</v>
      </c>
      <c r="W16" t="s">
        <v>404</v>
      </c>
      <c r="X16" t="s">
        <v>405</v>
      </c>
      <c r="Y16" t="s">
        <v>406</v>
      </c>
      <c r="Z16" t="s">
        <v>407</v>
      </c>
      <c r="AA16" t="s">
        <v>408</v>
      </c>
      <c r="AB16" t="s">
        <v>409</v>
      </c>
      <c r="AC16" t="s">
        <v>410</v>
      </c>
      <c r="AD16" t="s">
        <v>411</v>
      </c>
      <c r="AE16" t="s">
        <v>412</v>
      </c>
      <c r="AF16" t="s">
        <v>74</v>
      </c>
      <c r="AG16">
        <v>45</v>
      </c>
      <c r="AH16">
        <v>11</v>
      </c>
      <c r="AI16">
        <v>12</v>
      </c>
      <c r="AJ16">
        <v>0</v>
      </c>
      <c r="AK16">
        <v>24</v>
      </c>
      <c r="AL16" t="s">
        <v>264</v>
      </c>
      <c r="AM16" t="s">
        <v>169</v>
      </c>
      <c r="AN16" t="s">
        <v>265</v>
      </c>
      <c r="AO16" t="s">
        <v>318</v>
      </c>
      <c r="AP16" t="s">
        <v>319</v>
      </c>
      <c r="AQ16" t="s">
        <v>74</v>
      </c>
      <c r="AR16" t="s">
        <v>320</v>
      </c>
      <c r="AS16" t="s">
        <v>321</v>
      </c>
      <c r="AT16" t="s">
        <v>98</v>
      </c>
      <c r="AU16">
        <v>2017</v>
      </c>
      <c r="AV16">
        <v>166</v>
      </c>
      <c r="AW16" t="s">
        <v>74</v>
      </c>
      <c r="AX16" t="s">
        <v>74</v>
      </c>
      <c r="AY16" t="s">
        <v>74</v>
      </c>
      <c r="AZ16" t="s">
        <v>74</v>
      </c>
      <c r="BA16" t="s">
        <v>74</v>
      </c>
      <c r="BB16">
        <v>120</v>
      </c>
      <c r="BC16">
        <v>131</v>
      </c>
      <c r="BD16" t="s">
        <v>74</v>
      </c>
      <c r="BE16" t="s">
        <v>413</v>
      </c>
      <c r="BF16" t="str">
        <f>HYPERLINK("http://dx.doi.org/10.1016/j.jmarsys.2016.08.010","http://dx.doi.org/10.1016/j.jmarsys.2016.08.010")</f>
        <v>http://dx.doi.org/10.1016/j.jmarsys.2016.08.010</v>
      </c>
      <c r="BG16" t="s">
        <v>74</v>
      </c>
      <c r="BH16" t="s">
        <v>74</v>
      </c>
      <c r="BI16">
        <v>12</v>
      </c>
      <c r="BJ16" t="s">
        <v>323</v>
      </c>
      <c r="BK16" t="s">
        <v>101</v>
      </c>
      <c r="BL16" t="s">
        <v>324</v>
      </c>
      <c r="BM16" t="s">
        <v>325</v>
      </c>
      <c r="BN16" t="s">
        <v>74</v>
      </c>
      <c r="BO16" t="s">
        <v>301</v>
      </c>
      <c r="BP16" t="s">
        <v>74</v>
      </c>
      <c r="BQ16" t="s">
        <v>74</v>
      </c>
      <c r="BR16" t="s">
        <v>105</v>
      </c>
      <c r="BS16" t="s">
        <v>414</v>
      </c>
      <c r="BT16" t="str">
        <f>HYPERLINK("https%3A%2F%2Fwww.webofscience.com%2Fwos%2Fwoscc%2Ffull-record%2FWOS:000391074300011","View Full Record in Web of Science")</f>
        <v>View Full Record in Web of Science</v>
      </c>
    </row>
    <row r="17" spans="1:72" x14ac:dyDescent="0.15">
      <c r="A17" t="s">
        <v>72</v>
      </c>
      <c r="B17" t="s">
        <v>415</v>
      </c>
      <c r="C17" t="s">
        <v>74</v>
      </c>
      <c r="D17" t="s">
        <v>74</v>
      </c>
      <c r="E17" t="s">
        <v>74</v>
      </c>
      <c r="F17" t="s">
        <v>416</v>
      </c>
      <c r="G17" t="s">
        <v>74</v>
      </c>
      <c r="H17" t="s">
        <v>74</v>
      </c>
      <c r="I17" t="s">
        <v>417</v>
      </c>
      <c r="J17" t="s">
        <v>306</v>
      </c>
      <c r="K17" t="s">
        <v>74</v>
      </c>
      <c r="L17" t="s">
        <v>74</v>
      </c>
      <c r="M17" t="s">
        <v>78</v>
      </c>
      <c r="N17" t="s">
        <v>79</v>
      </c>
      <c r="O17" t="s">
        <v>74</v>
      </c>
      <c r="P17" t="s">
        <v>74</v>
      </c>
      <c r="Q17" t="s">
        <v>74</v>
      </c>
      <c r="R17" t="s">
        <v>74</v>
      </c>
      <c r="S17" t="s">
        <v>74</v>
      </c>
      <c r="T17" t="s">
        <v>418</v>
      </c>
      <c r="U17" t="s">
        <v>419</v>
      </c>
      <c r="V17" t="s">
        <v>420</v>
      </c>
      <c r="W17" t="s">
        <v>421</v>
      </c>
      <c r="X17" t="s">
        <v>422</v>
      </c>
      <c r="Y17" t="s">
        <v>423</v>
      </c>
      <c r="Z17" t="s">
        <v>424</v>
      </c>
      <c r="AA17" t="s">
        <v>425</v>
      </c>
      <c r="AB17" t="s">
        <v>426</v>
      </c>
      <c r="AC17" t="s">
        <v>427</v>
      </c>
      <c r="AD17" t="s">
        <v>428</v>
      </c>
      <c r="AE17" t="s">
        <v>429</v>
      </c>
      <c r="AF17" t="s">
        <v>74</v>
      </c>
      <c r="AG17">
        <v>57</v>
      </c>
      <c r="AH17">
        <v>14</v>
      </c>
      <c r="AI17">
        <v>16</v>
      </c>
      <c r="AJ17">
        <v>0</v>
      </c>
      <c r="AK17">
        <v>49</v>
      </c>
      <c r="AL17" t="s">
        <v>168</v>
      </c>
      <c r="AM17" t="s">
        <v>169</v>
      </c>
      <c r="AN17" t="s">
        <v>170</v>
      </c>
      <c r="AO17" t="s">
        <v>318</v>
      </c>
      <c r="AP17" t="s">
        <v>319</v>
      </c>
      <c r="AQ17" t="s">
        <v>74</v>
      </c>
      <c r="AR17" t="s">
        <v>320</v>
      </c>
      <c r="AS17" t="s">
        <v>321</v>
      </c>
      <c r="AT17" t="s">
        <v>98</v>
      </c>
      <c r="AU17">
        <v>2017</v>
      </c>
      <c r="AV17">
        <v>166</v>
      </c>
      <c r="AW17" t="s">
        <v>74</v>
      </c>
      <c r="AX17" t="s">
        <v>74</v>
      </c>
      <c r="AY17" t="s">
        <v>74</v>
      </c>
      <c r="AZ17" t="s">
        <v>74</v>
      </c>
      <c r="BA17" t="s">
        <v>74</v>
      </c>
      <c r="BB17">
        <v>159</v>
      </c>
      <c r="BC17">
        <v>171</v>
      </c>
      <c r="BD17" t="s">
        <v>74</v>
      </c>
      <c r="BE17" t="s">
        <v>430</v>
      </c>
      <c r="BF17" t="str">
        <f>HYPERLINK("http://dx.doi.org/10.1016/j.jmarsys.2016.11.003","http://dx.doi.org/10.1016/j.jmarsys.2016.11.003")</f>
        <v>http://dx.doi.org/10.1016/j.jmarsys.2016.11.003</v>
      </c>
      <c r="BG17" t="s">
        <v>74</v>
      </c>
      <c r="BH17" t="s">
        <v>74</v>
      </c>
      <c r="BI17">
        <v>13</v>
      </c>
      <c r="BJ17" t="s">
        <v>323</v>
      </c>
      <c r="BK17" t="s">
        <v>101</v>
      </c>
      <c r="BL17" t="s">
        <v>324</v>
      </c>
      <c r="BM17" t="s">
        <v>325</v>
      </c>
      <c r="BN17" t="s">
        <v>74</v>
      </c>
      <c r="BO17" t="s">
        <v>74</v>
      </c>
      <c r="BP17" t="s">
        <v>74</v>
      </c>
      <c r="BQ17" t="s">
        <v>74</v>
      </c>
      <c r="BR17" t="s">
        <v>105</v>
      </c>
      <c r="BS17" t="s">
        <v>431</v>
      </c>
      <c r="BT17" t="str">
        <f>HYPERLINK("https%3A%2F%2Fwww.webofscience.com%2Fwos%2Fwoscc%2Ffull-record%2FWOS:000391074300014","View Full Record in Web of Science")</f>
        <v>View Full Record in Web of Science</v>
      </c>
    </row>
    <row r="18" spans="1:72" x14ac:dyDescent="0.15">
      <c r="A18" t="s">
        <v>72</v>
      </c>
      <c r="B18" t="s">
        <v>432</v>
      </c>
      <c r="C18" t="s">
        <v>74</v>
      </c>
      <c r="D18" t="s">
        <v>74</v>
      </c>
      <c r="E18" t="s">
        <v>74</v>
      </c>
      <c r="F18" t="s">
        <v>433</v>
      </c>
      <c r="G18" t="s">
        <v>74</v>
      </c>
      <c r="H18" t="s">
        <v>74</v>
      </c>
      <c r="I18" t="s">
        <v>434</v>
      </c>
      <c r="J18" t="s">
        <v>306</v>
      </c>
      <c r="K18" t="s">
        <v>74</v>
      </c>
      <c r="L18" t="s">
        <v>74</v>
      </c>
      <c r="M18" t="s">
        <v>78</v>
      </c>
      <c r="N18" t="s">
        <v>79</v>
      </c>
      <c r="O18" t="s">
        <v>74</v>
      </c>
      <c r="P18" t="s">
        <v>74</v>
      </c>
      <c r="Q18" t="s">
        <v>74</v>
      </c>
      <c r="R18" t="s">
        <v>74</v>
      </c>
      <c r="S18" t="s">
        <v>74</v>
      </c>
      <c r="T18" t="s">
        <v>435</v>
      </c>
      <c r="U18" t="s">
        <v>436</v>
      </c>
      <c r="V18" t="s">
        <v>437</v>
      </c>
      <c r="W18" t="s">
        <v>438</v>
      </c>
      <c r="X18" t="s">
        <v>439</v>
      </c>
      <c r="Y18" t="s">
        <v>440</v>
      </c>
      <c r="Z18" t="s">
        <v>441</v>
      </c>
      <c r="AA18" t="s">
        <v>442</v>
      </c>
      <c r="AB18" t="s">
        <v>443</v>
      </c>
      <c r="AC18" t="s">
        <v>444</v>
      </c>
      <c r="AD18" t="s">
        <v>445</v>
      </c>
      <c r="AE18" t="s">
        <v>446</v>
      </c>
      <c r="AF18" t="s">
        <v>74</v>
      </c>
      <c r="AG18">
        <v>56</v>
      </c>
      <c r="AH18">
        <v>10</v>
      </c>
      <c r="AI18">
        <v>10</v>
      </c>
      <c r="AJ18">
        <v>2</v>
      </c>
      <c r="AK18">
        <v>31</v>
      </c>
      <c r="AL18" t="s">
        <v>168</v>
      </c>
      <c r="AM18" t="s">
        <v>169</v>
      </c>
      <c r="AN18" t="s">
        <v>170</v>
      </c>
      <c r="AO18" t="s">
        <v>318</v>
      </c>
      <c r="AP18" t="s">
        <v>319</v>
      </c>
      <c r="AQ18" t="s">
        <v>74</v>
      </c>
      <c r="AR18" t="s">
        <v>320</v>
      </c>
      <c r="AS18" t="s">
        <v>321</v>
      </c>
      <c r="AT18" t="s">
        <v>98</v>
      </c>
      <c r="AU18">
        <v>2017</v>
      </c>
      <c r="AV18">
        <v>166</v>
      </c>
      <c r="AW18" t="s">
        <v>74</v>
      </c>
      <c r="AX18" t="s">
        <v>74</v>
      </c>
      <c r="AY18" t="s">
        <v>74</v>
      </c>
      <c r="AZ18" t="s">
        <v>74</v>
      </c>
      <c r="BA18" t="s">
        <v>74</v>
      </c>
      <c r="BB18">
        <v>172</v>
      </c>
      <c r="BC18">
        <v>183</v>
      </c>
      <c r="BD18" t="s">
        <v>74</v>
      </c>
      <c r="BE18" t="s">
        <v>447</v>
      </c>
      <c r="BF18" t="str">
        <f>HYPERLINK("http://dx.doi.org/10.1016/j.jmarsys.2016.07.010","http://dx.doi.org/10.1016/j.jmarsys.2016.07.010")</f>
        <v>http://dx.doi.org/10.1016/j.jmarsys.2016.07.010</v>
      </c>
      <c r="BG18" t="s">
        <v>74</v>
      </c>
      <c r="BH18" t="s">
        <v>74</v>
      </c>
      <c r="BI18">
        <v>12</v>
      </c>
      <c r="BJ18" t="s">
        <v>323</v>
      </c>
      <c r="BK18" t="s">
        <v>101</v>
      </c>
      <c r="BL18" t="s">
        <v>324</v>
      </c>
      <c r="BM18" t="s">
        <v>325</v>
      </c>
      <c r="BN18" t="s">
        <v>74</v>
      </c>
      <c r="BO18" t="s">
        <v>74</v>
      </c>
      <c r="BP18" t="s">
        <v>74</v>
      </c>
      <c r="BQ18" t="s">
        <v>74</v>
      </c>
      <c r="BR18" t="s">
        <v>105</v>
      </c>
      <c r="BS18" t="s">
        <v>448</v>
      </c>
      <c r="BT18" t="str">
        <f>HYPERLINK("https%3A%2F%2Fwww.webofscience.com%2Fwos%2Fwoscc%2Ffull-record%2FWOS:000391074300015","View Full Record in Web of Science")</f>
        <v>View Full Record in Web of Science</v>
      </c>
    </row>
    <row r="19" spans="1:72" x14ac:dyDescent="0.15">
      <c r="A19" t="s">
        <v>72</v>
      </c>
      <c r="B19" t="s">
        <v>449</v>
      </c>
      <c r="C19" t="s">
        <v>74</v>
      </c>
      <c r="D19" t="s">
        <v>74</v>
      </c>
      <c r="E19" t="s">
        <v>74</v>
      </c>
      <c r="F19" t="s">
        <v>450</v>
      </c>
      <c r="G19" t="s">
        <v>74</v>
      </c>
      <c r="H19" t="s">
        <v>74</v>
      </c>
      <c r="I19" t="s">
        <v>451</v>
      </c>
      <c r="J19" t="s">
        <v>306</v>
      </c>
      <c r="K19" t="s">
        <v>74</v>
      </c>
      <c r="L19" t="s">
        <v>74</v>
      </c>
      <c r="M19" t="s">
        <v>78</v>
      </c>
      <c r="N19" t="s">
        <v>79</v>
      </c>
      <c r="O19" t="s">
        <v>74</v>
      </c>
      <c r="P19" t="s">
        <v>74</v>
      </c>
      <c r="Q19" t="s">
        <v>74</v>
      </c>
      <c r="R19" t="s">
        <v>74</v>
      </c>
      <c r="S19" t="s">
        <v>74</v>
      </c>
      <c r="T19" t="s">
        <v>452</v>
      </c>
      <c r="U19" t="s">
        <v>453</v>
      </c>
      <c r="V19" t="s">
        <v>454</v>
      </c>
      <c r="W19" t="s">
        <v>455</v>
      </c>
      <c r="X19" t="s">
        <v>456</v>
      </c>
      <c r="Y19" t="s">
        <v>457</v>
      </c>
      <c r="Z19" t="s">
        <v>458</v>
      </c>
      <c r="AA19" t="s">
        <v>74</v>
      </c>
      <c r="AB19" t="s">
        <v>74</v>
      </c>
      <c r="AC19" t="s">
        <v>459</v>
      </c>
      <c r="AD19" t="s">
        <v>460</v>
      </c>
      <c r="AE19" t="s">
        <v>461</v>
      </c>
      <c r="AF19" t="s">
        <v>74</v>
      </c>
      <c r="AG19">
        <v>46</v>
      </c>
      <c r="AH19">
        <v>22</v>
      </c>
      <c r="AI19">
        <v>24</v>
      </c>
      <c r="AJ19">
        <v>1</v>
      </c>
      <c r="AK19">
        <v>22</v>
      </c>
      <c r="AL19" t="s">
        <v>264</v>
      </c>
      <c r="AM19" t="s">
        <v>169</v>
      </c>
      <c r="AN19" t="s">
        <v>265</v>
      </c>
      <c r="AO19" t="s">
        <v>318</v>
      </c>
      <c r="AP19" t="s">
        <v>319</v>
      </c>
      <c r="AQ19" t="s">
        <v>74</v>
      </c>
      <c r="AR19" t="s">
        <v>320</v>
      </c>
      <c r="AS19" t="s">
        <v>321</v>
      </c>
      <c r="AT19" t="s">
        <v>98</v>
      </c>
      <c r="AU19">
        <v>2017</v>
      </c>
      <c r="AV19">
        <v>166</v>
      </c>
      <c r="AW19" t="s">
        <v>74</v>
      </c>
      <c r="AX19" t="s">
        <v>74</v>
      </c>
      <c r="AY19" t="s">
        <v>74</v>
      </c>
      <c r="AZ19" t="s">
        <v>74</v>
      </c>
      <c r="BA19" t="s">
        <v>74</v>
      </c>
      <c r="BB19">
        <v>184</v>
      </c>
      <c r="BC19">
        <v>195</v>
      </c>
      <c r="BD19" t="s">
        <v>74</v>
      </c>
      <c r="BE19" t="s">
        <v>462</v>
      </c>
      <c r="BF19" t="str">
        <f>HYPERLINK("http://dx.doi.org/10.1016/j.jmarsys.2016.09.006","http://dx.doi.org/10.1016/j.jmarsys.2016.09.006")</f>
        <v>http://dx.doi.org/10.1016/j.jmarsys.2016.09.006</v>
      </c>
      <c r="BG19" t="s">
        <v>74</v>
      </c>
      <c r="BH19" t="s">
        <v>74</v>
      </c>
      <c r="BI19">
        <v>12</v>
      </c>
      <c r="BJ19" t="s">
        <v>323</v>
      </c>
      <c r="BK19" t="s">
        <v>101</v>
      </c>
      <c r="BL19" t="s">
        <v>324</v>
      </c>
      <c r="BM19" t="s">
        <v>325</v>
      </c>
      <c r="BN19" t="s">
        <v>74</v>
      </c>
      <c r="BO19" t="s">
        <v>463</v>
      </c>
      <c r="BP19" t="s">
        <v>74</v>
      </c>
      <c r="BQ19" t="s">
        <v>74</v>
      </c>
      <c r="BR19" t="s">
        <v>105</v>
      </c>
      <c r="BS19" t="s">
        <v>464</v>
      </c>
      <c r="BT19" t="str">
        <f>HYPERLINK("https%3A%2F%2Fwww.webofscience.com%2Fwos%2Fwoscc%2Ffull-record%2FWOS:000391074300016","View Full Record in Web of Science")</f>
        <v>View Full Record in Web of Science</v>
      </c>
    </row>
    <row r="20" spans="1:72" x14ac:dyDescent="0.15">
      <c r="A20" t="s">
        <v>72</v>
      </c>
      <c r="B20" t="s">
        <v>465</v>
      </c>
      <c r="C20" t="s">
        <v>74</v>
      </c>
      <c r="D20" t="s">
        <v>74</v>
      </c>
      <c r="E20" t="s">
        <v>74</v>
      </c>
      <c r="F20" t="s">
        <v>466</v>
      </c>
      <c r="G20" t="s">
        <v>74</v>
      </c>
      <c r="H20" t="s">
        <v>74</v>
      </c>
      <c r="I20" t="s">
        <v>467</v>
      </c>
      <c r="J20" t="s">
        <v>468</v>
      </c>
      <c r="K20" t="s">
        <v>74</v>
      </c>
      <c r="L20" t="s">
        <v>74</v>
      </c>
      <c r="M20" t="s">
        <v>78</v>
      </c>
      <c r="N20" t="s">
        <v>79</v>
      </c>
      <c r="O20" t="s">
        <v>74</v>
      </c>
      <c r="P20" t="s">
        <v>74</v>
      </c>
      <c r="Q20" t="s">
        <v>74</v>
      </c>
      <c r="R20" t="s">
        <v>74</v>
      </c>
      <c r="S20" t="s">
        <v>74</v>
      </c>
      <c r="T20" t="s">
        <v>469</v>
      </c>
      <c r="U20" t="s">
        <v>470</v>
      </c>
      <c r="V20" t="s">
        <v>471</v>
      </c>
      <c r="W20" t="s">
        <v>472</v>
      </c>
      <c r="X20" t="s">
        <v>473</v>
      </c>
      <c r="Y20" t="s">
        <v>474</v>
      </c>
      <c r="Z20" t="s">
        <v>475</v>
      </c>
      <c r="AA20" t="s">
        <v>476</v>
      </c>
      <c r="AB20" t="s">
        <v>477</v>
      </c>
      <c r="AC20" t="s">
        <v>478</v>
      </c>
      <c r="AD20" t="s">
        <v>479</v>
      </c>
      <c r="AE20" t="s">
        <v>480</v>
      </c>
      <c r="AF20" t="s">
        <v>74</v>
      </c>
      <c r="AG20">
        <v>35</v>
      </c>
      <c r="AH20">
        <v>31</v>
      </c>
      <c r="AI20">
        <v>32</v>
      </c>
      <c r="AJ20">
        <v>0</v>
      </c>
      <c r="AK20">
        <v>28</v>
      </c>
      <c r="AL20" t="s">
        <v>264</v>
      </c>
      <c r="AM20" t="s">
        <v>169</v>
      </c>
      <c r="AN20" t="s">
        <v>265</v>
      </c>
      <c r="AO20" t="s">
        <v>481</v>
      </c>
      <c r="AP20" t="s">
        <v>482</v>
      </c>
      <c r="AQ20" t="s">
        <v>74</v>
      </c>
      <c r="AR20" t="s">
        <v>468</v>
      </c>
      <c r="AS20" t="s">
        <v>483</v>
      </c>
      <c r="AT20" t="s">
        <v>98</v>
      </c>
      <c r="AU20">
        <v>2017</v>
      </c>
      <c r="AV20">
        <v>149</v>
      </c>
      <c r="AW20" t="s">
        <v>74</v>
      </c>
      <c r="AX20">
        <v>2</v>
      </c>
      <c r="AY20" t="s">
        <v>74</v>
      </c>
      <c r="AZ20" t="s">
        <v>270</v>
      </c>
      <c r="BA20" t="s">
        <v>74</v>
      </c>
      <c r="BB20">
        <v>519</v>
      </c>
      <c r="BC20">
        <v>528</v>
      </c>
      <c r="BD20" t="s">
        <v>74</v>
      </c>
      <c r="BE20" t="s">
        <v>484</v>
      </c>
      <c r="BF20" t="str">
        <f>HYPERLINK("http://dx.doi.org/10.1016/j.catena.2016.07.019","http://dx.doi.org/10.1016/j.catena.2016.07.019")</f>
        <v>http://dx.doi.org/10.1016/j.catena.2016.07.019</v>
      </c>
      <c r="BG20" t="s">
        <v>74</v>
      </c>
      <c r="BH20" t="s">
        <v>74</v>
      </c>
      <c r="BI20">
        <v>10</v>
      </c>
      <c r="BJ20" t="s">
        <v>485</v>
      </c>
      <c r="BK20" t="s">
        <v>101</v>
      </c>
      <c r="BL20" t="s">
        <v>486</v>
      </c>
      <c r="BM20" t="s">
        <v>487</v>
      </c>
      <c r="BN20" t="s">
        <v>74</v>
      </c>
      <c r="BO20" t="s">
        <v>488</v>
      </c>
      <c r="BP20" t="s">
        <v>74</v>
      </c>
      <c r="BQ20" t="s">
        <v>74</v>
      </c>
      <c r="BR20" t="s">
        <v>105</v>
      </c>
      <c r="BS20" t="s">
        <v>489</v>
      </c>
      <c r="BT20" t="str">
        <f>HYPERLINK("https%3A%2F%2Fwww.webofscience.com%2Fwos%2Fwoscc%2Ffull-record%2FWOS:000390733900002","View Full Record in Web of Science")</f>
        <v>View Full Record in Web of Science</v>
      </c>
    </row>
    <row r="21" spans="1:72" x14ac:dyDescent="0.15">
      <c r="A21" t="s">
        <v>72</v>
      </c>
      <c r="B21" t="s">
        <v>490</v>
      </c>
      <c r="C21" t="s">
        <v>74</v>
      </c>
      <c r="D21" t="s">
        <v>74</v>
      </c>
      <c r="E21" t="s">
        <v>74</v>
      </c>
      <c r="F21" t="s">
        <v>491</v>
      </c>
      <c r="G21" t="s">
        <v>74</v>
      </c>
      <c r="H21" t="s">
        <v>74</v>
      </c>
      <c r="I21" t="s">
        <v>492</v>
      </c>
      <c r="J21" t="s">
        <v>468</v>
      </c>
      <c r="K21" t="s">
        <v>74</v>
      </c>
      <c r="L21" t="s">
        <v>74</v>
      </c>
      <c r="M21" t="s">
        <v>78</v>
      </c>
      <c r="N21" t="s">
        <v>79</v>
      </c>
      <c r="O21" t="s">
        <v>74</v>
      </c>
      <c r="P21" t="s">
        <v>74</v>
      </c>
      <c r="Q21" t="s">
        <v>74</v>
      </c>
      <c r="R21" t="s">
        <v>74</v>
      </c>
      <c r="S21" t="s">
        <v>74</v>
      </c>
      <c r="T21" t="s">
        <v>493</v>
      </c>
      <c r="U21" t="s">
        <v>494</v>
      </c>
      <c r="V21" t="s">
        <v>495</v>
      </c>
      <c r="W21" t="s">
        <v>496</v>
      </c>
      <c r="X21" t="s">
        <v>497</v>
      </c>
      <c r="Y21" t="s">
        <v>498</v>
      </c>
      <c r="Z21" t="s">
        <v>499</v>
      </c>
      <c r="AA21" t="s">
        <v>500</v>
      </c>
      <c r="AB21" t="s">
        <v>501</v>
      </c>
      <c r="AC21" t="s">
        <v>502</v>
      </c>
      <c r="AD21" t="s">
        <v>503</v>
      </c>
      <c r="AE21" t="s">
        <v>504</v>
      </c>
      <c r="AF21" t="s">
        <v>74</v>
      </c>
      <c r="AG21">
        <v>56</v>
      </c>
      <c r="AH21">
        <v>12</v>
      </c>
      <c r="AI21">
        <v>12</v>
      </c>
      <c r="AJ21">
        <v>2</v>
      </c>
      <c r="AK21">
        <v>26</v>
      </c>
      <c r="AL21" t="s">
        <v>264</v>
      </c>
      <c r="AM21" t="s">
        <v>169</v>
      </c>
      <c r="AN21" t="s">
        <v>265</v>
      </c>
      <c r="AO21" t="s">
        <v>481</v>
      </c>
      <c r="AP21" t="s">
        <v>482</v>
      </c>
      <c r="AQ21" t="s">
        <v>74</v>
      </c>
      <c r="AR21" t="s">
        <v>468</v>
      </c>
      <c r="AS21" t="s">
        <v>483</v>
      </c>
      <c r="AT21" t="s">
        <v>98</v>
      </c>
      <c r="AU21">
        <v>2017</v>
      </c>
      <c r="AV21">
        <v>149</v>
      </c>
      <c r="AW21" t="s">
        <v>74</v>
      </c>
      <c r="AX21">
        <v>2</v>
      </c>
      <c r="AY21" t="s">
        <v>74</v>
      </c>
      <c r="AZ21" t="s">
        <v>270</v>
      </c>
      <c r="BA21" t="s">
        <v>74</v>
      </c>
      <c r="BB21">
        <v>529</v>
      </c>
      <c r="BC21">
        <v>537</v>
      </c>
      <c r="BD21" t="s">
        <v>74</v>
      </c>
      <c r="BE21" t="s">
        <v>505</v>
      </c>
      <c r="BF21" t="str">
        <f>HYPERLINK("http://dx.doi.org/10.1016/j.catena.2016.08.006","http://dx.doi.org/10.1016/j.catena.2016.08.006")</f>
        <v>http://dx.doi.org/10.1016/j.catena.2016.08.006</v>
      </c>
      <c r="BG21" t="s">
        <v>74</v>
      </c>
      <c r="BH21" t="s">
        <v>74</v>
      </c>
      <c r="BI21">
        <v>9</v>
      </c>
      <c r="BJ21" t="s">
        <v>485</v>
      </c>
      <c r="BK21" t="s">
        <v>101</v>
      </c>
      <c r="BL21" t="s">
        <v>486</v>
      </c>
      <c r="BM21" t="s">
        <v>487</v>
      </c>
      <c r="BN21" t="s">
        <v>74</v>
      </c>
      <c r="BO21" t="s">
        <v>506</v>
      </c>
      <c r="BP21" t="s">
        <v>74</v>
      </c>
      <c r="BQ21" t="s">
        <v>74</v>
      </c>
      <c r="BR21" t="s">
        <v>105</v>
      </c>
      <c r="BS21" t="s">
        <v>507</v>
      </c>
      <c r="BT21" t="str">
        <f>HYPERLINK("https%3A%2F%2Fwww.webofscience.com%2Fwos%2Fwoscc%2Ffull-record%2FWOS:000390733900003","View Full Record in Web of Science")</f>
        <v>View Full Record in Web of Science</v>
      </c>
    </row>
    <row r="22" spans="1:72" x14ac:dyDescent="0.15">
      <c r="A22" t="s">
        <v>72</v>
      </c>
      <c r="B22" t="s">
        <v>508</v>
      </c>
      <c r="C22" t="s">
        <v>74</v>
      </c>
      <c r="D22" t="s">
        <v>74</v>
      </c>
      <c r="E22" t="s">
        <v>74</v>
      </c>
      <c r="F22" t="s">
        <v>509</v>
      </c>
      <c r="G22" t="s">
        <v>74</v>
      </c>
      <c r="H22" t="s">
        <v>74</v>
      </c>
      <c r="I22" t="s">
        <v>510</v>
      </c>
      <c r="J22" t="s">
        <v>468</v>
      </c>
      <c r="K22" t="s">
        <v>74</v>
      </c>
      <c r="L22" t="s">
        <v>74</v>
      </c>
      <c r="M22" t="s">
        <v>78</v>
      </c>
      <c r="N22" t="s">
        <v>79</v>
      </c>
      <c r="O22" t="s">
        <v>74</v>
      </c>
      <c r="P22" t="s">
        <v>74</v>
      </c>
      <c r="Q22" t="s">
        <v>74</v>
      </c>
      <c r="R22" t="s">
        <v>74</v>
      </c>
      <c r="S22" t="s">
        <v>74</v>
      </c>
      <c r="T22" t="s">
        <v>511</v>
      </c>
      <c r="U22" t="s">
        <v>512</v>
      </c>
      <c r="V22" t="s">
        <v>513</v>
      </c>
      <c r="W22" t="s">
        <v>514</v>
      </c>
      <c r="X22" t="s">
        <v>515</v>
      </c>
      <c r="Y22" t="s">
        <v>516</v>
      </c>
      <c r="Z22" t="s">
        <v>517</v>
      </c>
      <c r="AA22" t="s">
        <v>518</v>
      </c>
      <c r="AB22" t="s">
        <v>519</v>
      </c>
      <c r="AC22" t="s">
        <v>520</v>
      </c>
      <c r="AD22" t="s">
        <v>521</v>
      </c>
      <c r="AE22" t="s">
        <v>522</v>
      </c>
      <c r="AF22" t="s">
        <v>74</v>
      </c>
      <c r="AG22">
        <v>35</v>
      </c>
      <c r="AH22">
        <v>14</v>
      </c>
      <c r="AI22">
        <v>16</v>
      </c>
      <c r="AJ22">
        <v>0</v>
      </c>
      <c r="AK22">
        <v>20</v>
      </c>
      <c r="AL22" t="s">
        <v>168</v>
      </c>
      <c r="AM22" t="s">
        <v>169</v>
      </c>
      <c r="AN22" t="s">
        <v>170</v>
      </c>
      <c r="AO22" t="s">
        <v>481</v>
      </c>
      <c r="AP22" t="s">
        <v>482</v>
      </c>
      <c r="AQ22" t="s">
        <v>74</v>
      </c>
      <c r="AR22" t="s">
        <v>468</v>
      </c>
      <c r="AS22" t="s">
        <v>483</v>
      </c>
      <c r="AT22" t="s">
        <v>98</v>
      </c>
      <c r="AU22">
        <v>2017</v>
      </c>
      <c r="AV22">
        <v>149</v>
      </c>
      <c r="AW22" t="s">
        <v>74</v>
      </c>
      <c r="AX22">
        <v>2</v>
      </c>
      <c r="AY22" t="s">
        <v>74</v>
      </c>
      <c r="AZ22" t="s">
        <v>270</v>
      </c>
      <c r="BA22" t="s">
        <v>74</v>
      </c>
      <c r="BB22">
        <v>603</v>
      </c>
      <c r="BC22">
        <v>615</v>
      </c>
      <c r="BD22" t="s">
        <v>74</v>
      </c>
      <c r="BE22" t="s">
        <v>523</v>
      </c>
      <c r="BF22" t="str">
        <f>HYPERLINK("http://dx.doi.org/10.1016/j.catena.2016.07.020","http://dx.doi.org/10.1016/j.catena.2016.07.020")</f>
        <v>http://dx.doi.org/10.1016/j.catena.2016.07.020</v>
      </c>
      <c r="BG22" t="s">
        <v>74</v>
      </c>
      <c r="BH22" t="s">
        <v>74</v>
      </c>
      <c r="BI22">
        <v>13</v>
      </c>
      <c r="BJ22" t="s">
        <v>485</v>
      </c>
      <c r="BK22" t="s">
        <v>101</v>
      </c>
      <c r="BL22" t="s">
        <v>486</v>
      </c>
      <c r="BM22" t="s">
        <v>487</v>
      </c>
      <c r="BN22" t="s">
        <v>74</v>
      </c>
      <c r="BO22" t="s">
        <v>506</v>
      </c>
      <c r="BP22" t="s">
        <v>74</v>
      </c>
      <c r="BQ22" t="s">
        <v>74</v>
      </c>
      <c r="BR22" t="s">
        <v>105</v>
      </c>
      <c r="BS22" t="s">
        <v>524</v>
      </c>
      <c r="BT22" t="str">
        <f>HYPERLINK("https%3A%2F%2Fwww.webofscience.com%2Fwos%2Fwoscc%2Ffull-record%2FWOS:000390733900010","View Full Record in Web of Science")</f>
        <v>View Full Record in Web of Science</v>
      </c>
    </row>
    <row r="23" spans="1:72" x14ac:dyDescent="0.15">
      <c r="A23" t="s">
        <v>72</v>
      </c>
      <c r="B23" t="s">
        <v>525</v>
      </c>
      <c r="C23" t="s">
        <v>74</v>
      </c>
      <c r="D23" t="s">
        <v>74</v>
      </c>
      <c r="E23" t="s">
        <v>74</v>
      </c>
      <c r="F23" t="s">
        <v>526</v>
      </c>
      <c r="G23" t="s">
        <v>74</v>
      </c>
      <c r="H23" t="s">
        <v>74</v>
      </c>
      <c r="I23" t="s">
        <v>527</v>
      </c>
      <c r="J23" t="s">
        <v>528</v>
      </c>
      <c r="K23" t="s">
        <v>74</v>
      </c>
      <c r="L23" t="s">
        <v>74</v>
      </c>
      <c r="M23" t="s">
        <v>78</v>
      </c>
      <c r="N23" t="s">
        <v>79</v>
      </c>
      <c r="O23" t="s">
        <v>74</v>
      </c>
      <c r="P23" t="s">
        <v>74</v>
      </c>
      <c r="Q23" t="s">
        <v>74</v>
      </c>
      <c r="R23" t="s">
        <v>74</v>
      </c>
      <c r="S23" t="s">
        <v>74</v>
      </c>
      <c r="T23" t="s">
        <v>529</v>
      </c>
      <c r="U23" t="s">
        <v>530</v>
      </c>
      <c r="V23" t="s">
        <v>531</v>
      </c>
      <c r="W23" t="s">
        <v>532</v>
      </c>
      <c r="X23" t="s">
        <v>533</v>
      </c>
      <c r="Y23" t="s">
        <v>534</v>
      </c>
      <c r="Z23" t="s">
        <v>535</v>
      </c>
      <c r="AA23" t="s">
        <v>536</v>
      </c>
      <c r="AB23" t="s">
        <v>537</v>
      </c>
      <c r="AC23" t="s">
        <v>538</v>
      </c>
      <c r="AD23" t="s">
        <v>539</v>
      </c>
      <c r="AE23" t="s">
        <v>540</v>
      </c>
      <c r="AF23" t="s">
        <v>74</v>
      </c>
      <c r="AG23">
        <v>49</v>
      </c>
      <c r="AH23">
        <v>14</v>
      </c>
      <c r="AI23">
        <v>17</v>
      </c>
      <c r="AJ23">
        <v>0</v>
      </c>
      <c r="AK23">
        <v>13</v>
      </c>
      <c r="AL23" t="s">
        <v>541</v>
      </c>
      <c r="AM23" t="s">
        <v>93</v>
      </c>
      <c r="AN23" t="s">
        <v>542</v>
      </c>
      <c r="AO23" t="s">
        <v>543</v>
      </c>
      <c r="AP23" t="s">
        <v>544</v>
      </c>
      <c r="AQ23" t="s">
        <v>74</v>
      </c>
      <c r="AR23" t="s">
        <v>545</v>
      </c>
      <c r="AS23" t="s">
        <v>546</v>
      </c>
      <c r="AT23" t="s">
        <v>98</v>
      </c>
      <c r="AU23">
        <v>2017</v>
      </c>
      <c r="AV23">
        <v>70</v>
      </c>
      <c r="AW23" t="s">
        <v>74</v>
      </c>
      <c r="AX23" t="s">
        <v>74</v>
      </c>
      <c r="AY23" t="s">
        <v>74</v>
      </c>
      <c r="AZ23" t="s">
        <v>74</v>
      </c>
      <c r="BA23" t="s">
        <v>74</v>
      </c>
      <c r="BB23">
        <v>209</v>
      </c>
      <c r="BC23">
        <v>225</v>
      </c>
      <c r="BD23" t="s">
        <v>74</v>
      </c>
      <c r="BE23" t="s">
        <v>547</v>
      </c>
      <c r="BF23" t="str">
        <f>HYPERLINK("http://dx.doi.org/10.1016/j.cretres.2016.11.002","http://dx.doi.org/10.1016/j.cretres.2016.11.002")</f>
        <v>http://dx.doi.org/10.1016/j.cretres.2016.11.002</v>
      </c>
      <c r="BG23" t="s">
        <v>74</v>
      </c>
      <c r="BH23" t="s">
        <v>74</v>
      </c>
      <c r="BI23">
        <v>17</v>
      </c>
      <c r="BJ23" t="s">
        <v>548</v>
      </c>
      <c r="BK23" t="s">
        <v>101</v>
      </c>
      <c r="BL23" t="s">
        <v>548</v>
      </c>
      <c r="BM23" t="s">
        <v>549</v>
      </c>
      <c r="BN23" t="s">
        <v>74</v>
      </c>
      <c r="BO23" t="s">
        <v>74</v>
      </c>
      <c r="BP23" t="s">
        <v>74</v>
      </c>
      <c r="BQ23" t="s">
        <v>74</v>
      </c>
      <c r="BR23" t="s">
        <v>105</v>
      </c>
      <c r="BS23" t="s">
        <v>550</v>
      </c>
      <c r="BT23" t="str">
        <f>HYPERLINK("https%3A%2F%2Fwww.webofscience.com%2Fwos%2Fwoscc%2Ffull-record%2FWOS:000390516700016","View Full Record in Web of Science")</f>
        <v>View Full Record in Web of Science</v>
      </c>
    </row>
    <row r="24" spans="1:72" x14ac:dyDescent="0.15">
      <c r="A24" t="s">
        <v>72</v>
      </c>
      <c r="B24" t="s">
        <v>551</v>
      </c>
      <c r="C24" t="s">
        <v>74</v>
      </c>
      <c r="D24" t="s">
        <v>74</v>
      </c>
      <c r="E24" t="s">
        <v>74</v>
      </c>
      <c r="F24" t="s">
        <v>552</v>
      </c>
      <c r="G24" t="s">
        <v>74</v>
      </c>
      <c r="H24" t="s">
        <v>74</v>
      </c>
      <c r="I24" t="s">
        <v>553</v>
      </c>
      <c r="J24" t="s">
        <v>252</v>
      </c>
      <c r="K24" t="s">
        <v>74</v>
      </c>
      <c r="L24" t="s">
        <v>74</v>
      </c>
      <c r="M24" t="s">
        <v>78</v>
      </c>
      <c r="N24" t="s">
        <v>79</v>
      </c>
      <c r="O24" t="s">
        <v>74</v>
      </c>
      <c r="P24" t="s">
        <v>74</v>
      </c>
      <c r="Q24" t="s">
        <v>74</v>
      </c>
      <c r="R24" t="s">
        <v>74</v>
      </c>
      <c r="S24" t="s">
        <v>74</v>
      </c>
      <c r="T24" t="s">
        <v>554</v>
      </c>
      <c r="U24" t="s">
        <v>555</v>
      </c>
      <c r="V24" t="s">
        <v>556</v>
      </c>
      <c r="W24" t="s">
        <v>557</v>
      </c>
      <c r="X24" t="s">
        <v>558</v>
      </c>
      <c r="Y24" t="s">
        <v>559</v>
      </c>
      <c r="Z24" t="s">
        <v>560</v>
      </c>
      <c r="AA24" t="s">
        <v>561</v>
      </c>
      <c r="AB24" t="s">
        <v>562</v>
      </c>
      <c r="AC24" t="s">
        <v>563</v>
      </c>
      <c r="AD24" t="s">
        <v>564</v>
      </c>
      <c r="AE24" t="s">
        <v>565</v>
      </c>
      <c r="AF24" t="s">
        <v>74</v>
      </c>
      <c r="AG24">
        <v>52</v>
      </c>
      <c r="AH24">
        <v>5</v>
      </c>
      <c r="AI24">
        <v>5</v>
      </c>
      <c r="AJ24">
        <v>6</v>
      </c>
      <c r="AK24">
        <v>50</v>
      </c>
      <c r="AL24" t="s">
        <v>264</v>
      </c>
      <c r="AM24" t="s">
        <v>169</v>
      </c>
      <c r="AN24" t="s">
        <v>265</v>
      </c>
      <c r="AO24" t="s">
        <v>266</v>
      </c>
      <c r="AP24" t="s">
        <v>267</v>
      </c>
      <c r="AQ24" t="s">
        <v>74</v>
      </c>
      <c r="AR24" t="s">
        <v>268</v>
      </c>
      <c r="AS24" t="s">
        <v>269</v>
      </c>
      <c r="AT24" t="s">
        <v>98</v>
      </c>
      <c r="AU24">
        <v>2017</v>
      </c>
      <c r="AV24">
        <v>186</v>
      </c>
      <c r="AW24" t="s">
        <v>74</v>
      </c>
      <c r="AX24">
        <v>1</v>
      </c>
      <c r="AY24" t="s">
        <v>74</v>
      </c>
      <c r="AZ24" t="s">
        <v>74</v>
      </c>
      <c r="BA24" t="s">
        <v>74</v>
      </c>
      <c r="BB24">
        <v>319</v>
      </c>
      <c r="BC24">
        <v>327</v>
      </c>
      <c r="BD24" t="s">
        <v>74</v>
      </c>
      <c r="BE24" t="s">
        <v>566</v>
      </c>
      <c r="BF24" t="str">
        <f>HYPERLINK("http://dx.doi.org/10.1016/j.fishres.2016.10.012","http://dx.doi.org/10.1016/j.fishres.2016.10.012")</f>
        <v>http://dx.doi.org/10.1016/j.fishres.2016.10.012</v>
      </c>
      <c r="BG24" t="s">
        <v>74</v>
      </c>
      <c r="BH24" t="s">
        <v>74</v>
      </c>
      <c r="BI24">
        <v>9</v>
      </c>
      <c r="BJ24" t="s">
        <v>272</v>
      </c>
      <c r="BK24" t="s">
        <v>101</v>
      </c>
      <c r="BL24" t="s">
        <v>272</v>
      </c>
      <c r="BM24" t="s">
        <v>567</v>
      </c>
      <c r="BN24" t="s">
        <v>74</v>
      </c>
      <c r="BO24" t="s">
        <v>74</v>
      </c>
      <c r="BP24" t="s">
        <v>74</v>
      </c>
      <c r="BQ24" t="s">
        <v>74</v>
      </c>
      <c r="BR24" t="s">
        <v>105</v>
      </c>
      <c r="BS24" t="s">
        <v>568</v>
      </c>
      <c r="BT24" t="str">
        <f>HYPERLINK("https%3A%2F%2Fwww.webofscience.com%2Fwos%2Fwoscc%2Ffull-record%2FWOS:000390494900032","View Full Record in Web of Science")</f>
        <v>View Full Record in Web of Science</v>
      </c>
    </row>
    <row r="25" spans="1:72" x14ac:dyDescent="0.15">
      <c r="A25" t="s">
        <v>72</v>
      </c>
      <c r="B25" t="s">
        <v>569</v>
      </c>
      <c r="C25" t="s">
        <v>74</v>
      </c>
      <c r="D25" t="s">
        <v>74</v>
      </c>
      <c r="E25" t="s">
        <v>74</v>
      </c>
      <c r="F25" t="s">
        <v>570</v>
      </c>
      <c r="G25" t="s">
        <v>74</v>
      </c>
      <c r="H25" t="s">
        <v>74</v>
      </c>
      <c r="I25" t="s">
        <v>571</v>
      </c>
      <c r="J25" t="s">
        <v>572</v>
      </c>
      <c r="K25" t="s">
        <v>74</v>
      </c>
      <c r="L25" t="s">
        <v>74</v>
      </c>
      <c r="M25" t="s">
        <v>78</v>
      </c>
      <c r="N25" t="s">
        <v>79</v>
      </c>
      <c r="O25" t="s">
        <v>74</v>
      </c>
      <c r="P25" t="s">
        <v>74</v>
      </c>
      <c r="Q25" t="s">
        <v>74</v>
      </c>
      <c r="R25" t="s">
        <v>74</v>
      </c>
      <c r="S25" t="s">
        <v>74</v>
      </c>
      <c r="T25" t="s">
        <v>74</v>
      </c>
      <c r="U25" t="s">
        <v>573</v>
      </c>
      <c r="V25" t="s">
        <v>574</v>
      </c>
      <c r="W25" t="s">
        <v>575</v>
      </c>
      <c r="X25" t="s">
        <v>576</v>
      </c>
      <c r="Y25" t="s">
        <v>577</v>
      </c>
      <c r="Z25" t="s">
        <v>578</v>
      </c>
      <c r="AA25" t="s">
        <v>74</v>
      </c>
      <c r="AB25" t="s">
        <v>74</v>
      </c>
      <c r="AC25" t="s">
        <v>579</v>
      </c>
      <c r="AD25" t="s">
        <v>580</v>
      </c>
      <c r="AE25" t="s">
        <v>581</v>
      </c>
      <c r="AF25" t="s">
        <v>74</v>
      </c>
      <c r="AG25">
        <v>43</v>
      </c>
      <c r="AH25">
        <v>9</v>
      </c>
      <c r="AI25">
        <v>15</v>
      </c>
      <c r="AJ25">
        <v>0</v>
      </c>
      <c r="AK25">
        <v>9</v>
      </c>
      <c r="AL25" t="s">
        <v>582</v>
      </c>
      <c r="AM25" t="s">
        <v>583</v>
      </c>
      <c r="AN25" t="s">
        <v>584</v>
      </c>
      <c r="AO25" t="s">
        <v>585</v>
      </c>
      <c r="AP25" t="s">
        <v>74</v>
      </c>
      <c r="AQ25" t="s">
        <v>74</v>
      </c>
      <c r="AR25" t="s">
        <v>586</v>
      </c>
      <c r="AS25" t="s">
        <v>587</v>
      </c>
      <c r="AT25" t="s">
        <v>588</v>
      </c>
      <c r="AU25">
        <v>2017</v>
      </c>
      <c r="AV25">
        <v>7</v>
      </c>
      <c r="AW25" t="s">
        <v>74</v>
      </c>
      <c r="AX25" t="s">
        <v>74</v>
      </c>
      <c r="AY25" t="s">
        <v>74</v>
      </c>
      <c r="AZ25" t="s">
        <v>74</v>
      </c>
      <c r="BA25" t="s">
        <v>74</v>
      </c>
      <c r="BB25" t="s">
        <v>74</v>
      </c>
      <c r="BC25" t="s">
        <v>74</v>
      </c>
      <c r="BD25">
        <v>41433</v>
      </c>
      <c r="BE25" t="s">
        <v>589</v>
      </c>
      <c r="BF25" t="str">
        <f>HYPERLINK("http://dx.doi.org/10.1038/srep41433","http://dx.doi.org/10.1038/srep41433")</f>
        <v>http://dx.doi.org/10.1038/srep41433</v>
      </c>
      <c r="BG25" t="s">
        <v>74</v>
      </c>
      <c r="BH25" t="s">
        <v>74</v>
      </c>
      <c r="BI25">
        <v>9</v>
      </c>
      <c r="BJ25" t="s">
        <v>100</v>
      </c>
      <c r="BK25" t="s">
        <v>101</v>
      </c>
      <c r="BL25" t="s">
        <v>102</v>
      </c>
      <c r="BM25" t="s">
        <v>590</v>
      </c>
      <c r="BN25">
        <v>28139676</v>
      </c>
      <c r="BO25" t="s">
        <v>591</v>
      </c>
      <c r="BP25" t="s">
        <v>74</v>
      </c>
      <c r="BQ25" t="s">
        <v>74</v>
      </c>
      <c r="BR25" t="s">
        <v>105</v>
      </c>
      <c r="BS25" t="s">
        <v>592</v>
      </c>
      <c r="BT25" t="str">
        <f>HYPERLINK("https%3A%2F%2Fwww.webofscience.com%2Fwos%2Fwoscc%2Ffull-record%2FWOS:000392958500001","View Full Record in Web of Science")</f>
        <v>View Full Record in Web of Science</v>
      </c>
    </row>
    <row r="26" spans="1:72" x14ac:dyDescent="0.15">
      <c r="A26" t="s">
        <v>72</v>
      </c>
      <c r="B26" t="s">
        <v>593</v>
      </c>
      <c r="C26" t="s">
        <v>74</v>
      </c>
      <c r="D26" t="s">
        <v>74</v>
      </c>
      <c r="E26" t="s">
        <v>74</v>
      </c>
      <c r="F26" t="s">
        <v>594</v>
      </c>
      <c r="G26" t="s">
        <v>74</v>
      </c>
      <c r="H26" t="s">
        <v>74</v>
      </c>
      <c r="I26" t="s">
        <v>595</v>
      </c>
      <c r="J26" t="s">
        <v>596</v>
      </c>
      <c r="K26" t="s">
        <v>74</v>
      </c>
      <c r="L26" t="s">
        <v>74</v>
      </c>
      <c r="M26" t="s">
        <v>78</v>
      </c>
      <c r="N26" t="s">
        <v>79</v>
      </c>
      <c r="O26" t="s">
        <v>74</v>
      </c>
      <c r="P26" t="s">
        <v>74</v>
      </c>
      <c r="Q26" t="s">
        <v>74</v>
      </c>
      <c r="R26" t="s">
        <v>74</v>
      </c>
      <c r="S26" t="s">
        <v>74</v>
      </c>
      <c r="T26" t="s">
        <v>74</v>
      </c>
      <c r="U26" t="s">
        <v>597</v>
      </c>
      <c r="V26" t="s">
        <v>598</v>
      </c>
      <c r="W26" t="s">
        <v>599</v>
      </c>
      <c r="X26" t="s">
        <v>600</v>
      </c>
      <c r="Y26" t="s">
        <v>601</v>
      </c>
      <c r="Z26" t="s">
        <v>602</v>
      </c>
      <c r="AA26" t="s">
        <v>603</v>
      </c>
      <c r="AB26" t="s">
        <v>604</v>
      </c>
      <c r="AC26" t="s">
        <v>605</v>
      </c>
      <c r="AD26" t="s">
        <v>606</v>
      </c>
      <c r="AE26" t="s">
        <v>607</v>
      </c>
      <c r="AF26" t="s">
        <v>74</v>
      </c>
      <c r="AG26">
        <v>38</v>
      </c>
      <c r="AH26">
        <v>38</v>
      </c>
      <c r="AI26">
        <v>41</v>
      </c>
      <c r="AJ26">
        <v>0</v>
      </c>
      <c r="AK26">
        <v>3</v>
      </c>
      <c r="AL26" t="s">
        <v>608</v>
      </c>
      <c r="AM26" t="s">
        <v>609</v>
      </c>
      <c r="AN26" t="s">
        <v>610</v>
      </c>
      <c r="AO26" t="s">
        <v>611</v>
      </c>
      <c r="AP26" t="s">
        <v>612</v>
      </c>
      <c r="AQ26" t="s">
        <v>74</v>
      </c>
      <c r="AR26" t="s">
        <v>596</v>
      </c>
      <c r="AS26" t="s">
        <v>613</v>
      </c>
      <c r="AT26" t="s">
        <v>588</v>
      </c>
      <c r="AU26">
        <v>2017</v>
      </c>
      <c r="AV26">
        <v>11</v>
      </c>
      <c r="AW26">
        <v>1</v>
      </c>
      <c r="AX26" t="s">
        <v>74</v>
      </c>
      <c r="AY26" t="s">
        <v>74</v>
      </c>
      <c r="AZ26" t="s">
        <v>74</v>
      </c>
      <c r="BA26" t="s">
        <v>74</v>
      </c>
      <c r="BB26">
        <v>319</v>
      </c>
      <c r="BC26">
        <v>329</v>
      </c>
      <c r="BD26" t="s">
        <v>74</v>
      </c>
      <c r="BE26" t="s">
        <v>614</v>
      </c>
      <c r="BF26" t="str">
        <f>HYPERLINK("http://dx.doi.org/10.5194/tc-11-319-2017","http://dx.doi.org/10.5194/tc-11-319-2017")</f>
        <v>http://dx.doi.org/10.5194/tc-11-319-2017</v>
      </c>
      <c r="BG26" t="s">
        <v>74</v>
      </c>
      <c r="BH26" t="s">
        <v>74</v>
      </c>
      <c r="BI26">
        <v>11</v>
      </c>
      <c r="BJ26" t="s">
        <v>615</v>
      </c>
      <c r="BK26" t="s">
        <v>101</v>
      </c>
      <c r="BL26" t="s">
        <v>616</v>
      </c>
      <c r="BM26" t="s">
        <v>617</v>
      </c>
      <c r="BN26" t="s">
        <v>74</v>
      </c>
      <c r="BO26" t="s">
        <v>618</v>
      </c>
      <c r="BP26" t="s">
        <v>74</v>
      </c>
      <c r="BQ26" t="s">
        <v>74</v>
      </c>
      <c r="BR26" t="s">
        <v>105</v>
      </c>
      <c r="BS26" t="s">
        <v>619</v>
      </c>
      <c r="BT26" t="str">
        <f>HYPERLINK("https%3A%2F%2Fwww.webofscience.com%2Fwos%2Fwoscc%2Ffull-record%2FWOS:000395084800001","View Full Record in Web of Science")</f>
        <v>View Full Record in Web of Science</v>
      </c>
    </row>
    <row r="27" spans="1:72" x14ac:dyDescent="0.15">
      <c r="A27" t="s">
        <v>72</v>
      </c>
      <c r="B27" t="s">
        <v>620</v>
      </c>
      <c r="C27" t="s">
        <v>74</v>
      </c>
      <c r="D27" t="s">
        <v>74</v>
      </c>
      <c r="E27" t="s">
        <v>74</v>
      </c>
      <c r="F27" t="s">
        <v>621</v>
      </c>
      <c r="G27" t="s">
        <v>74</v>
      </c>
      <c r="H27" t="s">
        <v>74</v>
      </c>
      <c r="I27" t="s">
        <v>622</v>
      </c>
      <c r="J27" t="s">
        <v>623</v>
      </c>
      <c r="K27" t="s">
        <v>74</v>
      </c>
      <c r="L27" t="s">
        <v>74</v>
      </c>
      <c r="M27" t="s">
        <v>78</v>
      </c>
      <c r="N27" t="s">
        <v>79</v>
      </c>
      <c r="O27" t="s">
        <v>74</v>
      </c>
      <c r="P27" t="s">
        <v>74</v>
      </c>
      <c r="Q27" t="s">
        <v>74</v>
      </c>
      <c r="R27" t="s">
        <v>74</v>
      </c>
      <c r="S27" t="s">
        <v>74</v>
      </c>
      <c r="T27" t="s">
        <v>624</v>
      </c>
      <c r="U27" t="s">
        <v>625</v>
      </c>
      <c r="V27" t="s">
        <v>626</v>
      </c>
      <c r="W27" t="s">
        <v>627</v>
      </c>
      <c r="X27" t="s">
        <v>628</v>
      </c>
      <c r="Y27" t="s">
        <v>629</v>
      </c>
      <c r="Z27" t="s">
        <v>630</v>
      </c>
      <c r="AA27" t="s">
        <v>631</v>
      </c>
      <c r="AB27" t="s">
        <v>632</v>
      </c>
      <c r="AC27" t="s">
        <v>633</v>
      </c>
      <c r="AD27" t="s">
        <v>634</v>
      </c>
      <c r="AE27" t="s">
        <v>635</v>
      </c>
      <c r="AF27" t="s">
        <v>74</v>
      </c>
      <c r="AG27">
        <v>81</v>
      </c>
      <c r="AH27">
        <v>3</v>
      </c>
      <c r="AI27">
        <v>4</v>
      </c>
      <c r="AJ27">
        <v>0</v>
      </c>
      <c r="AK27">
        <v>4</v>
      </c>
      <c r="AL27" t="s">
        <v>636</v>
      </c>
      <c r="AM27" t="s">
        <v>637</v>
      </c>
      <c r="AN27" t="s">
        <v>638</v>
      </c>
      <c r="AO27" t="s">
        <v>639</v>
      </c>
      <c r="AP27" t="s">
        <v>640</v>
      </c>
      <c r="AQ27" t="s">
        <v>74</v>
      </c>
      <c r="AR27" t="s">
        <v>623</v>
      </c>
      <c r="AS27" t="s">
        <v>641</v>
      </c>
      <c r="AT27" t="s">
        <v>588</v>
      </c>
      <c r="AU27">
        <v>2017</v>
      </c>
      <c r="AV27">
        <v>4226</v>
      </c>
      <c r="AW27">
        <v>4</v>
      </c>
      <c r="AX27" t="s">
        <v>74</v>
      </c>
      <c r="AY27" t="s">
        <v>74</v>
      </c>
      <c r="AZ27" t="s">
        <v>74</v>
      </c>
      <c r="BA27" t="s">
        <v>74</v>
      </c>
      <c r="BB27">
        <v>451</v>
      </c>
      <c r="BC27">
        <v>470</v>
      </c>
      <c r="BD27" t="s">
        <v>74</v>
      </c>
      <c r="BE27" t="s">
        <v>642</v>
      </c>
      <c r="BF27" t="str">
        <f>HYPERLINK("http://dx.doi.org/10.11646/zootaxa.4226.4.1","http://dx.doi.org/10.11646/zootaxa.4226.4.1")</f>
        <v>http://dx.doi.org/10.11646/zootaxa.4226.4.1</v>
      </c>
      <c r="BG27" t="s">
        <v>74</v>
      </c>
      <c r="BH27" t="s">
        <v>74</v>
      </c>
      <c r="BI27">
        <v>20</v>
      </c>
      <c r="BJ27" t="s">
        <v>643</v>
      </c>
      <c r="BK27" t="s">
        <v>101</v>
      </c>
      <c r="BL27" t="s">
        <v>643</v>
      </c>
      <c r="BM27" t="s">
        <v>644</v>
      </c>
      <c r="BN27">
        <v>28187601</v>
      </c>
      <c r="BO27" t="s">
        <v>74</v>
      </c>
      <c r="BP27" t="s">
        <v>74</v>
      </c>
      <c r="BQ27" t="s">
        <v>74</v>
      </c>
      <c r="BR27" t="s">
        <v>105</v>
      </c>
      <c r="BS27" t="s">
        <v>645</v>
      </c>
      <c r="BT27" t="str">
        <f>HYPERLINK("https%3A%2F%2Fwww.webofscience.com%2Fwos%2Fwoscc%2Ffull-record%2FWOS:000393663800001","View Full Record in Web of Science")</f>
        <v>View Full Record in Web of Science</v>
      </c>
    </row>
    <row r="28" spans="1:72" x14ac:dyDescent="0.15">
      <c r="A28" t="s">
        <v>72</v>
      </c>
      <c r="B28" t="s">
        <v>646</v>
      </c>
      <c r="C28" t="s">
        <v>74</v>
      </c>
      <c r="D28" t="s">
        <v>74</v>
      </c>
      <c r="E28" t="s">
        <v>74</v>
      </c>
      <c r="F28" t="s">
        <v>647</v>
      </c>
      <c r="G28" t="s">
        <v>74</v>
      </c>
      <c r="H28" t="s">
        <v>74</v>
      </c>
      <c r="I28" t="s">
        <v>648</v>
      </c>
      <c r="J28" t="s">
        <v>649</v>
      </c>
      <c r="K28" t="s">
        <v>74</v>
      </c>
      <c r="L28" t="s">
        <v>74</v>
      </c>
      <c r="M28" t="s">
        <v>78</v>
      </c>
      <c r="N28" t="s">
        <v>79</v>
      </c>
      <c r="O28" t="s">
        <v>74</v>
      </c>
      <c r="P28" t="s">
        <v>74</v>
      </c>
      <c r="Q28" t="s">
        <v>74</v>
      </c>
      <c r="R28" t="s">
        <v>74</v>
      </c>
      <c r="S28" t="s">
        <v>74</v>
      </c>
      <c r="T28" t="s">
        <v>650</v>
      </c>
      <c r="U28" t="s">
        <v>651</v>
      </c>
      <c r="V28" t="s">
        <v>652</v>
      </c>
      <c r="W28" t="s">
        <v>653</v>
      </c>
      <c r="X28" t="s">
        <v>654</v>
      </c>
      <c r="Y28" t="s">
        <v>655</v>
      </c>
      <c r="Z28" t="s">
        <v>656</v>
      </c>
      <c r="AA28" t="s">
        <v>74</v>
      </c>
      <c r="AB28" t="s">
        <v>657</v>
      </c>
      <c r="AC28" t="s">
        <v>658</v>
      </c>
      <c r="AD28" t="s">
        <v>659</v>
      </c>
      <c r="AE28" t="s">
        <v>660</v>
      </c>
      <c r="AF28" t="s">
        <v>74</v>
      </c>
      <c r="AG28">
        <v>54</v>
      </c>
      <c r="AH28">
        <v>6</v>
      </c>
      <c r="AI28">
        <v>8</v>
      </c>
      <c r="AJ28">
        <v>2</v>
      </c>
      <c r="AK28">
        <v>21</v>
      </c>
      <c r="AL28" t="s">
        <v>661</v>
      </c>
      <c r="AM28" t="s">
        <v>142</v>
      </c>
      <c r="AN28" t="s">
        <v>662</v>
      </c>
      <c r="AO28" t="s">
        <v>663</v>
      </c>
      <c r="AP28" t="s">
        <v>664</v>
      </c>
      <c r="AQ28" t="s">
        <v>74</v>
      </c>
      <c r="AR28" t="s">
        <v>665</v>
      </c>
      <c r="AS28" t="s">
        <v>666</v>
      </c>
      <c r="AT28" t="s">
        <v>667</v>
      </c>
      <c r="AU28">
        <v>2017</v>
      </c>
      <c r="AV28">
        <v>44</v>
      </c>
      <c r="AW28">
        <v>2</v>
      </c>
      <c r="AX28" t="s">
        <v>74</v>
      </c>
      <c r="AY28" t="s">
        <v>74</v>
      </c>
      <c r="AZ28" t="s">
        <v>74</v>
      </c>
      <c r="BA28" t="s">
        <v>74</v>
      </c>
      <c r="BB28">
        <v>882</v>
      </c>
      <c r="BC28">
        <v>891</v>
      </c>
      <c r="BD28" t="s">
        <v>74</v>
      </c>
      <c r="BE28" t="s">
        <v>668</v>
      </c>
      <c r="BF28" t="str">
        <f>HYPERLINK("http://dx.doi.org/10.1002/2016GL071169","http://dx.doi.org/10.1002/2016GL071169")</f>
        <v>http://dx.doi.org/10.1002/2016GL071169</v>
      </c>
      <c r="BG28" t="s">
        <v>74</v>
      </c>
      <c r="BH28" t="s">
        <v>74</v>
      </c>
      <c r="BI28">
        <v>10</v>
      </c>
      <c r="BJ28" t="s">
        <v>669</v>
      </c>
      <c r="BK28" t="s">
        <v>101</v>
      </c>
      <c r="BL28" t="s">
        <v>670</v>
      </c>
      <c r="BM28" t="s">
        <v>671</v>
      </c>
      <c r="BN28" t="s">
        <v>74</v>
      </c>
      <c r="BO28" t="s">
        <v>672</v>
      </c>
      <c r="BP28" t="s">
        <v>74</v>
      </c>
      <c r="BQ28" t="s">
        <v>74</v>
      </c>
      <c r="BR28" t="s">
        <v>105</v>
      </c>
      <c r="BS28" t="s">
        <v>673</v>
      </c>
      <c r="BT28" t="str">
        <f>HYPERLINK("https%3A%2F%2Fwww.webofscience.com%2Fwos%2Fwoscc%2Ffull-record%2FWOS:000395652600034","View Full Record in Web of Science")</f>
        <v>View Full Record in Web of Science</v>
      </c>
    </row>
    <row r="29" spans="1:72" x14ac:dyDescent="0.15">
      <c r="A29" t="s">
        <v>72</v>
      </c>
      <c r="B29" t="s">
        <v>674</v>
      </c>
      <c r="C29" t="s">
        <v>74</v>
      </c>
      <c r="D29" t="s">
        <v>74</v>
      </c>
      <c r="E29" t="s">
        <v>74</v>
      </c>
      <c r="F29" t="s">
        <v>675</v>
      </c>
      <c r="G29" t="s">
        <v>74</v>
      </c>
      <c r="H29" t="s">
        <v>74</v>
      </c>
      <c r="I29" t="s">
        <v>676</v>
      </c>
      <c r="J29" t="s">
        <v>649</v>
      </c>
      <c r="K29" t="s">
        <v>74</v>
      </c>
      <c r="L29" t="s">
        <v>74</v>
      </c>
      <c r="M29" t="s">
        <v>78</v>
      </c>
      <c r="N29" t="s">
        <v>79</v>
      </c>
      <c r="O29" t="s">
        <v>74</v>
      </c>
      <c r="P29" t="s">
        <v>74</v>
      </c>
      <c r="Q29" t="s">
        <v>74</v>
      </c>
      <c r="R29" t="s">
        <v>74</v>
      </c>
      <c r="S29" t="s">
        <v>74</v>
      </c>
      <c r="T29" t="s">
        <v>677</v>
      </c>
      <c r="U29" t="s">
        <v>678</v>
      </c>
      <c r="V29" t="s">
        <v>679</v>
      </c>
      <c r="W29" t="s">
        <v>680</v>
      </c>
      <c r="X29" t="s">
        <v>681</v>
      </c>
      <c r="Y29" t="s">
        <v>682</v>
      </c>
      <c r="Z29" t="s">
        <v>683</v>
      </c>
      <c r="AA29" t="s">
        <v>684</v>
      </c>
      <c r="AB29" t="s">
        <v>685</v>
      </c>
      <c r="AC29" t="s">
        <v>686</v>
      </c>
      <c r="AD29" t="s">
        <v>687</v>
      </c>
      <c r="AE29" t="s">
        <v>688</v>
      </c>
      <c r="AF29" t="s">
        <v>74</v>
      </c>
      <c r="AG29">
        <v>32</v>
      </c>
      <c r="AH29">
        <v>6</v>
      </c>
      <c r="AI29">
        <v>6</v>
      </c>
      <c r="AJ29">
        <v>0</v>
      </c>
      <c r="AK29">
        <v>23</v>
      </c>
      <c r="AL29" t="s">
        <v>661</v>
      </c>
      <c r="AM29" t="s">
        <v>142</v>
      </c>
      <c r="AN29" t="s">
        <v>662</v>
      </c>
      <c r="AO29" t="s">
        <v>663</v>
      </c>
      <c r="AP29" t="s">
        <v>664</v>
      </c>
      <c r="AQ29" t="s">
        <v>74</v>
      </c>
      <c r="AR29" t="s">
        <v>665</v>
      </c>
      <c r="AS29" t="s">
        <v>666</v>
      </c>
      <c r="AT29" t="s">
        <v>667</v>
      </c>
      <c r="AU29">
        <v>2017</v>
      </c>
      <c r="AV29">
        <v>44</v>
      </c>
      <c r="AW29">
        <v>2</v>
      </c>
      <c r="AX29" t="s">
        <v>74</v>
      </c>
      <c r="AY29" t="s">
        <v>74</v>
      </c>
      <c r="AZ29" t="s">
        <v>74</v>
      </c>
      <c r="BA29" t="s">
        <v>74</v>
      </c>
      <c r="BB29">
        <v>1008</v>
      </c>
      <c r="BC29">
        <v>1014</v>
      </c>
      <c r="BD29" t="s">
        <v>74</v>
      </c>
      <c r="BE29" t="s">
        <v>689</v>
      </c>
      <c r="BF29" t="str">
        <f>HYPERLINK("http://dx.doi.org/10.1002/2016GL071307","http://dx.doi.org/10.1002/2016GL071307")</f>
        <v>http://dx.doi.org/10.1002/2016GL071307</v>
      </c>
      <c r="BG29" t="s">
        <v>74</v>
      </c>
      <c r="BH29" t="s">
        <v>74</v>
      </c>
      <c r="BI29">
        <v>7</v>
      </c>
      <c r="BJ29" t="s">
        <v>669</v>
      </c>
      <c r="BK29" t="s">
        <v>101</v>
      </c>
      <c r="BL29" t="s">
        <v>670</v>
      </c>
      <c r="BM29" t="s">
        <v>671</v>
      </c>
      <c r="BN29" t="s">
        <v>74</v>
      </c>
      <c r="BO29" t="s">
        <v>672</v>
      </c>
      <c r="BP29" t="s">
        <v>74</v>
      </c>
      <c r="BQ29" t="s">
        <v>74</v>
      </c>
      <c r="BR29" t="s">
        <v>105</v>
      </c>
      <c r="BS29" t="s">
        <v>690</v>
      </c>
      <c r="BT29" t="str">
        <f>HYPERLINK("https%3A%2F%2Fwww.webofscience.com%2Fwos%2Fwoscc%2Ffull-record%2FWOS:000395652600048","View Full Record in Web of Science")</f>
        <v>View Full Record in Web of Science</v>
      </c>
    </row>
    <row r="30" spans="1:72" x14ac:dyDescent="0.15">
      <c r="A30" t="s">
        <v>72</v>
      </c>
      <c r="B30" t="s">
        <v>691</v>
      </c>
      <c r="C30" t="s">
        <v>74</v>
      </c>
      <c r="D30" t="s">
        <v>74</v>
      </c>
      <c r="E30" t="s">
        <v>74</v>
      </c>
      <c r="F30" t="s">
        <v>692</v>
      </c>
      <c r="G30" t="s">
        <v>74</v>
      </c>
      <c r="H30" t="s">
        <v>74</v>
      </c>
      <c r="I30" t="s">
        <v>693</v>
      </c>
      <c r="J30" t="s">
        <v>596</v>
      </c>
      <c r="K30" t="s">
        <v>74</v>
      </c>
      <c r="L30" t="s">
        <v>74</v>
      </c>
      <c r="M30" t="s">
        <v>78</v>
      </c>
      <c r="N30" t="s">
        <v>79</v>
      </c>
      <c r="O30" t="s">
        <v>74</v>
      </c>
      <c r="P30" t="s">
        <v>74</v>
      </c>
      <c r="Q30" t="s">
        <v>74</v>
      </c>
      <c r="R30" t="s">
        <v>74</v>
      </c>
      <c r="S30" t="s">
        <v>74</v>
      </c>
      <c r="T30" t="s">
        <v>74</v>
      </c>
      <c r="U30" t="s">
        <v>694</v>
      </c>
      <c r="V30" t="s">
        <v>695</v>
      </c>
      <c r="W30" t="s">
        <v>696</v>
      </c>
      <c r="X30" t="s">
        <v>697</v>
      </c>
      <c r="Y30" t="s">
        <v>698</v>
      </c>
      <c r="Z30" t="s">
        <v>699</v>
      </c>
      <c r="AA30" t="s">
        <v>700</v>
      </c>
      <c r="AB30" t="s">
        <v>701</v>
      </c>
      <c r="AC30" t="s">
        <v>702</v>
      </c>
      <c r="AD30" t="s">
        <v>703</v>
      </c>
      <c r="AE30" t="s">
        <v>704</v>
      </c>
      <c r="AF30" t="s">
        <v>74</v>
      </c>
      <c r="AG30">
        <v>47</v>
      </c>
      <c r="AH30">
        <v>25</v>
      </c>
      <c r="AI30">
        <v>27</v>
      </c>
      <c r="AJ30">
        <v>0</v>
      </c>
      <c r="AK30">
        <v>7</v>
      </c>
      <c r="AL30" t="s">
        <v>608</v>
      </c>
      <c r="AM30" t="s">
        <v>609</v>
      </c>
      <c r="AN30" t="s">
        <v>610</v>
      </c>
      <c r="AO30" t="s">
        <v>611</v>
      </c>
      <c r="AP30" t="s">
        <v>612</v>
      </c>
      <c r="AQ30" t="s">
        <v>74</v>
      </c>
      <c r="AR30" t="s">
        <v>596</v>
      </c>
      <c r="AS30" t="s">
        <v>613</v>
      </c>
      <c r="AT30" t="s">
        <v>705</v>
      </c>
      <c r="AU30">
        <v>2017</v>
      </c>
      <c r="AV30">
        <v>11</v>
      </c>
      <c r="AW30">
        <v>1</v>
      </c>
      <c r="AX30" t="s">
        <v>74</v>
      </c>
      <c r="AY30" t="s">
        <v>74</v>
      </c>
      <c r="AZ30" t="s">
        <v>74</v>
      </c>
      <c r="BA30" t="s">
        <v>74</v>
      </c>
      <c r="BB30">
        <v>247</v>
      </c>
      <c r="BC30">
        <v>265</v>
      </c>
      <c r="BD30" t="s">
        <v>74</v>
      </c>
      <c r="BE30" t="s">
        <v>706</v>
      </c>
      <c r="BF30" t="str">
        <f>HYPERLINK("http://dx.doi.org/10.5194/tc-11-247-2017","http://dx.doi.org/10.5194/tc-11-247-2017")</f>
        <v>http://dx.doi.org/10.5194/tc-11-247-2017</v>
      </c>
      <c r="BG30" t="s">
        <v>74</v>
      </c>
      <c r="BH30" t="s">
        <v>74</v>
      </c>
      <c r="BI30">
        <v>19</v>
      </c>
      <c r="BJ30" t="s">
        <v>615</v>
      </c>
      <c r="BK30" t="s">
        <v>101</v>
      </c>
      <c r="BL30" t="s">
        <v>616</v>
      </c>
      <c r="BM30" t="s">
        <v>707</v>
      </c>
      <c r="BN30" t="s">
        <v>74</v>
      </c>
      <c r="BO30" t="s">
        <v>708</v>
      </c>
      <c r="BP30" t="s">
        <v>74</v>
      </c>
      <c r="BQ30" t="s">
        <v>74</v>
      </c>
      <c r="BR30" t="s">
        <v>105</v>
      </c>
      <c r="BS30" t="s">
        <v>709</v>
      </c>
      <c r="BT30" t="str">
        <f>HYPERLINK("https%3A%2F%2Fwww.webofscience.com%2Fwos%2Fwoscc%2Ffull-record%2FWOS:000395181000003","View Full Record in Web of Science")</f>
        <v>View Full Record in Web of Science</v>
      </c>
    </row>
    <row r="31" spans="1:72" x14ac:dyDescent="0.15">
      <c r="A31" t="s">
        <v>72</v>
      </c>
      <c r="B31" t="s">
        <v>710</v>
      </c>
      <c r="C31" t="s">
        <v>74</v>
      </c>
      <c r="D31" t="s">
        <v>74</v>
      </c>
      <c r="E31" t="s">
        <v>74</v>
      </c>
      <c r="F31" t="s">
        <v>711</v>
      </c>
      <c r="G31" t="s">
        <v>74</v>
      </c>
      <c r="H31" t="s">
        <v>74</v>
      </c>
      <c r="I31" t="s">
        <v>712</v>
      </c>
      <c r="J31" t="s">
        <v>596</v>
      </c>
      <c r="K31" t="s">
        <v>74</v>
      </c>
      <c r="L31" t="s">
        <v>74</v>
      </c>
      <c r="M31" t="s">
        <v>78</v>
      </c>
      <c r="N31" t="s">
        <v>79</v>
      </c>
      <c r="O31" t="s">
        <v>74</v>
      </c>
      <c r="P31" t="s">
        <v>74</v>
      </c>
      <c r="Q31" t="s">
        <v>74</v>
      </c>
      <c r="R31" t="s">
        <v>74</v>
      </c>
      <c r="S31" t="s">
        <v>74</v>
      </c>
      <c r="T31" t="s">
        <v>74</v>
      </c>
      <c r="U31" t="s">
        <v>713</v>
      </c>
      <c r="V31" t="s">
        <v>714</v>
      </c>
      <c r="W31" t="s">
        <v>715</v>
      </c>
      <c r="X31" t="s">
        <v>716</v>
      </c>
      <c r="Y31" t="s">
        <v>717</v>
      </c>
      <c r="Z31" t="s">
        <v>718</v>
      </c>
      <c r="AA31" t="s">
        <v>719</v>
      </c>
      <c r="AB31" t="s">
        <v>720</v>
      </c>
      <c r="AC31" t="s">
        <v>721</v>
      </c>
      <c r="AD31" t="s">
        <v>722</v>
      </c>
      <c r="AE31" t="s">
        <v>723</v>
      </c>
      <c r="AF31" t="s">
        <v>74</v>
      </c>
      <c r="AG31">
        <v>35</v>
      </c>
      <c r="AH31">
        <v>25</v>
      </c>
      <c r="AI31">
        <v>27</v>
      </c>
      <c r="AJ31">
        <v>2</v>
      </c>
      <c r="AK31">
        <v>16</v>
      </c>
      <c r="AL31" t="s">
        <v>608</v>
      </c>
      <c r="AM31" t="s">
        <v>609</v>
      </c>
      <c r="AN31" t="s">
        <v>610</v>
      </c>
      <c r="AO31" t="s">
        <v>611</v>
      </c>
      <c r="AP31" t="s">
        <v>612</v>
      </c>
      <c r="AQ31" t="s">
        <v>74</v>
      </c>
      <c r="AR31" t="s">
        <v>596</v>
      </c>
      <c r="AS31" t="s">
        <v>613</v>
      </c>
      <c r="AT31" t="s">
        <v>705</v>
      </c>
      <c r="AU31">
        <v>2017</v>
      </c>
      <c r="AV31">
        <v>11</v>
      </c>
      <c r="AW31">
        <v>1</v>
      </c>
      <c r="AX31" t="s">
        <v>74</v>
      </c>
      <c r="AY31" t="s">
        <v>74</v>
      </c>
      <c r="AZ31" t="s">
        <v>74</v>
      </c>
      <c r="BA31" t="s">
        <v>74</v>
      </c>
      <c r="BB31">
        <v>266</v>
      </c>
      <c r="BC31">
        <v>280</v>
      </c>
      <c r="BD31" t="s">
        <v>74</v>
      </c>
      <c r="BE31" t="s">
        <v>724</v>
      </c>
      <c r="BF31" t="str">
        <f>HYPERLINK("http://dx.doi.org/10.5194/tc-11-267-2017","http://dx.doi.org/10.5194/tc-11-267-2017")</f>
        <v>http://dx.doi.org/10.5194/tc-11-267-2017</v>
      </c>
      <c r="BG31" t="s">
        <v>74</v>
      </c>
      <c r="BH31" t="s">
        <v>74</v>
      </c>
      <c r="BI31">
        <v>14</v>
      </c>
      <c r="BJ31" t="s">
        <v>615</v>
      </c>
      <c r="BK31" t="s">
        <v>101</v>
      </c>
      <c r="BL31" t="s">
        <v>616</v>
      </c>
      <c r="BM31" t="s">
        <v>707</v>
      </c>
      <c r="BN31" t="s">
        <v>74</v>
      </c>
      <c r="BO31" t="s">
        <v>725</v>
      </c>
      <c r="BP31" t="s">
        <v>74</v>
      </c>
      <c r="BQ31" t="s">
        <v>74</v>
      </c>
      <c r="BR31" t="s">
        <v>105</v>
      </c>
      <c r="BS31" t="s">
        <v>726</v>
      </c>
      <c r="BT31" t="str">
        <f>HYPERLINK("https%3A%2F%2Fwww.webofscience.com%2Fwos%2Fwoscc%2Ffull-record%2FWOS:000395181000004","View Full Record in Web of Science")</f>
        <v>View Full Record in Web of Science</v>
      </c>
    </row>
    <row r="32" spans="1:72" x14ac:dyDescent="0.15">
      <c r="A32" t="s">
        <v>72</v>
      </c>
      <c r="B32" t="s">
        <v>727</v>
      </c>
      <c r="C32" t="s">
        <v>74</v>
      </c>
      <c r="D32" t="s">
        <v>74</v>
      </c>
      <c r="E32" t="s">
        <v>74</v>
      </c>
      <c r="F32" t="s">
        <v>728</v>
      </c>
      <c r="G32" t="s">
        <v>74</v>
      </c>
      <c r="H32" t="s">
        <v>74</v>
      </c>
      <c r="I32" t="s">
        <v>729</v>
      </c>
      <c r="J32" t="s">
        <v>730</v>
      </c>
      <c r="K32" t="s">
        <v>74</v>
      </c>
      <c r="L32" t="s">
        <v>74</v>
      </c>
      <c r="M32" t="s">
        <v>78</v>
      </c>
      <c r="N32" t="s">
        <v>79</v>
      </c>
      <c r="O32" t="s">
        <v>74</v>
      </c>
      <c r="P32" t="s">
        <v>74</v>
      </c>
      <c r="Q32" t="s">
        <v>74</v>
      </c>
      <c r="R32" t="s">
        <v>74</v>
      </c>
      <c r="S32" t="s">
        <v>74</v>
      </c>
      <c r="T32" t="s">
        <v>74</v>
      </c>
      <c r="U32" t="s">
        <v>731</v>
      </c>
      <c r="V32" t="s">
        <v>732</v>
      </c>
      <c r="W32" t="s">
        <v>733</v>
      </c>
      <c r="X32" t="s">
        <v>734</v>
      </c>
      <c r="Y32" t="s">
        <v>735</v>
      </c>
      <c r="Z32" t="s">
        <v>736</v>
      </c>
      <c r="AA32" t="s">
        <v>737</v>
      </c>
      <c r="AB32" t="s">
        <v>738</v>
      </c>
      <c r="AC32" t="s">
        <v>739</v>
      </c>
      <c r="AD32" t="s">
        <v>740</v>
      </c>
      <c r="AE32" t="s">
        <v>741</v>
      </c>
      <c r="AF32" t="s">
        <v>74</v>
      </c>
      <c r="AG32">
        <v>48</v>
      </c>
      <c r="AH32">
        <v>7</v>
      </c>
      <c r="AI32">
        <v>8</v>
      </c>
      <c r="AJ32">
        <v>0</v>
      </c>
      <c r="AK32">
        <v>7</v>
      </c>
      <c r="AL32" t="s">
        <v>661</v>
      </c>
      <c r="AM32" t="s">
        <v>142</v>
      </c>
      <c r="AN32" t="s">
        <v>662</v>
      </c>
      <c r="AO32" t="s">
        <v>742</v>
      </c>
      <c r="AP32" t="s">
        <v>743</v>
      </c>
      <c r="AQ32" t="s">
        <v>74</v>
      </c>
      <c r="AR32" t="s">
        <v>744</v>
      </c>
      <c r="AS32" t="s">
        <v>745</v>
      </c>
      <c r="AT32" t="s">
        <v>705</v>
      </c>
      <c r="AU32">
        <v>2017</v>
      </c>
      <c r="AV32">
        <v>122</v>
      </c>
      <c r="AW32">
        <v>2</v>
      </c>
      <c r="AX32" t="s">
        <v>74</v>
      </c>
      <c r="AY32" t="s">
        <v>74</v>
      </c>
      <c r="AZ32" t="s">
        <v>74</v>
      </c>
      <c r="BA32" t="s">
        <v>74</v>
      </c>
      <c r="BB32">
        <v>878</v>
      </c>
      <c r="BC32">
        <v>895</v>
      </c>
      <c r="BD32" t="s">
        <v>74</v>
      </c>
      <c r="BE32" t="s">
        <v>746</v>
      </c>
      <c r="BF32" t="str">
        <f>HYPERLINK("http://dx.doi.org/10.1002/2016JD025508","http://dx.doi.org/10.1002/2016JD025508")</f>
        <v>http://dx.doi.org/10.1002/2016JD025508</v>
      </c>
      <c r="BG32" t="s">
        <v>74</v>
      </c>
      <c r="BH32" t="s">
        <v>74</v>
      </c>
      <c r="BI32">
        <v>18</v>
      </c>
      <c r="BJ32" t="s">
        <v>747</v>
      </c>
      <c r="BK32" t="s">
        <v>101</v>
      </c>
      <c r="BL32" t="s">
        <v>747</v>
      </c>
      <c r="BM32" t="s">
        <v>748</v>
      </c>
      <c r="BN32" t="s">
        <v>74</v>
      </c>
      <c r="BO32" t="s">
        <v>74</v>
      </c>
      <c r="BP32" t="s">
        <v>74</v>
      </c>
      <c r="BQ32" t="s">
        <v>74</v>
      </c>
      <c r="BR32" t="s">
        <v>105</v>
      </c>
      <c r="BS32" t="s">
        <v>749</v>
      </c>
      <c r="BT32" t="str">
        <f>HYPERLINK("https%3A%2F%2Fwww.webofscience.com%2Fwos%2Fwoscc%2Ffull-record%2FWOS:000396116900019","View Full Record in Web of Science")</f>
        <v>View Full Record in Web of Science</v>
      </c>
    </row>
    <row r="33" spans="1:72" x14ac:dyDescent="0.15">
      <c r="A33" t="s">
        <v>72</v>
      </c>
      <c r="B33" t="s">
        <v>750</v>
      </c>
      <c r="C33" t="s">
        <v>74</v>
      </c>
      <c r="D33" t="s">
        <v>74</v>
      </c>
      <c r="E33" t="s">
        <v>74</v>
      </c>
      <c r="F33" t="s">
        <v>751</v>
      </c>
      <c r="G33" t="s">
        <v>74</v>
      </c>
      <c r="H33" t="s">
        <v>74</v>
      </c>
      <c r="I33" t="s">
        <v>752</v>
      </c>
      <c r="J33" t="s">
        <v>730</v>
      </c>
      <c r="K33" t="s">
        <v>74</v>
      </c>
      <c r="L33" t="s">
        <v>74</v>
      </c>
      <c r="M33" t="s">
        <v>78</v>
      </c>
      <c r="N33" t="s">
        <v>79</v>
      </c>
      <c r="O33" t="s">
        <v>74</v>
      </c>
      <c r="P33" t="s">
        <v>74</v>
      </c>
      <c r="Q33" t="s">
        <v>74</v>
      </c>
      <c r="R33" t="s">
        <v>74</v>
      </c>
      <c r="S33" t="s">
        <v>74</v>
      </c>
      <c r="T33" t="s">
        <v>74</v>
      </c>
      <c r="U33" t="s">
        <v>753</v>
      </c>
      <c r="V33" t="s">
        <v>754</v>
      </c>
      <c r="W33" t="s">
        <v>755</v>
      </c>
      <c r="X33" t="s">
        <v>756</v>
      </c>
      <c r="Y33" t="s">
        <v>757</v>
      </c>
      <c r="Z33" t="s">
        <v>758</v>
      </c>
      <c r="AA33" t="s">
        <v>759</v>
      </c>
      <c r="AB33" t="s">
        <v>760</v>
      </c>
      <c r="AC33" t="s">
        <v>761</v>
      </c>
      <c r="AD33" t="s">
        <v>762</v>
      </c>
      <c r="AE33" t="s">
        <v>763</v>
      </c>
      <c r="AF33" t="s">
        <v>74</v>
      </c>
      <c r="AG33">
        <v>62</v>
      </c>
      <c r="AH33">
        <v>14</v>
      </c>
      <c r="AI33">
        <v>14</v>
      </c>
      <c r="AJ33">
        <v>0</v>
      </c>
      <c r="AK33">
        <v>12</v>
      </c>
      <c r="AL33" t="s">
        <v>661</v>
      </c>
      <c r="AM33" t="s">
        <v>142</v>
      </c>
      <c r="AN33" t="s">
        <v>662</v>
      </c>
      <c r="AO33" t="s">
        <v>742</v>
      </c>
      <c r="AP33" t="s">
        <v>743</v>
      </c>
      <c r="AQ33" t="s">
        <v>74</v>
      </c>
      <c r="AR33" t="s">
        <v>744</v>
      </c>
      <c r="AS33" t="s">
        <v>745</v>
      </c>
      <c r="AT33" t="s">
        <v>705</v>
      </c>
      <c r="AU33">
        <v>2017</v>
      </c>
      <c r="AV33">
        <v>122</v>
      </c>
      <c r="AW33">
        <v>2</v>
      </c>
      <c r="AX33" t="s">
        <v>74</v>
      </c>
      <c r="AY33" t="s">
        <v>74</v>
      </c>
      <c r="AZ33" t="s">
        <v>74</v>
      </c>
      <c r="BA33" t="s">
        <v>74</v>
      </c>
      <c r="BB33">
        <v>1175</v>
      </c>
      <c r="BC33">
        <v>1202</v>
      </c>
      <c r="BD33" t="s">
        <v>74</v>
      </c>
      <c r="BE33" t="s">
        <v>764</v>
      </c>
      <c r="BF33" t="str">
        <f>HYPERLINK("http://dx.doi.org/10.1002/2016JD025191","http://dx.doi.org/10.1002/2016JD025191")</f>
        <v>http://dx.doi.org/10.1002/2016JD025191</v>
      </c>
      <c r="BG33" t="s">
        <v>74</v>
      </c>
      <c r="BH33" t="s">
        <v>74</v>
      </c>
      <c r="BI33">
        <v>28</v>
      </c>
      <c r="BJ33" t="s">
        <v>747</v>
      </c>
      <c r="BK33" t="s">
        <v>101</v>
      </c>
      <c r="BL33" t="s">
        <v>747</v>
      </c>
      <c r="BM33" t="s">
        <v>748</v>
      </c>
      <c r="BN33" t="s">
        <v>74</v>
      </c>
      <c r="BO33" t="s">
        <v>74</v>
      </c>
      <c r="BP33" t="s">
        <v>74</v>
      </c>
      <c r="BQ33" t="s">
        <v>74</v>
      </c>
      <c r="BR33" t="s">
        <v>105</v>
      </c>
      <c r="BS33" t="s">
        <v>765</v>
      </c>
      <c r="BT33" t="str">
        <f>HYPERLINK("https%3A%2F%2Fwww.webofscience.com%2Fwos%2Fwoscc%2Ffull-record%2FWOS:000396116900036","View Full Record in Web of Science")</f>
        <v>View Full Record in Web of Science</v>
      </c>
    </row>
    <row r="34" spans="1:72" x14ac:dyDescent="0.15">
      <c r="A34" t="s">
        <v>72</v>
      </c>
      <c r="B34" t="s">
        <v>766</v>
      </c>
      <c r="C34" t="s">
        <v>74</v>
      </c>
      <c r="D34" t="s">
        <v>74</v>
      </c>
      <c r="E34" t="s">
        <v>74</v>
      </c>
      <c r="F34" t="s">
        <v>767</v>
      </c>
      <c r="G34" t="s">
        <v>74</v>
      </c>
      <c r="H34" t="s">
        <v>74</v>
      </c>
      <c r="I34" t="s">
        <v>768</v>
      </c>
      <c r="J34" t="s">
        <v>769</v>
      </c>
      <c r="K34" t="s">
        <v>74</v>
      </c>
      <c r="L34" t="s">
        <v>74</v>
      </c>
      <c r="M34" t="s">
        <v>78</v>
      </c>
      <c r="N34" t="s">
        <v>79</v>
      </c>
      <c r="O34" t="s">
        <v>74</v>
      </c>
      <c r="P34" t="s">
        <v>74</v>
      </c>
      <c r="Q34" t="s">
        <v>74</v>
      </c>
      <c r="R34" t="s">
        <v>74</v>
      </c>
      <c r="S34" t="s">
        <v>74</v>
      </c>
      <c r="T34" t="s">
        <v>74</v>
      </c>
      <c r="U34" t="s">
        <v>770</v>
      </c>
      <c r="V34" t="s">
        <v>771</v>
      </c>
      <c r="W34" t="s">
        <v>772</v>
      </c>
      <c r="X34" t="s">
        <v>773</v>
      </c>
      <c r="Y34" t="s">
        <v>774</v>
      </c>
      <c r="Z34" t="s">
        <v>775</v>
      </c>
      <c r="AA34" t="s">
        <v>776</v>
      </c>
      <c r="AB34" t="s">
        <v>777</v>
      </c>
      <c r="AC34" t="s">
        <v>778</v>
      </c>
      <c r="AD34" t="s">
        <v>779</v>
      </c>
      <c r="AE34" t="s">
        <v>780</v>
      </c>
      <c r="AF34" t="s">
        <v>74</v>
      </c>
      <c r="AG34">
        <v>38</v>
      </c>
      <c r="AH34">
        <v>35</v>
      </c>
      <c r="AI34">
        <v>38</v>
      </c>
      <c r="AJ34">
        <v>1</v>
      </c>
      <c r="AK34">
        <v>22</v>
      </c>
      <c r="AL34" t="s">
        <v>781</v>
      </c>
      <c r="AM34" t="s">
        <v>782</v>
      </c>
      <c r="AN34" t="s">
        <v>783</v>
      </c>
      <c r="AO34" t="s">
        <v>784</v>
      </c>
      <c r="AP34" t="s">
        <v>74</v>
      </c>
      <c r="AQ34" t="s">
        <v>74</v>
      </c>
      <c r="AR34" t="s">
        <v>769</v>
      </c>
      <c r="AS34" t="s">
        <v>785</v>
      </c>
      <c r="AT34" t="s">
        <v>786</v>
      </c>
      <c r="AU34">
        <v>2017</v>
      </c>
      <c r="AV34">
        <v>12</v>
      </c>
      <c r="AW34">
        <v>1</v>
      </c>
      <c r="AX34" t="s">
        <v>74</v>
      </c>
      <c r="AY34" t="s">
        <v>74</v>
      </c>
      <c r="AZ34" t="s">
        <v>74</v>
      </c>
      <c r="BA34" t="s">
        <v>74</v>
      </c>
      <c r="BB34" t="s">
        <v>74</v>
      </c>
      <c r="BC34" t="s">
        <v>74</v>
      </c>
      <c r="BD34" t="s">
        <v>787</v>
      </c>
      <c r="BE34" t="s">
        <v>788</v>
      </c>
      <c r="BF34" t="str">
        <f>HYPERLINK("http://dx.doi.org/10.1371/journal.pone.0169540","http://dx.doi.org/10.1371/journal.pone.0169540")</f>
        <v>http://dx.doi.org/10.1371/journal.pone.0169540</v>
      </c>
      <c r="BG34" t="s">
        <v>74</v>
      </c>
      <c r="BH34" t="s">
        <v>74</v>
      </c>
      <c r="BI34">
        <v>19</v>
      </c>
      <c r="BJ34" t="s">
        <v>100</v>
      </c>
      <c r="BK34" t="s">
        <v>101</v>
      </c>
      <c r="BL34" t="s">
        <v>102</v>
      </c>
      <c r="BM34" t="s">
        <v>789</v>
      </c>
      <c r="BN34">
        <v>28125606</v>
      </c>
      <c r="BO34" t="s">
        <v>790</v>
      </c>
      <c r="BP34" t="s">
        <v>74</v>
      </c>
      <c r="BQ34" t="s">
        <v>74</v>
      </c>
      <c r="BR34" t="s">
        <v>105</v>
      </c>
      <c r="BS34" t="s">
        <v>791</v>
      </c>
      <c r="BT34" t="str">
        <f>HYPERLINK("https%3A%2F%2Fwww.webofscience.com%2Fwos%2Fwoscc%2Ffull-record%2FWOS:000396176100137","View Full Record in Web of Science")</f>
        <v>View Full Record in Web of Science</v>
      </c>
    </row>
    <row r="35" spans="1:72" x14ac:dyDescent="0.15">
      <c r="A35" t="s">
        <v>72</v>
      </c>
      <c r="B35" t="s">
        <v>792</v>
      </c>
      <c r="C35" t="s">
        <v>74</v>
      </c>
      <c r="D35" t="s">
        <v>74</v>
      </c>
      <c r="E35" t="s">
        <v>74</v>
      </c>
      <c r="F35" t="s">
        <v>793</v>
      </c>
      <c r="G35" t="s">
        <v>74</v>
      </c>
      <c r="H35" t="s">
        <v>74</v>
      </c>
      <c r="I35" t="s">
        <v>794</v>
      </c>
      <c r="J35" t="s">
        <v>795</v>
      </c>
      <c r="K35" t="s">
        <v>74</v>
      </c>
      <c r="L35" t="s">
        <v>74</v>
      </c>
      <c r="M35" t="s">
        <v>78</v>
      </c>
      <c r="N35" t="s">
        <v>79</v>
      </c>
      <c r="O35" t="s">
        <v>74</v>
      </c>
      <c r="P35" t="s">
        <v>74</v>
      </c>
      <c r="Q35" t="s">
        <v>74</v>
      </c>
      <c r="R35" t="s">
        <v>74</v>
      </c>
      <c r="S35" t="s">
        <v>74</v>
      </c>
      <c r="T35" t="s">
        <v>74</v>
      </c>
      <c r="U35" t="s">
        <v>796</v>
      </c>
      <c r="V35" t="s">
        <v>797</v>
      </c>
      <c r="W35" t="s">
        <v>798</v>
      </c>
      <c r="X35" t="s">
        <v>799</v>
      </c>
      <c r="Y35" t="s">
        <v>800</v>
      </c>
      <c r="Z35" t="s">
        <v>801</v>
      </c>
      <c r="AA35" t="s">
        <v>802</v>
      </c>
      <c r="AB35" t="s">
        <v>803</v>
      </c>
      <c r="AC35" t="s">
        <v>804</v>
      </c>
      <c r="AD35" t="s">
        <v>805</v>
      </c>
      <c r="AE35" t="s">
        <v>806</v>
      </c>
      <c r="AF35" t="s">
        <v>74</v>
      </c>
      <c r="AG35">
        <v>81</v>
      </c>
      <c r="AH35">
        <v>228</v>
      </c>
      <c r="AI35">
        <v>249</v>
      </c>
      <c r="AJ35">
        <v>9</v>
      </c>
      <c r="AK35">
        <v>173</v>
      </c>
      <c r="AL35" t="s">
        <v>582</v>
      </c>
      <c r="AM35" t="s">
        <v>583</v>
      </c>
      <c r="AN35" t="s">
        <v>584</v>
      </c>
      <c r="AO35" t="s">
        <v>807</v>
      </c>
      <c r="AP35" t="s">
        <v>808</v>
      </c>
      <c r="AQ35" t="s">
        <v>74</v>
      </c>
      <c r="AR35" t="s">
        <v>795</v>
      </c>
      <c r="AS35" t="s">
        <v>809</v>
      </c>
      <c r="AT35" t="s">
        <v>786</v>
      </c>
      <c r="AU35">
        <v>2017</v>
      </c>
      <c r="AV35">
        <v>541</v>
      </c>
      <c r="AW35">
        <v>7638</v>
      </c>
      <c r="AX35" t="s">
        <v>74</v>
      </c>
      <c r="AY35" t="s">
        <v>74</v>
      </c>
      <c r="AZ35" t="s">
        <v>74</v>
      </c>
      <c r="BA35" t="s">
        <v>74</v>
      </c>
      <c r="BB35">
        <v>536</v>
      </c>
      <c r="BC35">
        <v>540</v>
      </c>
      <c r="BD35" t="s">
        <v>74</v>
      </c>
      <c r="BE35" t="s">
        <v>810</v>
      </c>
      <c r="BF35" t="str">
        <f>HYPERLINK("http://dx.doi.org/10.1038/nature20803","http://dx.doi.org/10.1038/nature20803")</f>
        <v>http://dx.doi.org/10.1038/nature20803</v>
      </c>
      <c r="BG35" t="s">
        <v>74</v>
      </c>
      <c r="BH35" t="s">
        <v>74</v>
      </c>
      <c r="BI35">
        <v>5</v>
      </c>
      <c r="BJ35" t="s">
        <v>100</v>
      </c>
      <c r="BK35" t="s">
        <v>101</v>
      </c>
      <c r="BL35" t="s">
        <v>102</v>
      </c>
      <c r="BM35" t="s">
        <v>811</v>
      </c>
      <c r="BN35">
        <v>28092920</v>
      </c>
      <c r="BO35" t="s">
        <v>812</v>
      </c>
      <c r="BP35" t="s">
        <v>813</v>
      </c>
      <c r="BQ35" t="s">
        <v>814</v>
      </c>
      <c r="BR35" t="s">
        <v>105</v>
      </c>
      <c r="BS35" t="s">
        <v>815</v>
      </c>
      <c r="BT35" t="str">
        <f>HYPERLINK("https%3A%2F%2Fwww.webofscience.com%2Fwos%2Fwoscc%2Ffull-record%2FWOS:000396116600052","View Full Record in Web of Science")</f>
        <v>View Full Record in Web of Science</v>
      </c>
    </row>
    <row r="36" spans="1:72" x14ac:dyDescent="0.15">
      <c r="A36" t="s">
        <v>72</v>
      </c>
      <c r="B36" t="s">
        <v>816</v>
      </c>
      <c r="C36" t="s">
        <v>74</v>
      </c>
      <c r="D36" t="s">
        <v>74</v>
      </c>
      <c r="E36" t="s">
        <v>74</v>
      </c>
      <c r="F36" t="s">
        <v>817</v>
      </c>
      <c r="G36" t="s">
        <v>74</v>
      </c>
      <c r="H36" t="s">
        <v>74</v>
      </c>
      <c r="I36" t="s">
        <v>818</v>
      </c>
      <c r="J36" t="s">
        <v>769</v>
      </c>
      <c r="K36" t="s">
        <v>74</v>
      </c>
      <c r="L36" t="s">
        <v>74</v>
      </c>
      <c r="M36" t="s">
        <v>78</v>
      </c>
      <c r="N36" t="s">
        <v>79</v>
      </c>
      <c r="O36" t="s">
        <v>74</v>
      </c>
      <c r="P36" t="s">
        <v>74</v>
      </c>
      <c r="Q36" t="s">
        <v>74</v>
      </c>
      <c r="R36" t="s">
        <v>74</v>
      </c>
      <c r="S36" t="s">
        <v>74</v>
      </c>
      <c r="T36" t="s">
        <v>74</v>
      </c>
      <c r="U36" t="s">
        <v>819</v>
      </c>
      <c r="V36" t="s">
        <v>820</v>
      </c>
      <c r="W36" t="s">
        <v>821</v>
      </c>
      <c r="X36" t="s">
        <v>822</v>
      </c>
      <c r="Y36" t="s">
        <v>823</v>
      </c>
      <c r="Z36" t="s">
        <v>824</v>
      </c>
      <c r="AA36" t="s">
        <v>74</v>
      </c>
      <c r="AB36" t="s">
        <v>777</v>
      </c>
      <c r="AC36" t="s">
        <v>825</v>
      </c>
      <c r="AD36" t="s">
        <v>826</v>
      </c>
      <c r="AE36" t="s">
        <v>827</v>
      </c>
      <c r="AF36" t="s">
        <v>74</v>
      </c>
      <c r="AG36">
        <v>37</v>
      </c>
      <c r="AH36">
        <v>18</v>
      </c>
      <c r="AI36">
        <v>22</v>
      </c>
      <c r="AJ36">
        <v>1</v>
      </c>
      <c r="AK36">
        <v>19</v>
      </c>
      <c r="AL36" t="s">
        <v>781</v>
      </c>
      <c r="AM36" t="s">
        <v>782</v>
      </c>
      <c r="AN36" t="s">
        <v>783</v>
      </c>
      <c r="AO36" t="s">
        <v>784</v>
      </c>
      <c r="AP36" t="s">
        <v>74</v>
      </c>
      <c r="AQ36" t="s">
        <v>74</v>
      </c>
      <c r="AR36" t="s">
        <v>769</v>
      </c>
      <c r="AS36" t="s">
        <v>785</v>
      </c>
      <c r="AT36" t="s">
        <v>828</v>
      </c>
      <c r="AU36">
        <v>2017</v>
      </c>
      <c r="AV36">
        <v>12</v>
      </c>
      <c r="AW36">
        <v>1</v>
      </c>
      <c r="AX36" t="s">
        <v>74</v>
      </c>
      <c r="AY36" t="s">
        <v>74</v>
      </c>
      <c r="AZ36" t="s">
        <v>74</v>
      </c>
      <c r="BA36" t="s">
        <v>74</v>
      </c>
      <c r="BB36" t="s">
        <v>74</v>
      </c>
      <c r="BC36" t="s">
        <v>74</v>
      </c>
      <c r="BD36" t="s">
        <v>829</v>
      </c>
      <c r="BE36" t="s">
        <v>830</v>
      </c>
      <c r="BF36" t="str">
        <f>HYPERLINK("http://dx.doi.org/10.1371/journal.pone.0170821","http://dx.doi.org/10.1371/journal.pone.0170821")</f>
        <v>http://dx.doi.org/10.1371/journal.pone.0170821</v>
      </c>
      <c r="BG36" t="s">
        <v>74</v>
      </c>
      <c r="BH36" t="s">
        <v>74</v>
      </c>
      <c r="BI36">
        <v>12</v>
      </c>
      <c r="BJ36" t="s">
        <v>100</v>
      </c>
      <c r="BK36" t="s">
        <v>101</v>
      </c>
      <c r="BL36" t="s">
        <v>102</v>
      </c>
      <c r="BM36" t="s">
        <v>831</v>
      </c>
      <c r="BN36">
        <v>28122029</v>
      </c>
      <c r="BO36" t="s">
        <v>150</v>
      </c>
      <c r="BP36" t="s">
        <v>74</v>
      </c>
      <c r="BQ36" t="s">
        <v>74</v>
      </c>
      <c r="BR36" t="s">
        <v>105</v>
      </c>
      <c r="BS36" t="s">
        <v>832</v>
      </c>
      <c r="BT36" t="str">
        <f>HYPERLINK("https%3A%2F%2Fwww.webofscience.com%2Fwos%2Fwoscc%2Ffull-record%2FWOS:000396167300014","View Full Record in Web of Science")</f>
        <v>View Full Record in Web of Science</v>
      </c>
    </row>
    <row r="37" spans="1:72" x14ac:dyDescent="0.15">
      <c r="A37" t="s">
        <v>72</v>
      </c>
      <c r="B37" t="s">
        <v>833</v>
      </c>
      <c r="C37" t="s">
        <v>74</v>
      </c>
      <c r="D37" t="s">
        <v>74</v>
      </c>
      <c r="E37" t="s">
        <v>74</v>
      </c>
      <c r="F37" t="s">
        <v>834</v>
      </c>
      <c r="G37" t="s">
        <v>74</v>
      </c>
      <c r="H37" t="s">
        <v>74</v>
      </c>
      <c r="I37" t="s">
        <v>835</v>
      </c>
      <c r="J37" t="s">
        <v>836</v>
      </c>
      <c r="K37" t="s">
        <v>74</v>
      </c>
      <c r="L37" t="s">
        <v>74</v>
      </c>
      <c r="M37" t="s">
        <v>78</v>
      </c>
      <c r="N37" t="s">
        <v>79</v>
      </c>
      <c r="O37" t="s">
        <v>74</v>
      </c>
      <c r="P37" t="s">
        <v>74</v>
      </c>
      <c r="Q37" t="s">
        <v>74</v>
      </c>
      <c r="R37" t="s">
        <v>74</v>
      </c>
      <c r="S37" t="s">
        <v>74</v>
      </c>
      <c r="T37" t="s">
        <v>837</v>
      </c>
      <c r="U37" t="s">
        <v>838</v>
      </c>
      <c r="V37" t="s">
        <v>839</v>
      </c>
      <c r="W37" t="s">
        <v>840</v>
      </c>
      <c r="X37" t="s">
        <v>841</v>
      </c>
      <c r="Y37" t="s">
        <v>842</v>
      </c>
      <c r="Z37" t="s">
        <v>843</v>
      </c>
      <c r="AA37" t="s">
        <v>844</v>
      </c>
      <c r="AB37" t="s">
        <v>845</v>
      </c>
      <c r="AC37" t="s">
        <v>846</v>
      </c>
      <c r="AD37" t="s">
        <v>846</v>
      </c>
      <c r="AE37" t="s">
        <v>847</v>
      </c>
      <c r="AF37" t="s">
        <v>74</v>
      </c>
      <c r="AG37">
        <v>27</v>
      </c>
      <c r="AH37">
        <v>2</v>
      </c>
      <c r="AI37">
        <v>2</v>
      </c>
      <c r="AJ37">
        <v>0</v>
      </c>
      <c r="AK37">
        <v>6</v>
      </c>
      <c r="AL37" t="s">
        <v>608</v>
      </c>
      <c r="AM37" t="s">
        <v>609</v>
      </c>
      <c r="AN37" t="s">
        <v>610</v>
      </c>
      <c r="AO37" t="s">
        <v>848</v>
      </c>
      <c r="AP37" t="s">
        <v>849</v>
      </c>
      <c r="AQ37" t="s">
        <v>74</v>
      </c>
      <c r="AR37" t="s">
        <v>850</v>
      </c>
      <c r="AS37" t="s">
        <v>851</v>
      </c>
      <c r="AT37" t="s">
        <v>852</v>
      </c>
      <c r="AU37">
        <v>2017</v>
      </c>
      <c r="AV37">
        <v>35</v>
      </c>
      <c r="AW37">
        <v>1</v>
      </c>
      <c r="AX37" t="s">
        <v>74</v>
      </c>
      <c r="AY37" t="s">
        <v>74</v>
      </c>
      <c r="AZ37" t="s">
        <v>74</v>
      </c>
      <c r="BA37" t="s">
        <v>74</v>
      </c>
      <c r="BB37">
        <v>139</v>
      </c>
      <c r="BC37">
        <v>146</v>
      </c>
      <c r="BD37" t="s">
        <v>74</v>
      </c>
      <c r="BE37" t="s">
        <v>853</v>
      </c>
      <c r="BF37" t="str">
        <f>HYPERLINK("http://dx.doi.org/10.5194/angeo-35-139-2017","http://dx.doi.org/10.5194/angeo-35-139-2017")</f>
        <v>http://dx.doi.org/10.5194/angeo-35-139-2017</v>
      </c>
      <c r="BG37" t="s">
        <v>74</v>
      </c>
      <c r="BH37" t="s">
        <v>74</v>
      </c>
      <c r="BI37">
        <v>8</v>
      </c>
      <c r="BJ37" t="s">
        <v>854</v>
      </c>
      <c r="BK37" t="s">
        <v>101</v>
      </c>
      <c r="BL37" t="s">
        <v>855</v>
      </c>
      <c r="BM37" t="s">
        <v>856</v>
      </c>
      <c r="BN37" t="s">
        <v>74</v>
      </c>
      <c r="BO37" t="s">
        <v>725</v>
      </c>
      <c r="BP37" t="s">
        <v>74</v>
      </c>
      <c r="BQ37" t="s">
        <v>74</v>
      </c>
      <c r="BR37" t="s">
        <v>105</v>
      </c>
      <c r="BS37" t="s">
        <v>857</v>
      </c>
      <c r="BT37" t="str">
        <f>HYPERLINK("https%3A%2F%2Fwww.webofscience.com%2Fwos%2Fwoscc%2Ffull-record%2FWOS:000394776200002","View Full Record in Web of Science")</f>
        <v>View Full Record in Web of Science</v>
      </c>
    </row>
    <row r="38" spans="1:72" x14ac:dyDescent="0.15">
      <c r="A38" t="s">
        <v>72</v>
      </c>
      <c r="B38" t="s">
        <v>858</v>
      </c>
      <c r="C38" t="s">
        <v>74</v>
      </c>
      <c r="D38" t="s">
        <v>74</v>
      </c>
      <c r="E38" t="s">
        <v>74</v>
      </c>
      <c r="F38" t="s">
        <v>859</v>
      </c>
      <c r="G38" t="s">
        <v>74</v>
      </c>
      <c r="H38" t="s">
        <v>74</v>
      </c>
      <c r="I38" t="s">
        <v>860</v>
      </c>
      <c r="J38" t="s">
        <v>572</v>
      </c>
      <c r="K38" t="s">
        <v>74</v>
      </c>
      <c r="L38" t="s">
        <v>74</v>
      </c>
      <c r="M38" t="s">
        <v>78</v>
      </c>
      <c r="N38" t="s">
        <v>79</v>
      </c>
      <c r="O38" t="s">
        <v>74</v>
      </c>
      <c r="P38" t="s">
        <v>74</v>
      </c>
      <c r="Q38" t="s">
        <v>74</v>
      </c>
      <c r="R38" t="s">
        <v>74</v>
      </c>
      <c r="S38" t="s">
        <v>74</v>
      </c>
      <c r="T38" t="s">
        <v>74</v>
      </c>
      <c r="U38" t="s">
        <v>861</v>
      </c>
      <c r="V38" t="s">
        <v>862</v>
      </c>
      <c r="W38" t="s">
        <v>863</v>
      </c>
      <c r="X38" t="s">
        <v>864</v>
      </c>
      <c r="Y38" t="s">
        <v>865</v>
      </c>
      <c r="Z38" t="s">
        <v>866</v>
      </c>
      <c r="AA38" t="s">
        <v>867</v>
      </c>
      <c r="AB38" t="s">
        <v>868</v>
      </c>
      <c r="AC38" t="s">
        <v>869</v>
      </c>
      <c r="AD38" t="s">
        <v>870</v>
      </c>
      <c r="AE38" t="s">
        <v>871</v>
      </c>
      <c r="AF38" t="s">
        <v>74</v>
      </c>
      <c r="AG38">
        <v>40</v>
      </c>
      <c r="AH38">
        <v>43</v>
      </c>
      <c r="AI38">
        <v>45</v>
      </c>
      <c r="AJ38">
        <v>1</v>
      </c>
      <c r="AK38">
        <v>25</v>
      </c>
      <c r="AL38" t="s">
        <v>582</v>
      </c>
      <c r="AM38" t="s">
        <v>583</v>
      </c>
      <c r="AN38" t="s">
        <v>584</v>
      </c>
      <c r="AO38" t="s">
        <v>585</v>
      </c>
      <c r="AP38" t="s">
        <v>74</v>
      </c>
      <c r="AQ38" t="s">
        <v>74</v>
      </c>
      <c r="AR38" t="s">
        <v>586</v>
      </c>
      <c r="AS38" t="s">
        <v>587</v>
      </c>
      <c r="AT38" t="s">
        <v>852</v>
      </c>
      <c r="AU38">
        <v>2017</v>
      </c>
      <c r="AV38">
        <v>7</v>
      </c>
      <c r="AW38" t="s">
        <v>74</v>
      </c>
      <c r="AX38" t="s">
        <v>74</v>
      </c>
      <c r="AY38" t="s">
        <v>74</v>
      </c>
      <c r="AZ38" t="s">
        <v>74</v>
      </c>
      <c r="BA38" t="s">
        <v>74</v>
      </c>
      <c r="BB38" t="s">
        <v>74</v>
      </c>
      <c r="BC38" t="s">
        <v>74</v>
      </c>
      <c r="BD38">
        <v>41096</v>
      </c>
      <c r="BE38" t="s">
        <v>872</v>
      </c>
      <c r="BF38" t="str">
        <f>HYPERLINK("http://dx.doi.org/10.1038/srep41096","http://dx.doi.org/10.1038/srep41096")</f>
        <v>http://dx.doi.org/10.1038/srep41096</v>
      </c>
      <c r="BG38" t="s">
        <v>74</v>
      </c>
      <c r="BH38" t="s">
        <v>74</v>
      </c>
      <c r="BI38">
        <v>8</v>
      </c>
      <c r="BJ38" t="s">
        <v>100</v>
      </c>
      <c r="BK38" t="s">
        <v>101</v>
      </c>
      <c r="BL38" t="s">
        <v>102</v>
      </c>
      <c r="BM38" t="s">
        <v>873</v>
      </c>
      <c r="BN38">
        <v>28117453</v>
      </c>
      <c r="BO38" t="s">
        <v>591</v>
      </c>
      <c r="BP38" t="s">
        <v>74</v>
      </c>
      <c r="BQ38" t="s">
        <v>74</v>
      </c>
      <c r="BR38" t="s">
        <v>105</v>
      </c>
      <c r="BS38" t="s">
        <v>874</v>
      </c>
      <c r="BT38" t="str">
        <f>HYPERLINK("https%3A%2F%2Fwww.webofscience.com%2Fwos%2Fwoscc%2Ffull-record%2FWOS:000393190200001","View Full Record in Web of Science")</f>
        <v>View Full Record in Web of Science</v>
      </c>
    </row>
    <row r="39" spans="1:72" x14ac:dyDescent="0.15">
      <c r="A39" t="s">
        <v>72</v>
      </c>
      <c r="B39" t="s">
        <v>875</v>
      </c>
      <c r="C39" t="s">
        <v>74</v>
      </c>
      <c r="D39" t="s">
        <v>74</v>
      </c>
      <c r="E39" t="s">
        <v>74</v>
      </c>
      <c r="F39" t="s">
        <v>876</v>
      </c>
      <c r="G39" t="s">
        <v>74</v>
      </c>
      <c r="H39" t="s">
        <v>74</v>
      </c>
      <c r="I39" t="s">
        <v>877</v>
      </c>
      <c r="J39" t="s">
        <v>596</v>
      </c>
      <c r="K39" t="s">
        <v>74</v>
      </c>
      <c r="L39" t="s">
        <v>74</v>
      </c>
      <c r="M39" t="s">
        <v>78</v>
      </c>
      <c r="N39" t="s">
        <v>79</v>
      </c>
      <c r="O39" t="s">
        <v>74</v>
      </c>
      <c r="P39" t="s">
        <v>74</v>
      </c>
      <c r="Q39" t="s">
        <v>74</v>
      </c>
      <c r="R39" t="s">
        <v>74</v>
      </c>
      <c r="S39" t="s">
        <v>74</v>
      </c>
      <c r="T39" t="s">
        <v>74</v>
      </c>
      <c r="U39" t="s">
        <v>878</v>
      </c>
      <c r="V39" t="s">
        <v>879</v>
      </c>
      <c r="W39" t="s">
        <v>880</v>
      </c>
      <c r="X39" t="s">
        <v>881</v>
      </c>
      <c r="Y39" t="s">
        <v>882</v>
      </c>
      <c r="Z39" t="s">
        <v>883</v>
      </c>
      <c r="AA39" t="s">
        <v>884</v>
      </c>
      <c r="AB39" t="s">
        <v>885</v>
      </c>
      <c r="AC39" t="s">
        <v>886</v>
      </c>
      <c r="AD39" t="s">
        <v>887</v>
      </c>
      <c r="AE39" t="s">
        <v>888</v>
      </c>
      <c r="AF39" t="s">
        <v>74</v>
      </c>
      <c r="AG39">
        <v>66</v>
      </c>
      <c r="AH39">
        <v>7</v>
      </c>
      <c r="AI39">
        <v>8</v>
      </c>
      <c r="AJ39">
        <v>0</v>
      </c>
      <c r="AK39">
        <v>9</v>
      </c>
      <c r="AL39" t="s">
        <v>608</v>
      </c>
      <c r="AM39" t="s">
        <v>609</v>
      </c>
      <c r="AN39" t="s">
        <v>610</v>
      </c>
      <c r="AO39" t="s">
        <v>611</v>
      </c>
      <c r="AP39" t="s">
        <v>612</v>
      </c>
      <c r="AQ39" t="s">
        <v>74</v>
      </c>
      <c r="AR39" t="s">
        <v>596</v>
      </c>
      <c r="AS39" t="s">
        <v>613</v>
      </c>
      <c r="AT39" t="s">
        <v>889</v>
      </c>
      <c r="AU39">
        <v>2017</v>
      </c>
      <c r="AV39">
        <v>11</v>
      </c>
      <c r="AW39">
        <v>1</v>
      </c>
      <c r="AX39" t="s">
        <v>74</v>
      </c>
      <c r="AY39" t="s">
        <v>74</v>
      </c>
      <c r="AZ39" t="s">
        <v>74</v>
      </c>
      <c r="BA39" t="s">
        <v>74</v>
      </c>
      <c r="BB39">
        <v>139</v>
      </c>
      <c r="BC39">
        <v>155</v>
      </c>
      <c r="BD39" t="s">
        <v>74</v>
      </c>
      <c r="BE39" t="s">
        <v>890</v>
      </c>
      <c r="BF39" t="str">
        <f>HYPERLINK("http://dx.doi.org/10.5194/tc-11-139-2017","http://dx.doi.org/10.5194/tc-11-139-2017")</f>
        <v>http://dx.doi.org/10.5194/tc-11-139-2017</v>
      </c>
      <c r="BG39" t="s">
        <v>74</v>
      </c>
      <c r="BH39" t="s">
        <v>74</v>
      </c>
      <c r="BI39">
        <v>17</v>
      </c>
      <c r="BJ39" t="s">
        <v>615</v>
      </c>
      <c r="BK39" t="s">
        <v>101</v>
      </c>
      <c r="BL39" t="s">
        <v>616</v>
      </c>
      <c r="BM39" t="s">
        <v>891</v>
      </c>
      <c r="BN39" t="s">
        <v>74</v>
      </c>
      <c r="BO39" t="s">
        <v>892</v>
      </c>
      <c r="BP39" t="s">
        <v>74</v>
      </c>
      <c r="BQ39" t="s">
        <v>74</v>
      </c>
      <c r="BR39" t="s">
        <v>105</v>
      </c>
      <c r="BS39" t="s">
        <v>893</v>
      </c>
      <c r="BT39" t="str">
        <f>HYPERLINK("https%3A%2F%2Fwww.webofscience.com%2Fwos%2Fwoscc%2Ffull-record%2FWOS:000395441200001","View Full Record in Web of Science")</f>
        <v>View Full Record in Web of Science</v>
      </c>
    </row>
    <row r="40" spans="1:72" x14ac:dyDescent="0.15">
      <c r="A40" t="s">
        <v>72</v>
      </c>
      <c r="B40" t="s">
        <v>894</v>
      </c>
      <c r="C40" t="s">
        <v>74</v>
      </c>
      <c r="D40" t="s">
        <v>74</v>
      </c>
      <c r="E40" t="s">
        <v>74</v>
      </c>
      <c r="F40" t="s">
        <v>895</v>
      </c>
      <c r="G40" t="s">
        <v>74</v>
      </c>
      <c r="H40" t="s">
        <v>74</v>
      </c>
      <c r="I40" t="s">
        <v>896</v>
      </c>
      <c r="J40" t="s">
        <v>897</v>
      </c>
      <c r="K40" t="s">
        <v>74</v>
      </c>
      <c r="L40" t="s">
        <v>74</v>
      </c>
      <c r="M40" t="s">
        <v>78</v>
      </c>
      <c r="N40" t="s">
        <v>79</v>
      </c>
      <c r="O40" t="s">
        <v>74</v>
      </c>
      <c r="P40" t="s">
        <v>74</v>
      </c>
      <c r="Q40" t="s">
        <v>74</v>
      </c>
      <c r="R40" t="s">
        <v>74</v>
      </c>
      <c r="S40" t="s">
        <v>74</v>
      </c>
      <c r="T40" t="s">
        <v>898</v>
      </c>
      <c r="U40" t="s">
        <v>899</v>
      </c>
      <c r="V40" t="s">
        <v>900</v>
      </c>
      <c r="W40" t="s">
        <v>901</v>
      </c>
      <c r="X40" t="s">
        <v>902</v>
      </c>
      <c r="Y40" t="s">
        <v>903</v>
      </c>
      <c r="Z40" t="s">
        <v>904</v>
      </c>
      <c r="AA40" t="s">
        <v>905</v>
      </c>
      <c r="AB40" t="s">
        <v>906</v>
      </c>
      <c r="AC40" t="s">
        <v>907</v>
      </c>
      <c r="AD40" t="s">
        <v>907</v>
      </c>
      <c r="AE40" t="s">
        <v>908</v>
      </c>
      <c r="AF40" t="s">
        <v>74</v>
      </c>
      <c r="AG40">
        <v>32</v>
      </c>
      <c r="AH40">
        <v>9</v>
      </c>
      <c r="AI40">
        <v>11</v>
      </c>
      <c r="AJ40">
        <v>0</v>
      </c>
      <c r="AK40">
        <v>13</v>
      </c>
      <c r="AL40" t="s">
        <v>909</v>
      </c>
      <c r="AM40" t="s">
        <v>93</v>
      </c>
      <c r="AN40" t="s">
        <v>910</v>
      </c>
      <c r="AO40" t="s">
        <v>74</v>
      </c>
      <c r="AP40" t="s">
        <v>911</v>
      </c>
      <c r="AQ40" t="s">
        <v>74</v>
      </c>
      <c r="AR40" t="s">
        <v>912</v>
      </c>
      <c r="AS40" t="s">
        <v>913</v>
      </c>
      <c r="AT40" t="s">
        <v>914</v>
      </c>
      <c r="AU40">
        <v>2017</v>
      </c>
      <c r="AV40">
        <v>16</v>
      </c>
      <c r="AW40" t="s">
        <v>74</v>
      </c>
      <c r="AX40" t="s">
        <v>74</v>
      </c>
      <c r="AY40" t="s">
        <v>74</v>
      </c>
      <c r="AZ40" t="s">
        <v>74</v>
      </c>
      <c r="BA40" t="s">
        <v>74</v>
      </c>
      <c r="BB40" t="s">
        <v>74</v>
      </c>
      <c r="BC40" t="s">
        <v>74</v>
      </c>
      <c r="BD40">
        <v>16</v>
      </c>
      <c r="BE40" t="s">
        <v>915</v>
      </c>
      <c r="BF40" t="str">
        <f>HYPERLINK("http://dx.doi.org/10.1186/s12944-017-0414-9","http://dx.doi.org/10.1186/s12944-017-0414-9")</f>
        <v>http://dx.doi.org/10.1186/s12944-017-0414-9</v>
      </c>
      <c r="BG40" t="s">
        <v>74</v>
      </c>
      <c r="BH40" t="s">
        <v>74</v>
      </c>
      <c r="BI40">
        <v>13</v>
      </c>
      <c r="BJ40" t="s">
        <v>916</v>
      </c>
      <c r="BK40" t="s">
        <v>101</v>
      </c>
      <c r="BL40" t="s">
        <v>916</v>
      </c>
      <c r="BM40" t="s">
        <v>917</v>
      </c>
      <c r="BN40">
        <v>28107816</v>
      </c>
      <c r="BO40" t="s">
        <v>918</v>
      </c>
      <c r="BP40" t="s">
        <v>74</v>
      </c>
      <c r="BQ40" t="s">
        <v>74</v>
      </c>
      <c r="BR40" t="s">
        <v>105</v>
      </c>
      <c r="BS40" t="s">
        <v>919</v>
      </c>
      <c r="BT40" t="str">
        <f>HYPERLINK("https%3A%2F%2Fwww.webofscience.com%2Fwos%2Fwoscc%2Ffull-record%2FWOS:000396775000001","View Full Record in Web of Science")</f>
        <v>View Full Record in Web of Science</v>
      </c>
    </row>
    <row r="41" spans="1:72" x14ac:dyDescent="0.15">
      <c r="A41" t="s">
        <v>72</v>
      </c>
      <c r="B41" t="s">
        <v>920</v>
      </c>
      <c r="C41" t="s">
        <v>74</v>
      </c>
      <c r="D41" t="s">
        <v>74</v>
      </c>
      <c r="E41" t="s">
        <v>74</v>
      </c>
      <c r="F41" t="s">
        <v>921</v>
      </c>
      <c r="G41" t="s">
        <v>74</v>
      </c>
      <c r="H41" t="s">
        <v>74</v>
      </c>
      <c r="I41" t="s">
        <v>922</v>
      </c>
      <c r="J41" t="s">
        <v>923</v>
      </c>
      <c r="K41" t="s">
        <v>74</v>
      </c>
      <c r="L41" t="s">
        <v>74</v>
      </c>
      <c r="M41" t="s">
        <v>78</v>
      </c>
      <c r="N41" t="s">
        <v>79</v>
      </c>
      <c r="O41" t="s">
        <v>74</v>
      </c>
      <c r="P41" t="s">
        <v>74</v>
      </c>
      <c r="Q41" t="s">
        <v>74</v>
      </c>
      <c r="R41" t="s">
        <v>74</v>
      </c>
      <c r="S41" t="s">
        <v>74</v>
      </c>
      <c r="T41" t="s">
        <v>924</v>
      </c>
      <c r="U41" t="s">
        <v>925</v>
      </c>
      <c r="V41" t="s">
        <v>926</v>
      </c>
      <c r="W41" t="s">
        <v>927</v>
      </c>
      <c r="X41" t="s">
        <v>928</v>
      </c>
      <c r="Y41" t="s">
        <v>929</v>
      </c>
      <c r="Z41" t="s">
        <v>930</v>
      </c>
      <c r="AA41" t="s">
        <v>74</v>
      </c>
      <c r="AB41" t="s">
        <v>74</v>
      </c>
      <c r="AC41" t="s">
        <v>931</v>
      </c>
      <c r="AD41" t="s">
        <v>931</v>
      </c>
      <c r="AE41" t="s">
        <v>932</v>
      </c>
      <c r="AF41" t="s">
        <v>74</v>
      </c>
      <c r="AG41">
        <v>36</v>
      </c>
      <c r="AH41">
        <v>3</v>
      </c>
      <c r="AI41">
        <v>3</v>
      </c>
      <c r="AJ41">
        <v>1</v>
      </c>
      <c r="AK41">
        <v>5</v>
      </c>
      <c r="AL41" t="s">
        <v>211</v>
      </c>
      <c r="AM41" t="s">
        <v>187</v>
      </c>
      <c r="AN41" t="s">
        <v>933</v>
      </c>
      <c r="AO41" t="s">
        <v>934</v>
      </c>
      <c r="AP41" t="s">
        <v>74</v>
      </c>
      <c r="AQ41" t="s">
        <v>74</v>
      </c>
      <c r="AR41" t="s">
        <v>935</v>
      </c>
      <c r="AS41" t="s">
        <v>936</v>
      </c>
      <c r="AT41" t="s">
        <v>914</v>
      </c>
      <c r="AU41">
        <v>2017</v>
      </c>
      <c r="AV41">
        <v>4</v>
      </c>
      <c r="AW41" t="s">
        <v>74</v>
      </c>
      <c r="AX41" t="s">
        <v>74</v>
      </c>
      <c r="AY41" t="s">
        <v>74</v>
      </c>
      <c r="AZ41" t="s">
        <v>74</v>
      </c>
      <c r="BA41" t="s">
        <v>74</v>
      </c>
      <c r="BB41" t="s">
        <v>74</v>
      </c>
      <c r="BC41" t="s">
        <v>74</v>
      </c>
      <c r="BD41">
        <v>2</v>
      </c>
      <c r="BE41" t="s">
        <v>937</v>
      </c>
      <c r="BF41" t="str">
        <f>HYPERLINK("http://dx.doi.org/10.1186/s40562-017-0067-6","http://dx.doi.org/10.1186/s40562-017-0067-6")</f>
        <v>http://dx.doi.org/10.1186/s40562-017-0067-6</v>
      </c>
      <c r="BG41" t="s">
        <v>74</v>
      </c>
      <c r="BH41" t="s">
        <v>74</v>
      </c>
      <c r="BI41">
        <v>14</v>
      </c>
      <c r="BJ41" t="s">
        <v>938</v>
      </c>
      <c r="BK41" t="s">
        <v>101</v>
      </c>
      <c r="BL41" t="s">
        <v>939</v>
      </c>
      <c r="BM41" t="s">
        <v>940</v>
      </c>
      <c r="BN41" t="s">
        <v>74</v>
      </c>
      <c r="BO41" t="s">
        <v>941</v>
      </c>
      <c r="BP41" t="s">
        <v>74</v>
      </c>
      <c r="BQ41" t="s">
        <v>74</v>
      </c>
      <c r="BR41" t="s">
        <v>105</v>
      </c>
      <c r="BS41" t="s">
        <v>942</v>
      </c>
      <c r="BT41" t="str">
        <f>HYPERLINK("https%3A%2F%2Fwww.webofscience.com%2Fwos%2Fwoscc%2Ffull-record%2FWOS:000445935300001","View Full Record in Web of Science")</f>
        <v>View Full Record in Web of Science</v>
      </c>
    </row>
    <row r="42" spans="1:72" x14ac:dyDescent="0.15">
      <c r="A42" t="s">
        <v>72</v>
      </c>
      <c r="B42" t="s">
        <v>943</v>
      </c>
      <c r="C42" t="s">
        <v>74</v>
      </c>
      <c r="D42" t="s">
        <v>74</v>
      </c>
      <c r="E42" t="s">
        <v>74</v>
      </c>
      <c r="F42" t="s">
        <v>944</v>
      </c>
      <c r="G42" t="s">
        <v>74</v>
      </c>
      <c r="H42" t="s">
        <v>74</v>
      </c>
      <c r="I42" t="s">
        <v>945</v>
      </c>
      <c r="J42" t="s">
        <v>623</v>
      </c>
      <c r="K42" t="s">
        <v>74</v>
      </c>
      <c r="L42" t="s">
        <v>74</v>
      </c>
      <c r="M42" t="s">
        <v>78</v>
      </c>
      <c r="N42" t="s">
        <v>79</v>
      </c>
      <c r="O42" t="s">
        <v>74</v>
      </c>
      <c r="P42" t="s">
        <v>74</v>
      </c>
      <c r="Q42" t="s">
        <v>74</v>
      </c>
      <c r="R42" t="s">
        <v>74</v>
      </c>
      <c r="S42" t="s">
        <v>74</v>
      </c>
      <c r="T42" t="s">
        <v>946</v>
      </c>
      <c r="U42" t="s">
        <v>74</v>
      </c>
      <c r="V42" t="s">
        <v>947</v>
      </c>
      <c r="W42" t="s">
        <v>948</v>
      </c>
      <c r="X42" t="s">
        <v>949</v>
      </c>
      <c r="Y42" t="s">
        <v>950</v>
      </c>
      <c r="Z42" t="s">
        <v>951</v>
      </c>
      <c r="AA42" t="s">
        <v>952</v>
      </c>
      <c r="AB42" t="s">
        <v>953</v>
      </c>
      <c r="AC42" t="s">
        <v>954</v>
      </c>
      <c r="AD42" t="s">
        <v>955</v>
      </c>
      <c r="AE42" t="s">
        <v>956</v>
      </c>
      <c r="AF42" t="s">
        <v>74</v>
      </c>
      <c r="AG42">
        <v>32</v>
      </c>
      <c r="AH42">
        <v>5</v>
      </c>
      <c r="AI42">
        <v>5</v>
      </c>
      <c r="AJ42">
        <v>0</v>
      </c>
      <c r="AK42">
        <v>7</v>
      </c>
      <c r="AL42" t="s">
        <v>636</v>
      </c>
      <c r="AM42" t="s">
        <v>637</v>
      </c>
      <c r="AN42" t="s">
        <v>638</v>
      </c>
      <c r="AO42" t="s">
        <v>639</v>
      </c>
      <c r="AP42" t="s">
        <v>640</v>
      </c>
      <c r="AQ42" t="s">
        <v>74</v>
      </c>
      <c r="AR42" t="s">
        <v>623</v>
      </c>
      <c r="AS42" t="s">
        <v>641</v>
      </c>
      <c r="AT42" t="s">
        <v>957</v>
      </c>
      <c r="AU42">
        <v>2017</v>
      </c>
      <c r="AV42">
        <v>4221</v>
      </c>
      <c r="AW42">
        <v>5</v>
      </c>
      <c r="AX42" t="s">
        <v>74</v>
      </c>
      <c r="AY42" t="s">
        <v>74</v>
      </c>
      <c r="AZ42" t="s">
        <v>74</v>
      </c>
      <c r="BA42" t="s">
        <v>74</v>
      </c>
      <c r="BB42">
        <v>523</v>
      </c>
      <c r="BC42">
        <v>536</v>
      </c>
      <c r="BD42" t="s">
        <v>74</v>
      </c>
      <c r="BE42" t="s">
        <v>958</v>
      </c>
      <c r="BF42" t="str">
        <f>HYPERLINK("http://dx.doi.org/10.11646/zootaxa.4221.5.2","http://dx.doi.org/10.11646/zootaxa.4221.5.2")</f>
        <v>http://dx.doi.org/10.11646/zootaxa.4221.5.2</v>
      </c>
      <c r="BG42" t="s">
        <v>74</v>
      </c>
      <c r="BH42" t="s">
        <v>74</v>
      </c>
      <c r="BI42">
        <v>14</v>
      </c>
      <c r="BJ42" t="s">
        <v>643</v>
      </c>
      <c r="BK42" t="s">
        <v>101</v>
      </c>
      <c r="BL42" t="s">
        <v>643</v>
      </c>
      <c r="BM42" t="s">
        <v>959</v>
      </c>
      <c r="BN42">
        <v>28187642</v>
      </c>
      <c r="BO42" t="s">
        <v>74</v>
      </c>
      <c r="BP42" t="s">
        <v>74</v>
      </c>
      <c r="BQ42" t="s">
        <v>74</v>
      </c>
      <c r="BR42" t="s">
        <v>105</v>
      </c>
      <c r="BS42" t="s">
        <v>960</v>
      </c>
      <c r="BT42" t="str">
        <f>HYPERLINK("https%3A%2F%2Fwww.webofscience.com%2Fwos%2Fwoscc%2Ffull-record%2FWOS:000392246600002","View Full Record in Web of Science")</f>
        <v>View Full Record in Web of Science</v>
      </c>
    </row>
    <row r="43" spans="1:72" x14ac:dyDescent="0.15">
      <c r="A43" t="s">
        <v>72</v>
      </c>
      <c r="B43" t="s">
        <v>961</v>
      </c>
      <c r="C43" t="s">
        <v>74</v>
      </c>
      <c r="D43" t="s">
        <v>74</v>
      </c>
      <c r="E43" t="s">
        <v>74</v>
      </c>
      <c r="F43" t="s">
        <v>962</v>
      </c>
      <c r="G43" t="s">
        <v>74</v>
      </c>
      <c r="H43" t="s">
        <v>74</v>
      </c>
      <c r="I43" t="s">
        <v>963</v>
      </c>
      <c r="J43" t="s">
        <v>964</v>
      </c>
      <c r="K43" t="s">
        <v>74</v>
      </c>
      <c r="L43" t="s">
        <v>74</v>
      </c>
      <c r="M43" t="s">
        <v>78</v>
      </c>
      <c r="N43" t="s">
        <v>79</v>
      </c>
      <c r="O43" t="s">
        <v>74</v>
      </c>
      <c r="P43" t="s">
        <v>74</v>
      </c>
      <c r="Q43" t="s">
        <v>74</v>
      </c>
      <c r="R43" t="s">
        <v>74</v>
      </c>
      <c r="S43" t="s">
        <v>74</v>
      </c>
      <c r="T43" t="s">
        <v>74</v>
      </c>
      <c r="U43" t="s">
        <v>965</v>
      </c>
      <c r="V43" t="s">
        <v>966</v>
      </c>
      <c r="W43" t="s">
        <v>967</v>
      </c>
      <c r="X43" t="s">
        <v>968</v>
      </c>
      <c r="Y43" t="s">
        <v>969</v>
      </c>
      <c r="Z43" t="s">
        <v>970</v>
      </c>
      <c r="AA43" t="s">
        <v>971</v>
      </c>
      <c r="AB43" t="s">
        <v>972</v>
      </c>
      <c r="AC43" t="s">
        <v>973</v>
      </c>
      <c r="AD43" t="s">
        <v>973</v>
      </c>
      <c r="AE43" t="s">
        <v>974</v>
      </c>
      <c r="AF43" t="s">
        <v>74</v>
      </c>
      <c r="AG43">
        <v>22</v>
      </c>
      <c r="AH43">
        <v>28</v>
      </c>
      <c r="AI43">
        <v>30</v>
      </c>
      <c r="AJ43">
        <v>2</v>
      </c>
      <c r="AK43">
        <v>18</v>
      </c>
      <c r="AL43" t="s">
        <v>608</v>
      </c>
      <c r="AM43" t="s">
        <v>609</v>
      </c>
      <c r="AN43" t="s">
        <v>610</v>
      </c>
      <c r="AO43" t="s">
        <v>975</v>
      </c>
      <c r="AP43" t="s">
        <v>976</v>
      </c>
      <c r="AQ43" t="s">
        <v>74</v>
      </c>
      <c r="AR43" t="s">
        <v>977</v>
      </c>
      <c r="AS43" t="s">
        <v>978</v>
      </c>
      <c r="AT43" t="s">
        <v>979</v>
      </c>
      <c r="AU43">
        <v>2017</v>
      </c>
      <c r="AV43">
        <v>17</v>
      </c>
      <c r="AW43">
        <v>2</v>
      </c>
      <c r="AX43" t="s">
        <v>74</v>
      </c>
      <c r="AY43" t="s">
        <v>74</v>
      </c>
      <c r="AZ43" t="s">
        <v>74</v>
      </c>
      <c r="BA43" t="s">
        <v>74</v>
      </c>
      <c r="BB43">
        <v>855</v>
      </c>
      <c r="BC43">
        <v>866</v>
      </c>
      <c r="BD43" t="s">
        <v>74</v>
      </c>
      <c r="BE43" t="s">
        <v>980</v>
      </c>
      <c r="BF43" t="str">
        <f>HYPERLINK("http://dx.doi.org/10.5194/acp-17-855-2017","http://dx.doi.org/10.5194/acp-17-855-2017")</f>
        <v>http://dx.doi.org/10.5194/acp-17-855-2017</v>
      </c>
      <c r="BG43" t="s">
        <v>74</v>
      </c>
      <c r="BH43" t="s">
        <v>74</v>
      </c>
      <c r="BI43">
        <v>12</v>
      </c>
      <c r="BJ43" t="s">
        <v>981</v>
      </c>
      <c r="BK43" t="s">
        <v>101</v>
      </c>
      <c r="BL43" t="s">
        <v>982</v>
      </c>
      <c r="BM43" t="s">
        <v>983</v>
      </c>
      <c r="BN43" t="s">
        <v>74</v>
      </c>
      <c r="BO43" t="s">
        <v>725</v>
      </c>
      <c r="BP43" t="s">
        <v>74</v>
      </c>
      <c r="BQ43" t="s">
        <v>74</v>
      </c>
      <c r="BR43" t="s">
        <v>105</v>
      </c>
      <c r="BS43" t="s">
        <v>984</v>
      </c>
      <c r="BT43" t="str">
        <f>HYPERLINK("https%3A%2F%2Fwww.webofscience.com%2Fwos%2Fwoscc%2Ffull-record%2FWOS:000394445600002","View Full Record in Web of Science")</f>
        <v>View Full Record in Web of Science</v>
      </c>
    </row>
    <row r="44" spans="1:72" x14ac:dyDescent="0.15">
      <c r="A44" t="s">
        <v>72</v>
      </c>
      <c r="B44" t="s">
        <v>985</v>
      </c>
      <c r="C44" t="s">
        <v>74</v>
      </c>
      <c r="D44" t="s">
        <v>74</v>
      </c>
      <c r="E44" t="s">
        <v>74</v>
      </c>
      <c r="F44" t="s">
        <v>986</v>
      </c>
      <c r="G44" t="s">
        <v>74</v>
      </c>
      <c r="H44" t="s">
        <v>74</v>
      </c>
      <c r="I44" t="s">
        <v>987</v>
      </c>
      <c r="J44" t="s">
        <v>769</v>
      </c>
      <c r="K44" t="s">
        <v>74</v>
      </c>
      <c r="L44" t="s">
        <v>74</v>
      </c>
      <c r="M44" t="s">
        <v>78</v>
      </c>
      <c r="N44" t="s">
        <v>79</v>
      </c>
      <c r="O44" t="s">
        <v>74</v>
      </c>
      <c r="P44" t="s">
        <v>74</v>
      </c>
      <c r="Q44" t="s">
        <v>74</v>
      </c>
      <c r="R44" t="s">
        <v>74</v>
      </c>
      <c r="S44" t="s">
        <v>74</v>
      </c>
      <c r="T44" t="s">
        <v>74</v>
      </c>
      <c r="U44" t="s">
        <v>988</v>
      </c>
      <c r="V44" t="s">
        <v>989</v>
      </c>
      <c r="W44" t="s">
        <v>990</v>
      </c>
      <c r="X44" t="s">
        <v>991</v>
      </c>
      <c r="Y44" t="s">
        <v>992</v>
      </c>
      <c r="Z44" t="s">
        <v>993</v>
      </c>
      <c r="AA44" t="s">
        <v>994</v>
      </c>
      <c r="AB44" t="s">
        <v>995</v>
      </c>
      <c r="AC44" t="s">
        <v>996</v>
      </c>
      <c r="AD44" t="s">
        <v>997</v>
      </c>
      <c r="AE44" t="s">
        <v>998</v>
      </c>
      <c r="AF44" t="s">
        <v>74</v>
      </c>
      <c r="AG44">
        <v>68</v>
      </c>
      <c r="AH44">
        <v>4</v>
      </c>
      <c r="AI44">
        <v>5</v>
      </c>
      <c r="AJ44">
        <v>1</v>
      </c>
      <c r="AK44">
        <v>20</v>
      </c>
      <c r="AL44" t="s">
        <v>781</v>
      </c>
      <c r="AM44" t="s">
        <v>782</v>
      </c>
      <c r="AN44" t="s">
        <v>783</v>
      </c>
      <c r="AO44" t="s">
        <v>784</v>
      </c>
      <c r="AP44" t="s">
        <v>74</v>
      </c>
      <c r="AQ44" t="s">
        <v>74</v>
      </c>
      <c r="AR44" t="s">
        <v>769</v>
      </c>
      <c r="AS44" t="s">
        <v>785</v>
      </c>
      <c r="AT44" t="s">
        <v>999</v>
      </c>
      <c r="AU44">
        <v>2017</v>
      </c>
      <c r="AV44">
        <v>12</v>
      </c>
      <c r="AW44">
        <v>1</v>
      </c>
      <c r="AX44" t="s">
        <v>74</v>
      </c>
      <c r="AY44" t="s">
        <v>74</v>
      </c>
      <c r="AZ44" t="s">
        <v>74</v>
      </c>
      <c r="BA44" t="s">
        <v>74</v>
      </c>
      <c r="BB44" t="s">
        <v>74</v>
      </c>
      <c r="BC44" t="s">
        <v>74</v>
      </c>
      <c r="BD44" t="s">
        <v>1000</v>
      </c>
      <c r="BE44" t="s">
        <v>1001</v>
      </c>
      <c r="BF44" t="str">
        <f>HYPERLINK("http://dx.doi.org/10.1371/journal.pone.0170103","http://dx.doi.org/10.1371/journal.pone.0170103")</f>
        <v>http://dx.doi.org/10.1371/journal.pone.0170103</v>
      </c>
      <c r="BG44" t="s">
        <v>74</v>
      </c>
      <c r="BH44" t="s">
        <v>74</v>
      </c>
      <c r="BI44">
        <v>16</v>
      </c>
      <c r="BJ44" t="s">
        <v>100</v>
      </c>
      <c r="BK44" t="s">
        <v>101</v>
      </c>
      <c r="BL44" t="s">
        <v>102</v>
      </c>
      <c r="BM44" t="s">
        <v>1002</v>
      </c>
      <c r="BN44">
        <v>28099466</v>
      </c>
      <c r="BO44" t="s">
        <v>1003</v>
      </c>
      <c r="BP44" t="s">
        <v>74</v>
      </c>
      <c r="BQ44" t="s">
        <v>74</v>
      </c>
      <c r="BR44" t="s">
        <v>105</v>
      </c>
      <c r="BS44" t="s">
        <v>1004</v>
      </c>
      <c r="BT44" t="str">
        <f>HYPERLINK("https%3A%2F%2Fwww.webofscience.com%2Fwos%2Fwoscc%2Ffull-record%2FWOS:000392380100055","View Full Record in Web of Science")</f>
        <v>View Full Record in Web of Science</v>
      </c>
    </row>
    <row r="45" spans="1:72" x14ac:dyDescent="0.15">
      <c r="A45" t="s">
        <v>72</v>
      </c>
      <c r="B45" t="s">
        <v>1005</v>
      </c>
      <c r="C45" t="s">
        <v>74</v>
      </c>
      <c r="D45" t="s">
        <v>74</v>
      </c>
      <c r="E45" t="s">
        <v>74</v>
      </c>
      <c r="F45" t="s">
        <v>1006</v>
      </c>
      <c r="G45" t="s">
        <v>74</v>
      </c>
      <c r="H45" t="s">
        <v>74</v>
      </c>
      <c r="I45" t="s">
        <v>1007</v>
      </c>
      <c r="J45" t="s">
        <v>1008</v>
      </c>
      <c r="K45" t="s">
        <v>74</v>
      </c>
      <c r="L45" t="s">
        <v>74</v>
      </c>
      <c r="M45" t="s">
        <v>78</v>
      </c>
      <c r="N45" t="s">
        <v>79</v>
      </c>
      <c r="O45" t="s">
        <v>74</v>
      </c>
      <c r="P45" t="s">
        <v>74</v>
      </c>
      <c r="Q45" t="s">
        <v>74</v>
      </c>
      <c r="R45" t="s">
        <v>74</v>
      </c>
      <c r="S45" t="s">
        <v>74</v>
      </c>
      <c r="T45" t="s">
        <v>1009</v>
      </c>
      <c r="U45" t="s">
        <v>1010</v>
      </c>
      <c r="V45" t="s">
        <v>1011</v>
      </c>
      <c r="W45" t="s">
        <v>1012</v>
      </c>
      <c r="X45" t="s">
        <v>1013</v>
      </c>
      <c r="Y45" t="s">
        <v>1014</v>
      </c>
      <c r="Z45" t="s">
        <v>1015</v>
      </c>
      <c r="AA45" t="s">
        <v>1016</v>
      </c>
      <c r="AB45" t="s">
        <v>1017</v>
      </c>
      <c r="AC45" t="s">
        <v>1018</v>
      </c>
      <c r="AD45" t="s">
        <v>1019</v>
      </c>
      <c r="AE45" t="s">
        <v>1020</v>
      </c>
      <c r="AF45" t="s">
        <v>74</v>
      </c>
      <c r="AG45">
        <v>72</v>
      </c>
      <c r="AH45">
        <v>41</v>
      </c>
      <c r="AI45">
        <v>44</v>
      </c>
      <c r="AJ45">
        <v>2</v>
      </c>
      <c r="AK45">
        <v>50</v>
      </c>
      <c r="AL45" t="s">
        <v>1021</v>
      </c>
      <c r="AM45" t="s">
        <v>93</v>
      </c>
      <c r="AN45" t="s">
        <v>1022</v>
      </c>
      <c r="AO45" t="s">
        <v>1023</v>
      </c>
      <c r="AP45" t="s">
        <v>74</v>
      </c>
      <c r="AQ45" t="s">
        <v>74</v>
      </c>
      <c r="AR45" t="s">
        <v>1008</v>
      </c>
      <c r="AS45" t="s">
        <v>1024</v>
      </c>
      <c r="AT45" t="s">
        <v>1025</v>
      </c>
      <c r="AU45">
        <v>2017</v>
      </c>
      <c r="AV45">
        <v>18</v>
      </c>
      <c r="AW45" t="s">
        <v>74</v>
      </c>
      <c r="AX45" t="s">
        <v>74</v>
      </c>
      <c r="AY45" t="s">
        <v>74</v>
      </c>
      <c r="AZ45" t="s">
        <v>74</v>
      </c>
      <c r="BA45" t="s">
        <v>74</v>
      </c>
      <c r="BB45" t="s">
        <v>74</v>
      </c>
      <c r="BC45" t="s">
        <v>74</v>
      </c>
      <c r="BD45">
        <v>93</v>
      </c>
      <c r="BE45" t="s">
        <v>1026</v>
      </c>
      <c r="BF45" t="str">
        <f>HYPERLINK("http://dx.doi.org/10.1186/s12864-016-3382-y","http://dx.doi.org/10.1186/s12864-016-3382-y")</f>
        <v>http://dx.doi.org/10.1186/s12864-016-3382-y</v>
      </c>
      <c r="BG45" t="s">
        <v>74</v>
      </c>
      <c r="BH45" t="s">
        <v>74</v>
      </c>
      <c r="BI45">
        <v>18</v>
      </c>
      <c r="BJ45" t="s">
        <v>1027</v>
      </c>
      <c r="BK45" t="s">
        <v>101</v>
      </c>
      <c r="BL45" t="s">
        <v>1027</v>
      </c>
      <c r="BM45" t="s">
        <v>1028</v>
      </c>
      <c r="BN45">
        <v>28095778</v>
      </c>
      <c r="BO45" t="s">
        <v>591</v>
      </c>
      <c r="BP45" t="s">
        <v>74</v>
      </c>
      <c r="BQ45" t="s">
        <v>74</v>
      </c>
      <c r="BR45" t="s">
        <v>105</v>
      </c>
      <c r="BS45" t="s">
        <v>1029</v>
      </c>
      <c r="BT45" t="str">
        <f>HYPERLINK("https%3A%2F%2Fwww.webofscience.com%2Fwos%2Fwoscc%2Ffull-record%2FWOS:000394379700005","View Full Record in Web of Science")</f>
        <v>View Full Record in Web of Science</v>
      </c>
    </row>
    <row r="46" spans="1:72" x14ac:dyDescent="0.15">
      <c r="A46" t="s">
        <v>72</v>
      </c>
      <c r="B46" t="s">
        <v>1030</v>
      </c>
      <c r="C46" t="s">
        <v>74</v>
      </c>
      <c r="D46" t="s">
        <v>74</v>
      </c>
      <c r="E46" t="s">
        <v>74</v>
      </c>
      <c r="F46" t="s">
        <v>1031</v>
      </c>
      <c r="G46" t="s">
        <v>74</v>
      </c>
      <c r="H46" t="s">
        <v>74</v>
      </c>
      <c r="I46" t="s">
        <v>1032</v>
      </c>
      <c r="J46" t="s">
        <v>897</v>
      </c>
      <c r="K46" t="s">
        <v>74</v>
      </c>
      <c r="L46" t="s">
        <v>74</v>
      </c>
      <c r="M46" t="s">
        <v>78</v>
      </c>
      <c r="N46" t="s">
        <v>79</v>
      </c>
      <c r="O46" t="s">
        <v>74</v>
      </c>
      <c r="P46" t="s">
        <v>74</v>
      </c>
      <c r="Q46" t="s">
        <v>74</v>
      </c>
      <c r="R46" t="s">
        <v>74</v>
      </c>
      <c r="S46" t="s">
        <v>74</v>
      </c>
      <c r="T46" t="s">
        <v>1033</v>
      </c>
      <c r="U46" t="s">
        <v>1034</v>
      </c>
      <c r="V46" t="s">
        <v>1035</v>
      </c>
      <c r="W46" t="s">
        <v>1036</v>
      </c>
      <c r="X46" t="s">
        <v>74</v>
      </c>
      <c r="Y46" t="s">
        <v>903</v>
      </c>
      <c r="Z46" t="s">
        <v>904</v>
      </c>
      <c r="AA46" t="s">
        <v>1037</v>
      </c>
      <c r="AB46" t="s">
        <v>74</v>
      </c>
      <c r="AC46" t="s">
        <v>907</v>
      </c>
      <c r="AD46" t="s">
        <v>907</v>
      </c>
      <c r="AE46" t="s">
        <v>908</v>
      </c>
      <c r="AF46" t="s">
        <v>74</v>
      </c>
      <c r="AG46">
        <v>48</v>
      </c>
      <c r="AH46">
        <v>16</v>
      </c>
      <c r="AI46">
        <v>22</v>
      </c>
      <c r="AJ46">
        <v>0</v>
      </c>
      <c r="AK46">
        <v>15</v>
      </c>
      <c r="AL46" t="s">
        <v>909</v>
      </c>
      <c r="AM46" t="s">
        <v>93</v>
      </c>
      <c r="AN46" t="s">
        <v>910</v>
      </c>
      <c r="AO46" t="s">
        <v>911</v>
      </c>
      <c r="AP46" t="s">
        <v>74</v>
      </c>
      <c r="AQ46" t="s">
        <v>74</v>
      </c>
      <c r="AR46" t="s">
        <v>912</v>
      </c>
      <c r="AS46" t="s">
        <v>913</v>
      </c>
      <c r="AT46" t="s">
        <v>1025</v>
      </c>
      <c r="AU46">
        <v>2017</v>
      </c>
      <c r="AV46">
        <v>16</v>
      </c>
      <c r="AW46" t="s">
        <v>74</v>
      </c>
      <c r="AX46" t="s">
        <v>74</v>
      </c>
      <c r="AY46" t="s">
        <v>74</v>
      </c>
      <c r="AZ46" t="s">
        <v>74</v>
      </c>
      <c r="BA46" t="s">
        <v>74</v>
      </c>
      <c r="BB46" t="s">
        <v>74</v>
      </c>
      <c r="BC46" t="s">
        <v>74</v>
      </c>
      <c r="BD46">
        <v>11</v>
      </c>
      <c r="BE46" t="s">
        <v>1038</v>
      </c>
      <c r="BF46" t="str">
        <f>HYPERLINK("http://dx.doi.org/10.1186/s12944-017-0411-z","http://dx.doi.org/10.1186/s12944-017-0411-z")</f>
        <v>http://dx.doi.org/10.1186/s12944-017-0411-z</v>
      </c>
      <c r="BG46" t="s">
        <v>74</v>
      </c>
      <c r="BH46" t="s">
        <v>74</v>
      </c>
      <c r="BI46">
        <v>16</v>
      </c>
      <c r="BJ46" t="s">
        <v>916</v>
      </c>
      <c r="BK46" t="s">
        <v>101</v>
      </c>
      <c r="BL46" t="s">
        <v>916</v>
      </c>
      <c r="BM46" t="s">
        <v>1039</v>
      </c>
      <c r="BN46">
        <v>28095913</v>
      </c>
      <c r="BO46" t="s">
        <v>591</v>
      </c>
      <c r="BP46" t="s">
        <v>74</v>
      </c>
      <c r="BQ46" t="s">
        <v>74</v>
      </c>
      <c r="BR46" t="s">
        <v>105</v>
      </c>
      <c r="BS46" t="s">
        <v>1040</v>
      </c>
      <c r="BT46" t="str">
        <f>HYPERLINK("https%3A%2F%2Fwww.webofscience.com%2Fwos%2Fwoscc%2Ffull-record%2FWOS:000396774300002","View Full Record in Web of Science")</f>
        <v>View Full Record in Web of Science</v>
      </c>
    </row>
    <row r="47" spans="1:72" x14ac:dyDescent="0.15">
      <c r="A47" t="s">
        <v>72</v>
      </c>
      <c r="B47" t="s">
        <v>1041</v>
      </c>
      <c r="C47" t="s">
        <v>74</v>
      </c>
      <c r="D47" t="s">
        <v>74</v>
      </c>
      <c r="E47" t="s">
        <v>74</v>
      </c>
      <c r="F47" t="s">
        <v>1042</v>
      </c>
      <c r="G47" t="s">
        <v>74</v>
      </c>
      <c r="H47" t="s">
        <v>74</v>
      </c>
      <c r="I47" t="s">
        <v>1043</v>
      </c>
      <c r="J47" t="s">
        <v>1044</v>
      </c>
      <c r="K47" t="s">
        <v>74</v>
      </c>
      <c r="L47" t="s">
        <v>74</v>
      </c>
      <c r="M47" t="s">
        <v>78</v>
      </c>
      <c r="N47" t="s">
        <v>79</v>
      </c>
      <c r="O47" t="s">
        <v>74</v>
      </c>
      <c r="P47" t="s">
        <v>74</v>
      </c>
      <c r="Q47" t="s">
        <v>74</v>
      </c>
      <c r="R47" t="s">
        <v>74</v>
      </c>
      <c r="S47" t="s">
        <v>74</v>
      </c>
      <c r="T47" t="s">
        <v>74</v>
      </c>
      <c r="U47" t="s">
        <v>1045</v>
      </c>
      <c r="V47" t="s">
        <v>1046</v>
      </c>
      <c r="W47" t="s">
        <v>1047</v>
      </c>
      <c r="X47" t="s">
        <v>1048</v>
      </c>
      <c r="Y47" t="s">
        <v>1049</v>
      </c>
      <c r="Z47" t="s">
        <v>1050</v>
      </c>
      <c r="AA47" t="s">
        <v>1051</v>
      </c>
      <c r="AB47" t="s">
        <v>1052</v>
      </c>
      <c r="AC47" t="s">
        <v>1053</v>
      </c>
      <c r="AD47" t="s">
        <v>1054</v>
      </c>
      <c r="AE47" t="s">
        <v>1055</v>
      </c>
      <c r="AF47" t="s">
        <v>74</v>
      </c>
      <c r="AG47">
        <v>35</v>
      </c>
      <c r="AH47">
        <v>13</v>
      </c>
      <c r="AI47">
        <v>13</v>
      </c>
      <c r="AJ47">
        <v>3</v>
      </c>
      <c r="AK47">
        <v>19</v>
      </c>
      <c r="AL47" t="s">
        <v>608</v>
      </c>
      <c r="AM47" t="s">
        <v>609</v>
      </c>
      <c r="AN47" t="s">
        <v>610</v>
      </c>
      <c r="AO47" t="s">
        <v>1056</v>
      </c>
      <c r="AP47" t="s">
        <v>1057</v>
      </c>
      <c r="AQ47" t="s">
        <v>74</v>
      </c>
      <c r="AR47" t="s">
        <v>1058</v>
      </c>
      <c r="AS47" t="s">
        <v>1059</v>
      </c>
      <c r="AT47" t="s">
        <v>1060</v>
      </c>
      <c r="AU47">
        <v>2017</v>
      </c>
      <c r="AV47">
        <v>13</v>
      </c>
      <c r="AW47">
        <v>1</v>
      </c>
      <c r="AX47" t="s">
        <v>74</v>
      </c>
      <c r="AY47" t="s">
        <v>74</v>
      </c>
      <c r="AZ47" t="s">
        <v>74</v>
      </c>
      <c r="BA47" t="s">
        <v>74</v>
      </c>
      <c r="BB47">
        <v>61</v>
      </c>
      <c r="BC47">
        <v>71</v>
      </c>
      <c r="BD47" t="s">
        <v>74</v>
      </c>
      <c r="BE47" t="s">
        <v>1061</v>
      </c>
      <c r="BF47" t="str">
        <f>HYPERLINK("http://dx.doi.org/10.5194/cp-13-61-2017","http://dx.doi.org/10.5194/cp-13-61-2017")</f>
        <v>http://dx.doi.org/10.5194/cp-13-61-2017</v>
      </c>
      <c r="BG47" t="s">
        <v>74</v>
      </c>
      <c r="BH47" t="s">
        <v>74</v>
      </c>
      <c r="BI47">
        <v>11</v>
      </c>
      <c r="BJ47" t="s">
        <v>938</v>
      </c>
      <c r="BK47" t="s">
        <v>101</v>
      </c>
      <c r="BL47" t="s">
        <v>939</v>
      </c>
      <c r="BM47" t="s">
        <v>1062</v>
      </c>
      <c r="BN47" t="s">
        <v>74</v>
      </c>
      <c r="BO47" t="s">
        <v>892</v>
      </c>
      <c r="BP47" t="s">
        <v>74</v>
      </c>
      <c r="BQ47" t="s">
        <v>74</v>
      </c>
      <c r="BR47" t="s">
        <v>105</v>
      </c>
      <c r="BS47" t="s">
        <v>1063</v>
      </c>
      <c r="BT47" t="str">
        <f>HYPERLINK("https%3A%2F%2Fwww.webofscience.com%2Fwos%2Fwoscc%2Ffull-record%2FWOS:000394056800002","View Full Record in Web of Science")</f>
        <v>View Full Record in Web of Science</v>
      </c>
    </row>
    <row r="48" spans="1:72" x14ac:dyDescent="0.15">
      <c r="A48" t="s">
        <v>72</v>
      </c>
      <c r="B48" t="s">
        <v>1064</v>
      </c>
      <c r="C48" t="s">
        <v>74</v>
      </c>
      <c r="D48" t="s">
        <v>74</v>
      </c>
      <c r="E48" t="s">
        <v>74</v>
      </c>
      <c r="F48" t="s">
        <v>1065</v>
      </c>
      <c r="G48" t="s">
        <v>74</v>
      </c>
      <c r="H48" t="s">
        <v>74</v>
      </c>
      <c r="I48" t="s">
        <v>1066</v>
      </c>
      <c r="J48" t="s">
        <v>1067</v>
      </c>
      <c r="K48" t="s">
        <v>74</v>
      </c>
      <c r="L48" t="s">
        <v>74</v>
      </c>
      <c r="M48" t="s">
        <v>78</v>
      </c>
      <c r="N48" t="s">
        <v>79</v>
      </c>
      <c r="O48" t="s">
        <v>74</v>
      </c>
      <c r="P48" t="s">
        <v>74</v>
      </c>
      <c r="Q48" t="s">
        <v>74</v>
      </c>
      <c r="R48" t="s">
        <v>74</v>
      </c>
      <c r="S48" t="s">
        <v>74</v>
      </c>
      <c r="T48" t="s">
        <v>1068</v>
      </c>
      <c r="U48" t="s">
        <v>1069</v>
      </c>
      <c r="V48" t="s">
        <v>1070</v>
      </c>
      <c r="W48" t="s">
        <v>1071</v>
      </c>
      <c r="X48" t="s">
        <v>1072</v>
      </c>
      <c r="Y48" t="s">
        <v>1073</v>
      </c>
      <c r="Z48" t="s">
        <v>74</v>
      </c>
      <c r="AA48" t="s">
        <v>1074</v>
      </c>
      <c r="AB48" t="s">
        <v>1075</v>
      </c>
      <c r="AC48" t="s">
        <v>1076</v>
      </c>
      <c r="AD48" t="s">
        <v>1077</v>
      </c>
      <c r="AE48" t="s">
        <v>1078</v>
      </c>
      <c r="AF48" t="s">
        <v>74</v>
      </c>
      <c r="AG48">
        <v>146</v>
      </c>
      <c r="AH48">
        <v>24</v>
      </c>
      <c r="AI48">
        <v>29</v>
      </c>
      <c r="AJ48">
        <v>1</v>
      </c>
      <c r="AK48">
        <v>24</v>
      </c>
      <c r="AL48" t="s">
        <v>264</v>
      </c>
      <c r="AM48" t="s">
        <v>169</v>
      </c>
      <c r="AN48" t="s">
        <v>265</v>
      </c>
      <c r="AO48" t="s">
        <v>1079</v>
      </c>
      <c r="AP48" t="s">
        <v>1080</v>
      </c>
      <c r="AQ48" t="s">
        <v>74</v>
      </c>
      <c r="AR48" t="s">
        <v>1067</v>
      </c>
      <c r="AS48" t="s">
        <v>1081</v>
      </c>
      <c r="AT48" t="s">
        <v>1060</v>
      </c>
      <c r="AU48">
        <v>2017</v>
      </c>
      <c r="AV48">
        <v>695</v>
      </c>
      <c r="AW48" t="s">
        <v>74</v>
      </c>
      <c r="AX48" t="s">
        <v>74</v>
      </c>
      <c r="AY48" t="s">
        <v>74</v>
      </c>
      <c r="AZ48" t="s">
        <v>74</v>
      </c>
      <c r="BA48" t="s">
        <v>74</v>
      </c>
      <c r="BB48">
        <v>76</v>
      </c>
      <c r="BC48">
        <v>99</v>
      </c>
      <c r="BD48" t="s">
        <v>74</v>
      </c>
      <c r="BE48" t="s">
        <v>1082</v>
      </c>
      <c r="BF48" t="str">
        <f>HYPERLINK("http://dx.doi.org/10.1016/j.tecto.2016.12.014","http://dx.doi.org/10.1016/j.tecto.2016.12.014")</f>
        <v>http://dx.doi.org/10.1016/j.tecto.2016.12.014</v>
      </c>
      <c r="BG48" t="s">
        <v>74</v>
      </c>
      <c r="BH48" t="s">
        <v>74</v>
      </c>
      <c r="BI48">
        <v>24</v>
      </c>
      <c r="BJ48" t="s">
        <v>299</v>
      </c>
      <c r="BK48" t="s">
        <v>101</v>
      </c>
      <c r="BL48" t="s">
        <v>299</v>
      </c>
      <c r="BM48" t="s">
        <v>1083</v>
      </c>
      <c r="BN48" t="s">
        <v>74</v>
      </c>
      <c r="BO48" t="s">
        <v>74</v>
      </c>
      <c r="BP48" t="s">
        <v>74</v>
      </c>
      <c r="BQ48" t="s">
        <v>74</v>
      </c>
      <c r="BR48" t="s">
        <v>105</v>
      </c>
      <c r="BS48" t="s">
        <v>1084</v>
      </c>
      <c r="BT48" t="str">
        <f>HYPERLINK("https%3A%2F%2Fwww.webofscience.com%2Fwos%2Fwoscc%2Ffull-record%2FWOS:000392044900005","View Full Record in Web of Science")</f>
        <v>View Full Record in Web of Science</v>
      </c>
    </row>
    <row r="49" spans="1:72" x14ac:dyDescent="0.15">
      <c r="A49" t="s">
        <v>72</v>
      </c>
      <c r="B49" t="s">
        <v>1085</v>
      </c>
      <c r="C49" t="s">
        <v>74</v>
      </c>
      <c r="D49" t="s">
        <v>74</v>
      </c>
      <c r="E49" t="s">
        <v>74</v>
      </c>
      <c r="F49" t="s">
        <v>1086</v>
      </c>
      <c r="G49" t="s">
        <v>74</v>
      </c>
      <c r="H49" t="s">
        <v>74</v>
      </c>
      <c r="I49" t="s">
        <v>1087</v>
      </c>
      <c r="J49" t="s">
        <v>1088</v>
      </c>
      <c r="K49" t="s">
        <v>74</v>
      </c>
      <c r="L49" t="s">
        <v>74</v>
      </c>
      <c r="M49" t="s">
        <v>78</v>
      </c>
      <c r="N49" t="s">
        <v>79</v>
      </c>
      <c r="O49" t="s">
        <v>74</v>
      </c>
      <c r="P49" t="s">
        <v>74</v>
      </c>
      <c r="Q49" t="s">
        <v>74</v>
      </c>
      <c r="R49" t="s">
        <v>74</v>
      </c>
      <c r="S49" t="s">
        <v>74</v>
      </c>
      <c r="T49" t="s">
        <v>1089</v>
      </c>
      <c r="U49" t="s">
        <v>1090</v>
      </c>
      <c r="V49" t="s">
        <v>1091</v>
      </c>
      <c r="W49" t="s">
        <v>1092</v>
      </c>
      <c r="X49" t="s">
        <v>1093</v>
      </c>
      <c r="Y49" t="s">
        <v>1094</v>
      </c>
      <c r="Z49" t="s">
        <v>1095</v>
      </c>
      <c r="AA49" t="s">
        <v>1096</v>
      </c>
      <c r="AB49" t="s">
        <v>1097</v>
      </c>
      <c r="AC49" t="s">
        <v>1098</v>
      </c>
      <c r="AD49" t="s">
        <v>1099</v>
      </c>
      <c r="AE49" t="s">
        <v>1100</v>
      </c>
      <c r="AF49" t="s">
        <v>74</v>
      </c>
      <c r="AG49">
        <v>112</v>
      </c>
      <c r="AH49">
        <v>8</v>
      </c>
      <c r="AI49">
        <v>9</v>
      </c>
      <c r="AJ49">
        <v>0</v>
      </c>
      <c r="AK49">
        <v>18</v>
      </c>
      <c r="AL49" t="s">
        <v>264</v>
      </c>
      <c r="AM49" t="s">
        <v>169</v>
      </c>
      <c r="AN49" t="s">
        <v>265</v>
      </c>
      <c r="AO49" t="s">
        <v>1101</v>
      </c>
      <c r="AP49" t="s">
        <v>1102</v>
      </c>
      <c r="AQ49" t="s">
        <v>74</v>
      </c>
      <c r="AR49" t="s">
        <v>1103</v>
      </c>
      <c r="AS49" t="s">
        <v>1104</v>
      </c>
      <c r="AT49" t="s">
        <v>1060</v>
      </c>
      <c r="AU49">
        <v>2017</v>
      </c>
      <c r="AV49">
        <v>151</v>
      </c>
      <c r="AW49" t="s">
        <v>74</v>
      </c>
      <c r="AX49" t="s">
        <v>74</v>
      </c>
      <c r="AY49" t="s">
        <v>74</v>
      </c>
      <c r="AZ49" t="s">
        <v>270</v>
      </c>
      <c r="BA49" t="s">
        <v>74</v>
      </c>
      <c r="BB49">
        <v>145</v>
      </c>
      <c r="BC49">
        <v>161</v>
      </c>
      <c r="BD49" t="s">
        <v>74</v>
      </c>
      <c r="BE49" t="s">
        <v>1105</v>
      </c>
      <c r="BF49" t="str">
        <f>HYPERLINK("http://dx.doi.org/10.1016/j.jprot.2016.04.036","http://dx.doi.org/10.1016/j.jprot.2016.04.036")</f>
        <v>http://dx.doi.org/10.1016/j.jprot.2016.04.036</v>
      </c>
      <c r="BG49" t="s">
        <v>74</v>
      </c>
      <c r="BH49" t="s">
        <v>74</v>
      </c>
      <c r="BI49">
        <v>17</v>
      </c>
      <c r="BJ49" t="s">
        <v>1106</v>
      </c>
      <c r="BK49" t="s">
        <v>101</v>
      </c>
      <c r="BL49" t="s">
        <v>1107</v>
      </c>
      <c r="BM49" t="s">
        <v>1108</v>
      </c>
      <c r="BN49">
        <v>27126604</v>
      </c>
      <c r="BO49" t="s">
        <v>301</v>
      </c>
      <c r="BP49" t="s">
        <v>74</v>
      </c>
      <c r="BQ49" t="s">
        <v>74</v>
      </c>
      <c r="BR49" t="s">
        <v>105</v>
      </c>
      <c r="BS49" t="s">
        <v>1109</v>
      </c>
      <c r="BT49" t="str">
        <f>HYPERLINK("https%3A%2F%2Fwww.webofscience.com%2Fwos%2Fwoscc%2Ffull-record%2FWOS:000390964900016","View Full Record in Web of Science")</f>
        <v>View Full Record in Web of Science</v>
      </c>
    </row>
    <row r="50" spans="1:72" x14ac:dyDescent="0.15">
      <c r="A50" t="s">
        <v>72</v>
      </c>
      <c r="B50" t="s">
        <v>1110</v>
      </c>
      <c r="C50" t="s">
        <v>74</v>
      </c>
      <c r="D50" t="s">
        <v>74</v>
      </c>
      <c r="E50" t="s">
        <v>74</v>
      </c>
      <c r="F50" t="s">
        <v>1111</v>
      </c>
      <c r="G50" t="s">
        <v>74</v>
      </c>
      <c r="H50" t="s">
        <v>74</v>
      </c>
      <c r="I50" t="s">
        <v>1112</v>
      </c>
      <c r="J50" t="s">
        <v>1113</v>
      </c>
      <c r="K50" t="s">
        <v>74</v>
      </c>
      <c r="L50" t="s">
        <v>74</v>
      </c>
      <c r="M50" t="s">
        <v>78</v>
      </c>
      <c r="N50" t="s">
        <v>1114</v>
      </c>
      <c r="O50" t="s">
        <v>74</v>
      </c>
      <c r="P50" t="s">
        <v>74</v>
      </c>
      <c r="Q50" t="s">
        <v>74</v>
      </c>
      <c r="R50" t="s">
        <v>74</v>
      </c>
      <c r="S50" t="s">
        <v>74</v>
      </c>
      <c r="T50" t="s">
        <v>74</v>
      </c>
      <c r="U50" t="s">
        <v>74</v>
      </c>
      <c r="V50" t="s">
        <v>74</v>
      </c>
      <c r="W50" t="s">
        <v>1115</v>
      </c>
      <c r="X50" t="s">
        <v>1116</v>
      </c>
      <c r="Y50" t="s">
        <v>1117</v>
      </c>
      <c r="Z50" t="s">
        <v>74</v>
      </c>
      <c r="AA50" t="s">
        <v>74</v>
      </c>
      <c r="AB50" t="s">
        <v>74</v>
      </c>
      <c r="AC50" t="s">
        <v>74</v>
      </c>
      <c r="AD50" t="s">
        <v>74</v>
      </c>
      <c r="AE50" t="s">
        <v>74</v>
      </c>
      <c r="AF50" t="s">
        <v>74</v>
      </c>
      <c r="AG50">
        <v>0</v>
      </c>
      <c r="AH50">
        <v>0</v>
      </c>
      <c r="AI50">
        <v>0</v>
      </c>
      <c r="AJ50">
        <v>0</v>
      </c>
      <c r="AK50">
        <v>0</v>
      </c>
      <c r="AL50" t="s">
        <v>291</v>
      </c>
      <c r="AM50" t="s">
        <v>292</v>
      </c>
      <c r="AN50" t="s">
        <v>293</v>
      </c>
      <c r="AO50" t="s">
        <v>1118</v>
      </c>
      <c r="AP50" t="s">
        <v>1119</v>
      </c>
      <c r="AQ50" t="s">
        <v>74</v>
      </c>
      <c r="AR50" t="s">
        <v>1120</v>
      </c>
      <c r="AS50" t="s">
        <v>1121</v>
      </c>
      <c r="AT50" t="s">
        <v>1122</v>
      </c>
      <c r="AU50">
        <v>2017</v>
      </c>
      <c r="AV50">
        <v>114</v>
      </c>
      <c r="AW50">
        <v>1</v>
      </c>
      <c r="AX50" t="s">
        <v>74</v>
      </c>
      <c r="AY50" t="s">
        <v>74</v>
      </c>
      <c r="AZ50" t="s">
        <v>74</v>
      </c>
      <c r="BA50" t="s">
        <v>74</v>
      </c>
      <c r="BB50">
        <v>8</v>
      </c>
      <c r="BC50">
        <v>8</v>
      </c>
      <c r="BD50" t="s">
        <v>74</v>
      </c>
      <c r="BE50" t="s">
        <v>74</v>
      </c>
      <c r="BF50" t="s">
        <v>74</v>
      </c>
      <c r="BG50" t="s">
        <v>74</v>
      </c>
      <c r="BH50" t="s">
        <v>74</v>
      </c>
      <c r="BI50">
        <v>1</v>
      </c>
      <c r="BJ50" t="s">
        <v>1123</v>
      </c>
      <c r="BK50" t="s">
        <v>101</v>
      </c>
      <c r="BL50" t="s">
        <v>1124</v>
      </c>
      <c r="BM50" t="s">
        <v>1125</v>
      </c>
      <c r="BN50" t="s">
        <v>74</v>
      </c>
      <c r="BO50" t="s">
        <v>74</v>
      </c>
      <c r="BP50" t="s">
        <v>74</v>
      </c>
      <c r="BQ50" t="s">
        <v>74</v>
      </c>
      <c r="BR50" t="s">
        <v>105</v>
      </c>
      <c r="BS50" t="s">
        <v>1126</v>
      </c>
      <c r="BT50" t="str">
        <f>HYPERLINK("https%3A%2F%2Fwww.webofscience.com%2Fwos%2Fwoscc%2Ffull-record%2FWOS:000392768900015","View Full Record in Web of Science")</f>
        <v>View Full Record in Web of Science</v>
      </c>
    </row>
    <row r="51" spans="1:72" x14ac:dyDescent="0.15">
      <c r="A51" t="s">
        <v>72</v>
      </c>
      <c r="B51" t="s">
        <v>1127</v>
      </c>
      <c r="C51" t="s">
        <v>74</v>
      </c>
      <c r="D51" t="s">
        <v>74</v>
      </c>
      <c r="E51" t="s">
        <v>74</v>
      </c>
      <c r="F51" t="s">
        <v>1128</v>
      </c>
      <c r="G51" t="s">
        <v>74</v>
      </c>
      <c r="H51" t="s">
        <v>74</v>
      </c>
      <c r="I51" t="s">
        <v>1129</v>
      </c>
      <c r="J51" t="s">
        <v>1113</v>
      </c>
      <c r="K51" t="s">
        <v>74</v>
      </c>
      <c r="L51" t="s">
        <v>74</v>
      </c>
      <c r="M51" t="s">
        <v>78</v>
      </c>
      <c r="N51" t="s">
        <v>79</v>
      </c>
      <c r="O51" t="s">
        <v>74</v>
      </c>
      <c r="P51" t="s">
        <v>74</v>
      </c>
      <c r="Q51" t="s">
        <v>74</v>
      </c>
      <c r="R51" t="s">
        <v>74</v>
      </c>
      <c r="S51" t="s">
        <v>74</v>
      </c>
      <c r="T51" t="s">
        <v>1130</v>
      </c>
      <c r="U51" t="s">
        <v>1131</v>
      </c>
      <c r="V51" t="s">
        <v>1132</v>
      </c>
      <c r="W51" t="s">
        <v>1133</v>
      </c>
      <c r="X51" t="s">
        <v>1134</v>
      </c>
      <c r="Y51" t="s">
        <v>1135</v>
      </c>
      <c r="Z51" t="s">
        <v>1136</v>
      </c>
      <c r="AA51" t="s">
        <v>1137</v>
      </c>
      <c r="AB51" t="s">
        <v>1138</v>
      </c>
      <c r="AC51" t="s">
        <v>1139</v>
      </c>
      <c r="AD51" t="s">
        <v>1140</v>
      </c>
      <c r="AE51" t="s">
        <v>1141</v>
      </c>
      <c r="AF51" t="s">
        <v>74</v>
      </c>
      <c r="AG51">
        <v>67</v>
      </c>
      <c r="AH51">
        <v>6</v>
      </c>
      <c r="AI51">
        <v>8</v>
      </c>
      <c r="AJ51">
        <v>1</v>
      </c>
      <c r="AK51">
        <v>47</v>
      </c>
      <c r="AL51" t="s">
        <v>291</v>
      </c>
      <c r="AM51" t="s">
        <v>292</v>
      </c>
      <c r="AN51" t="s">
        <v>293</v>
      </c>
      <c r="AO51" t="s">
        <v>1118</v>
      </c>
      <c r="AP51" t="s">
        <v>1119</v>
      </c>
      <c r="AQ51" t="s">
        <v>74</v>
      </c>
      <c r="AR51" t="s">
        <v>1120</v>
      </c>
      <c r="AS51" t="s">
        <v>1121</v>
      </c>
      <c r="AT51" t="s">
        <v>1122</v>
      </c>
      <c r="AU51">
        <v>2017</v>
      </c>
      <c r="AV51">
        <v>114</v>
      </c>
      <c r="AW51">
        <v>1</v>
      </c>
      <c r="AX51" t="s">
        <v>74</v>
      </c>
      <c r="AY51" t="s">
        <v>74</v>
      </c>
      <c r="AZ51" t="s">
        <v>74</v>
      </c>
      <c r="BA51" t="s">
        <v>74</v>
      </c>
      <c r="BB51">
        <v>296</v>
      </c>
      <c r="BC51">
        <v>301</v>
      </c>
      <c r="BD51" t="s">
        <v>74</v>
      </c>
      <c r="BE51" t="s">
        <v>1142</v>
      </c>
      <c r="BF51" t="str">
        <f>HYPERLINK("http://dx.doi.org/10.1016/j.marpolbul.2016.09.043","http://dx.doi.org/10.1016/j.marpolbul.2016.09.043")</f>
        <v>http://dx.doi.org/10.1016/j.marpolbul.2016.09.043</v>
      </c>
      <c r="BG51" t="s">
        <v>74</v>
      </c>
      <c r="BH51" t="s">
        <v>74</v>
      </c>
      <c r="BI51">
        <v>6</v>
      </c>
      <c r="BJ51" t="s">
        <v>1123</v>
      </c>
      <c r="BK51" t="s">
        <v>101</v>
      </c>
      <c r="BL51" t="s">
        <v>1124</v>
      </c>
      <c r="BM51" t="s">
        <v>1125</v>
      </c>
      <c r="BN51">
        <v>27671845</v>
      </c>
      <c r="BO51" t="s">
        <v>74</v>
      </c>
      <c r="BP51" t="s">
        <v>74</v>
      </c>
      <c r="BQ51" t="s">
        <v>74</v>
      </c>
      <c r="BR51" t="s">
        <v>105</v>
      </c>
      <c r="BS51" t="s">
        <v>1143</v>
      </c>
      <c r="BT51" t="str">
        <f>HYPERLINK("https%3A%2F%2Fwww.webofscience.com%2Fwos%2Fwoscc%2Ffull-record%2FWOS:000392768900045","View Full Record in Web of Science")</f>
        <v>View Full Record in Web of Science</v>
      </c>
    </row>
    <row r="52" spans="1:72" x14ac:dyDescent="0.15">
      <c r="A52" t="s">
        <v>72</v>
      </c>
      <c r="B52" t="s">
        <v>1144</v>
      </c>
      <c r="C52" t="s">
        <v>74</v>
      </c>
      <c r="D52" t="s">
        <v>74</v>
      </c>
      <c r="E52" t="s">
        <v>74</v>
      </c>
      <c r="F52" t="s">
        <v>1145</v>
      </c>
      <c r="G52" t="s">
        <v>74</v>
      </c>
      <c r="H52" t="s">
        <v>74</v>
      </c>
      <c r="I52" t="s">
        <v>1146</v>
      </c>
      <c r="J52" t="s">
        <v>1113</v>
      </c>
      <c r="K52" t="s">
        <v>74</v>
      </c>
      <c r="L52" t="s">
        <v>74</v>
      </c>
      <c r="M52" t="s">
        <v>78</v>
      </c>
      <c r="N52" t="s">
        <v>79</v>
      </c>
      <c r="O52" t="s">
        <v>74</v>
      </c>
      <c r="P52" t="s">
        <v>74</v>
      </c>
      <c r="Q52" t="s">
        <v>74</v>
      </c>
      <c r="R52" t="s">
        <v>74</v>
      </c>
      <c r="S52" t="s">
        <v>74</v>
      </c>
      <c r="T52" t="s">
        <v>1147</v>
      </c>
      <c r="U52" t="s">
        <v>1148</v>
      </c>
      <c r="V52" t="s">
        <v>1149</v>
      </c>
      <c r="W52" t="s">
        <v>1150</v>
      </c>
      <c r="X52" t="s">
        <v>1151</v>
      </c>
      <c r="Y52" t="s">
        <v>1152</v>
      </c>
      <c r="Z52" t="s">
        <v>1153</v>
      </c>
      <c r="AA52" t="s">
        <v>1154</v>
      </c>
      <c r="AB52" t="s">
        <v>1155</v>
      </c>
      <c r="AC52" t="s">
        <v>1156</v>
      </c>
      <c r="AD52" t="s">
        <v>1157</v>
      </c>
      <c r="AE52" t="s">
        <v>1158</v>
      </c>
      <c r="AF52" t="s">
        <v>74</v>
      </c>
      <c r="AG52">
        <v>80</v>
      </c>
      <c r="AH52">
        <v>35</v>
      </c>
      <c r="AI52">
        <v>38</v>
      </c>
      <c r="AJ52">
        <v>4</v>
      </c>
      <c r="AK52">
        <v>81</v>
      </c>
      <c r="AL52" t="s">
        <v>291</v>
      </c>
      <c r="AM52" t="s">
        <v>292</v>
      </c>
      <c r="AN52" t="s">
        <v>293</v>
      </c>
      <c r="AO52" t="s">
        <v>1118</v>
      </c>
      <c r="AP52" t="s">
        <v>1119</v>
      </c>
      <c r="AQ52" t="s">
        <v>74</v>
      </c>
      <c r="AR52" t="s">
        <v>1120</v>
      </c>
      <c r="AS52" t="s">
        <v>1121</v>
      </c>
      <c r="AT52" t="s">
        <v>1122</v>
      </c>
      <c r="AU52">
        <v>2017</v>
      </c>
      <c r="AV52">
        <v>114</v>
      </c>
      <c r="AW52">
        <v>1</v>
      </c>
      <c r="AX52" t="s">
        <v>74</v>
      </c>
      <c r="AY52" t="s">
        <v>74</v>
      </c>
      <c r="AZ52" t="s">
        <v>74</v>
      </c>
      <c r="BA52" t="s">
        <v>74</v>
      </c>
      <c r="BB52">
        <v>564</v>
      </c>
      <c r="BC52">
        <v>570</v>
      </c>
      <c r="BD52" t="s">
        <v>74</v>
      </c>
      <c r="BE52" t="s">
        <v>1159</v>
      </c>
      <c r="BF52" t="str">
        <f>HYPERLINK("http://dx.doi.org/10.1016/j.marpolbul.2016.09.024","http://dx.doi.org/10.1016/j.marpolbul.2016.09.024")</f>
        <v>http://dx.doi.org/10.1016/j.marpolbul.2016.09.024</v>
      </c>
      <c r="BG52" t="s">
        <v>74</v>
      </c>
      <c r="BH52" t="s">
        <v>74</v>
      </c>
      <c r="BI52">
        <v>7</v>
      </c>
      <c r="BJ52" t="s">
        <v>1123</v>
      </c>
      <c r="BK52" t="s">
        <v>101</v>
      </c>
      <c r="BL52" t="s">
        <v>1124</v>
      </c>
      <c r="BM52" t="s">
        <v>1125</v>
      </c>
      <c r="BN52">
        <v>27717573</v>
      </c>
      <c r="BO52" t="s">
        <v>378</v>
      </c>
      <c r="BP52" t="s">
        <v>74</v>
      </c>
      <c r="BQ52" t="s">
        <v>74</v>
      </c>
      <c r="BR52" t="s">
        <v>105</v>
      </c>
      <c r="BS52" t="s">
        <v>1160</v>
      </c>
      <c r="BT52" t="str">
        <f>HYPERLINK("https%3A%2F%2Fwww.webofscience.com%2Fwos%2Fwoscc%2Ffull-record%2FWOS:000392768900069","View Full Record in Web of Science")</f>
        <v>View Full Record in Web of Science</v>
      </c>
    </row>
    <row r="53" spans="1:72" x14ac:dyDescent="0.15">
      <c r="A53" t="s">
        <v>72</v>
      </c>
      <c r="B53" t="s">
        <v>1161</v>
      </c>
      <c r="C53" t="s">
        <v>74</v>
      </c>
      <c r="D53" t="s">
        <v>74</v>
      </c>
      <c r="E53" t="s">
        <v>74</v>
      </c>
      <c r="F53" t="s">
        <v>1162</v>
      </c>
      <c r="G53" t="s">
        <v>74</v>
      </c>
      <c r="H53" t="s">
        <v>74</v>
      </c>
      <c r="I53" t="s">
        <v>1163</v>
      </c>
      <c r="J53" t="s">
        <v>1164</v>
      </c>
      <c r="K53" t="s">
        <v>74</v>
      </c>
      <c r="L53" t="s">
        <v>74</v>
      </c>
      <c r="M53" t="s">
        <v>78</v>
      </c>
      <c r="N53" t="s">
        <v>79</v>
      </c>
      <c r="O53" t="s">
        <v>74</v>
      </c>
      <c r="P53" t="s">
        <v>74</v>
      </c>
      <c r="Q53" t="s">
        <v>74</v>
      </c>
      <c r="R53" t="s">
        <v>74</v>
      </c>
      <c r="S53" t="s">
        <v>74</v>
      </c>
      <c r="T53" t="s">
        <v>1165</v>
      </c>
      <c r="U53" t="s">
        <v>1166</v>
      </c>
      <c r="V53" t="s">
        <v>1167</v>
      </c>
      <c r="W53" t="s">
        <v>1168</v>
      </c>
      <c r="X53" t="s">
        <v>1169</v>
      </c>
      <c r="Y53" t="s">
        <v>1170</v>
      </c>
      <c r="Z53" t="s">
        <v>1171</v>
      </c>
      <c r="AA53" t="s">
        <v>74</v>
      </c>
      <c r="AB53" t="s">
        <v>74</v>
      </c>
      <c r="AC53" t="s">
        <v>1172</v>
      </c>
      <c r="AD53" t="s">
        <v>1173</v>
      </c>
      <c r="AE53" t="s">
        <v>1174</v>
      </c>
      <c r="AF53" t="s">
        <v>74</v>
      </c>
      <c r="AG53">
        <v>55</v>
      </c>
      <c r="AH53">
        <v>10</v>
      </c>
      <c r="AI53">
        <v>11</v>
      </c>
      <c r="AJ53">
        <v>2</v>
      </c>
      <c r="AK53">
        <v>40</v>
      </c>
      <c r="AL53" t="s">
        <v>168</v>
      </c>
      <c r="AM53" t="s">
        <v>169</v>
      </c>
      <c r="AN53" t="s">
        <v>170</v>
      </c>
      <c r="AO53" t="s">
        <v>1175</v>
      </c>
      <c r="AP53" t="s">
        <v>1176</v>
      </c>
      <c r="AQ53" t="s">
        <v>74</v>
      </c>
      <c r="AR53" t="s">
        <v>1177</v>
      </c>
      <c r="AS53" t="s">
        <v>1178</v>
      </c>
      <c r="AT53" t="s">
        <v>1122</v>
      </c>
      <c r="AU53">
        <v>2017</v>
      </c>
      <c r="AV53">
        <v>466</v>
      </c>
      <c r="AW53" t="s">
        <v>74</v>
      </c>
      <c r="AX53" t="s">
        <v>74</v>
      </c>
      <c r="AY53" t="s">
        <v>74</v>
      </c>
      <c r="AZ53" t="s">
        <v>74</v>
      </c>
      <c r="BA53" t="s">
        <v>74</v>
      </c>
      <c r="BB53">
        <v>166</v>
      </c>
      <c r="BC53">
        <v>173</v>
      </c>
      <c r="BD53" t="s">
        <v>74</v>
      </c>
      <c r="BE53" t="s">
        <v>1179</v>
      </c>
      <c r="BF53" t="str">
        <f>HYPERLINK("http://dx.doi.org/10.1016/j.palaeo.2016.11.021","http://dx.doi.org/10.1016/j.palaeo.2016.11.021")</f>
        <v>http://dx.doi.org/10.1016/j.palaeo.2016.11.021</v>
      </c>
      <c r="BG53" t="s">
        <v>74</v>
      </c>
      <c r="BH53" t="s">
        <v>74</v>
      </c>
      <c r="BI53">
        <v>8</v>
      </c>
      <c r="BJ53" t="s">
        <v>1180</v>
      </c>
      <c r="BK53" t="s">
        <v>101</v>
      </c>
      <c r="BL53" t="s">
        <v>1181</v>
      </c>
      <c r="BM53" t="s">
        <v>1182</v>
      </c>
      <c r="BN53" t="s">
        <v>74</v>
      </c>
      <c r="BO53" t="s">
        <v>74</v>
      </c>
      <c r="BP53" t="s">
        <v>74</v>
      </c>
      <c r="BQ53" t="s">
        <v>74</v>
      </c>
      <c r="BR53" t="s">
        <v>105</v>
      </c>
      <c r="BS53" t="s">
        <v>1183</v>
      </c>
      <c r="BT53" t="str">
        <f>HYPERLINK("https%3A%2F%2Fwww.webofscience.com%2Fwos%2Fwoscc%2Ffull-record%2FWOS:000392766900013","View Full Record in Web of Science")</f>
        <v>View Full Record in Web of Science</v>
      </c>
    </row>
    <row r="54" spans="1:72" x14ac:dyDescent="0.15">
      <c r="A54" t="s">
        <v>72</v>
      </c>
      <c r="B54" t="s">
        <v>1184</v>
      </c>
      <c r="C54" t="s">
        <v>74</v>
      </c>
      <c r="D54" t="s">
        <v>74</v>
      </c>
      <c r="E54" t="s">
        <v>74</v>
      </c>
      <c r="F54" t="s">
        <v>1185</v>
      </c>
      <c r="G54" t="s">
        <v>74</v>
      </c>
      <c r="H54" t="s">
        <v>74</v>
      </c>
      <c r="I54" t="s">
        <v>1186</v>
      </c>
      <c r="J54" t="s">
        <v>1187</v>
      </c>
      <c r="K54" t="s">
        <v>74</v>
      </c>
      <c r="L54" t="s">
        <v>74</v>
      </c>
      <c r="M54" t="s">
        <v>78</v>
      </c>
      <c r="N54" t="s">
        <v>79</v>
      </c>
      <c r="O54" t="s">
        <v>74</v>
      </c>
      <c r="P54" t="s">
        <v>74</v>
      </c>
      <c r="Q54" t="s">
        <v>74</v>
      </c>
      <c r="R54" t="s">
        <v>74</v>
      </c>
      <c r="S54" t="s">
        <v>74</v>
      </c>
      <c r="T54" t="s">
        <v>1188</v>
      </c>
      <c r="U54" t="s">
        <v>1189</v>
      </c>
      <c r="V54" t="s">
        <v>1190</v>
      </c>
      <c r="W54" t="s">
        <v>1191</v>
      </c>
      <c r="X54" t="s">
        <v>1192</v>
      </c>
      <c r="Y54" t="s">
        <v>1193</v>
      </c>
      <c r="Z54" t="s">
        <v>1194</v>
      </c>
      <c r="AA54" t="s">
        <v>1195</v>
      </c>
      <c r="AB54" t="s">
        <v>1196</v>
      </c>
      <c r="AC54" t="s">
        <v>1197</v>
      </c>
      <c r="AD54" t="s">
        <v>1198</v>
      </c>
      <c r="AE54" t="s">
        <v>1199</v>
      </c>
      <c r="AF54" t="s">
        <v>74</v>
      </c>
      <c r="AG54">
        <v>50</v>
      </c>
      <c r="AH54">
        <v>68</v>
      </c>
      <c r="AI54">
        <v>73</v>
      </c>
      <c r="AJ54">
        <v>0</v>
      </c>
      <c r="AK54">
        <v>35</v>
      </c>
      <c r="AL54" t="s">
        <v>264</v>
      </c>
      <c r="AM54" t="s">
        <v>169</v>
      </c>
      <c r="AN54" t="s">
        <v>265</v>
      </c>
      <c r="AO54" t="s">
        <v>1200</v>
      </c>
      <c r="AP54" t="s">
        <v>1201</v>
      </c>
      <c r="AQ54" t="s">
        <v>74</v>
      </c>
      <c r="AR54" t="s">
        <v>1202</v>
      </c>
      <c r="AS54" t="s">
        <v>1203</v>
      </c>
      <c r="AT54" t="s">
        <v>1122</v>
      </c>
      <c r="AU54">
        <v>2017</v>
      </c>
      <c r="AV54">
        <v>458</v>
      </c>
      <c r="AW54" t="s">
        <v>74</v>
      </c>
      <c r="AX54" t="s">
        <v>74</v>
      </c>
      <c r="AY54" t="s">
        <v>74</v>
      </c>
      <c r="AZ54" t="s">
        <v>74</v>
      </c>
      <c r="BA54" t="s">
        <v>74</v>
      </c>
      <c r="BB54">
        <v>49</v>
      </c>
      <c r="BC54">
        <v>57</v>
      </c>
      <c r="BD54" t="s">
        <v>74</v>
      </c>
      <c r="BE54" t="s">
        <v>1204</v>
      </c>
      <c r="BF54" t="str">
        <f>HYPERLINK("http://dx.doi.org/10.1016/j.epsl.2016.10.045","http://dx.doi.org/10.1016/j.epsl.2016.10.045")</f>
        <v>http://dx.doi.org/10.1016/j.epsl.2016.10.045</v>
      </c>
      <c r="BG54" t="s">
        <v>74</v>
      </c>
      <c r="BH54" t="s">
        <v>74</v>
      </c>
      <c r="BI54">
        <v>9</v>
      </c>
      <c r="BJ54" t="s">
        <v>299</v>
      </c>
      <c r="BK54" t="s">
        <v>101</v>
      </c>
      <c r="BL54" t="s">
        <v>299</v>
      </c>
      <c r="BM54" t="s">
        <v>1205</v>
      </c>
      <c r="BN54" t="s">
        <v>74</v>
      </c>
      <c r="BO54" t="s">
        <v>812</v>
      </c>
      <c r="BP54" t="s">
        <v>74</v>
      </c>
      <c r="BQ54" t="s">
        <v>74</v>
      </c>
      <c r="BR54" t="s">
        <v>105</v>
      </c>
      <c r="BS54" t="s">
        <v>1206</v>
      </c>
      <c r="BT54" t="str">
        <f>HYPERLINK("https%3A%2F%2Fwww.webofscience.com%2Fwos%2Fwoscc%2Ffull-record%2FWOS:000392685100005","View Full Record in Web of Science")</f>
        <v>View Full Record in Web of Science</v>
      </c>
    </row>
    <row r="55" spans="1:72" x14ac:dyDescent="0.15">
      <c r="A55" t="s">
        <v>72</v>
      </c>
      <c r="B55" t="s">
        <v>1207</v>
      </c>
      <c r="C55" t="s">
        <v>74</v>
      </c>
      <c r="D55" t="s">
        <v>74</v>
      </c>
      <c r="E55" t="s">
        <v>74</v>
      </c>
      <c r="F55" t="s">
        <v>1208</v>
      </c>
      <c r="G55" t="s">
        <v>74</v>
      </c>
      <c r="H55" t="s">
        <v>74</v>
      </c>
      <c r="I55" t="s">
        <v>1209</v>
      </c>
      <c r="J55" t="s">
        <v>1187</v>
      </c>
      <c r="K55" t="s">
        <v>74</v>
      </c>
      <c r="L55" t="s">
        <v>74</v>
      </c>
      <c r="M55" t="s">
        <v>78</v>
      </c>
      <c r="N55" t="s">
        <v>79</v>
      </c>
      <c r="O55" t="s">
        <v>74</v>
      </c>
      <c r="P55" t="s">
        <v>74</v>
      </c>
      <c r="Q55" t="s">
        <v>74</v>
      </c>
      <c r="R55" t="s">
        <v>74</v>
      </c>
      <c r="S55" t="s">
        <v>74</v>
      </c>
      <c r="T55" t="s">
        <v>1210</v>
      </c>
      <c r="U55" t="s">
        <v>1211</v>
      </c>
      <c r="V55" t="s">
        <v>1212</v>
      </c>
      <c r="W55" t="s">
        <v>1213</v>
      </c>
      <c r="X55" t="s">
        <v>1214</v>
      </c>
      <c r="Y55" t="s">
        <v>1215</v>
      </c>
      <c r="Z55" t="s">
        <v>1216</v>
      </c>
      <c r="AA55" t="s">
        <v>1217</v>
      </c>
      <c r="AB55" t="s">
        <v>1218</v>
      </c>
      <c r="AC55" t="s">
        <v>1219</v>
      </c>
      <c r="AD55" t="s">
        <v>1220</v>
      </c>
      <c r="AE55" t="s">
        <v>1221</v>
      </c>
      <c r="AF55" t="s">
        <v>74</v>
      </c>
      <c r="AG55">
        <v>48</v>
      </c>
      <c r="AH55">
        <v>35</v>
      </c>
      <c r="AI55">
        <v>37</v>
      </c>
      <c r="AJ55">
        <v>0</v>
      </c>
      <c r="AK55">
        <v>36</v>
      </c>
      <c r="AL55" t="s">
        <v>264</v>
      </c>
      <c r="AM55" t="s">
        <v>169</v>
      </c>
      <c r="AN55" t="s">
        <v>265</v>
      </c>
      <c r="AO55" t="s">
        <v>1200</v>
      </c>
      <c r="AP55" t="s">
        <v>1201</v>
      </c>
      <c r="AQ55" t="s">
        <v>74</v>
      </c>
      <c r="AR55" t="s">
        <v>1202</v>
      </c>
      <c r="AS55" t="s">
        <v>1203</v>
      </c>
      <c r="AT55" t="s">
        <v>1122</v>
      </c>
      <c r="AU55">
        <v>2017</v>
      </c>
      <c r="AV55">
        <v>458</v>
      </c>
      <c r="AW55" t="s">
        <v>74</v>
      </c>
      <c r="AX55" t="s">
        <v>74</v>
      </c>
      <c r="AY55" t="s">
        <v>74</v>
      </c>
      <c r="AZ55" t="s">
        <v>74</v>
      </c>
      <c r="BA55" t="s">
        <v>74</v>
      </c>
      <c r="BB55">
        <v>161</v>
      </c>
      <c r="BC55">
        <v>169</v>
      </c>
      <c r="BD55" t="s">
        <v>74</v>
      </c>
      <c r="BE55" t="s">
        <v>1222</v>
      </c>
      <c r="BF55" t="str">
        <f>HYPERLINK("http://dx.doi.org/10.1016/j.epsl.2016.10.046","http://dx.doi.org/10.1016/j.epsl.2016.10.046")</f>
        <v>http://dx.doi.org/10.1016/j.epsl.2016.10.046</v>
      </c>
      <c r="BG55" t="s">
        <v>74</v>
      </c>
      <c r="BH55" t="s">
        <v>74</v>
      </c>
      <c r="BI55">
        <v>9</v>
      </c>
      <c r="BJ55" t="s">
        <v>299</v>
      </c>
      <c r="BK55" t="s">
        <v>101</v>
      </c>
      <c r="BL55" t="s">
        <v>299</v>
      </c>
      <c r="BM55" t="s">
        <v>1205</v>
      </c>
      <c r="BN55" t="s">
        <v>74</v>
      </c>
      <c r="BO55" t="s">
        <v>1223</v>
      </c>
      <c r="BP55" t="s">
        <v>74</v>
      </c>
      <c r="BQ55" t="s">
        <v>74</v>
      </c>
      <c r="BR55" t="s">
        <v>105</v>
      </c>
      <c r="BS55" t="s">
        <v>1224</v>
      </c>
      <c r="BT55" t="str">
        <f>HYPERLINK("https%3A%2F%2Fwww.webofscience.com%2Fwos%2Fwoscc%2Ffull-record%2FWOS:000392685100015","View Full Record in Web of Science")</f>
        <v>View Full Record in Web of Science</v>
      </c>
    </row>
    <row r="56" spans="1:72" x14ac:dyDescent="0.15">
      <c r="A56" t="s">
        <v>72</v>
      </c>
      <c r="B56" t="s">
        <v>1225</v>
      </c>
      <c r="C56" t="s">
        <v>74</v>
      </c>
      <c r="D56" t="s">
        <v>74</v>
      </c>
      <c r="E56" t="s">
        <v>74</v>
      </c>
      <c r="F56" t="s">
        <v>1226</v>
      </c>
      <c r="G56" t="s">
        <v>74</v>
      </c>
      <c r="H56" t="s">
        <v>74</v>
      </c>
      <c r="I56" t="s">
        <v>1227</v>
      </c>
      <c r="J56" t="s">
        <v>1113</v>
      </c>
      <c r="K56" t="s">
        <v>74</v>
      </c>
      <c r="L56" t="s">
        <v>74</v>
      </c>
      <c r="M56" t="s">
        <v>78</v>
      </c>
      <c r="N56" t="s">
        <v>79</v>
      </c>
      <c r="O56" t="s">
        <v>74</v>
      </c>
      <c r="P56" t="s">
        <v>74</v>
      </c>
      <c r="Q56" t="s">
        <v>74</v>
      </c>
      <c r="R56" t="s">
        <v>74</v>
      </c>
      <c r="S56" t="s">
        <v>74</v>
      </c>
      <c r="T56" t="s">
        <v>1228</v>
      </c>
      <c r="U56" t="s">
        <v>1229</v>
      </c>
      <c r="V56" t="s">
        <v>1230</v>
      </c>
      <c r="W56" t="s">
        <v>1231</v>
      </c>
      <c r="X56" t="s">
        <v>1232</v>
      </c>
      <c r="Y56" t="s">
        <v>1233</v>
      </c>
      <c r="Z56" t="s">
        <v>1234</v>
      </c>
      <c r="AA56" t="s">
        <v>1235</v>
      </c>
      <c r="AB56" t="s">
        <v>1236</v>
      </c>
      <c r="AC56" t="s">
        <v>1237</v>
      </c>
      <c r="AD56" t="s">
        <v>1238</v>
      </c>
      <c r="AE56" t="s">
        <v>1239</v>
      </c>
      <c r="AF56" t="s">
        <v>74</v>
      </c>
      <c r="AG56">
        <v>22</v>
      </c>
      <c r="AH56">
        <v>246</v>
      </c>
      <c r="AI56">
        <v>278</v>
      </c>
      <c r="AJ56">
        <v>18</v>
      </c>
      <c r="AK56">
        <v>223</v>
      </c>
      <c r="AL56" t="s">
        <v>291</v>
      </c>
      <c r="AM56" t="s">
        <v>292</v>
      </c>
      <c r="AN56" t="s">
        <v>293</v>
      </c>
      <c r="AO56" t="s">
        <v>1118</v>
      </c>
      <c r="AP56" t="s">
        <v>1119</v>
      </c>
      <c r="AQ56" t="s">
        <v>74</v>
      </c>
      <c r="AR56" t="s">
        <v>1120</v>
      </c>
      <c r="AS56" t="s">
        <v>1121</v>
      </c>
      <c r="AT56" t="s">
        <v>1122</v>
      </c>
      <c r="AU56">
        <v>2017</v>
      </c>
      <c r="AV56">
        <v>114</v>
      </c>
      <c r="AW56">
        <v>1</v>
      </c>
      <c r="AX56" t="s">
        <v>74</v>
      </c>
      <c r="AY56" t="s">
        <v>74</v>
      </c>
      <c r="AZ56" t="s">
        <v>74</v>
      </c>
      <c r="BA56" t="s">
        <v>74</v>
      </c>
      <c r="BB56">
        <v>623</v>
      </c>
      <c r="BC56">
        <v>626</v>
      </c>
      <c r="BD56" t="s">
        <v>74</v>
      </c>
      <c r="BE56" t="s">
        <v>1240</v>
      </c>
      <c r="BF56" t="str">
        <f>HYPERLINK("http://dx.doi.org/10.1016/j.marpolbul.2016.09.037","http://dx.doi.org/10.1016/j.marpolbul.2016.09.037")</f>
        <v>http://dx.doi.org/10.1016/j.marpolbul.2016.09.037</v>
      </c>
      <c r="BG56" t="s">
        <v>74</v>
      </c>
      <c r="BH56" t="s">
        <v>74</v>
      </c>
      <c r="BI56">
        <v>4</v>
      </c>
      <c r="BJ56" t="s">
        <v>1123</v>
      </c>
      <c r="BK56" t="s">
        <v>101</v>
      </c>
      <c r="BL56" t="s">
        <v>1124</v>
      </c>
      <c r="BM56" t="s">
        <v>1125</v>
      </c>
      <c r="BN56">
        <v>27686822</v>
      </c>
      <c r="BO56" t="s">
        <v>301</v>
      </c>
      <c r="BP56" t="s">
        <v>813</v>
      </c>
      <c r="BQ56" t="s">
        <v>814</v>
      </c>
      <c r="BR56" t="s">
        <v>105</v>
      </c>
      <c r="BS56" t="s">
        <v>1241</v>
      </c>
      <c r="BT56" t="str">
        <f>HYPERLINK("https%3A%2F%2Fwww.webofscience.com%2Fwos%2Fwoscc%2Ffull-record%2FWOS:000392768900078","View Full Record in Web of Science")</f>
        <v>View Full Record in Web of Science</v>
      </c>
    </row>
    <row r="57" spans="1:72" x14ac:dyDescent="0.15">
      <c r="A57" t="s">
        <v>72</v>
      </c>
      <c r="B57" t="s">
        <v>1242</v>
      </c>
      <c r="C57" t="s">
        <v>74</v>
      </c>
      <c r="D57" t="s">
        <v>74</v>
      </c>
      <c r="E57" t="s">
        <v>74</v>
      </c>
      <c r="F57" t="s">
        <v>1243</v>
      </c>
      <c r="G57" t="s">
        <v>74</v>
      </c>
      <c r="H57" t="s">
        <v>74</v>
      </c>
      <c r="I57" t="s">
        <v>1244</v>
      </c>
      <c r="J57" t="s">
        <v>1245</v>
      </c>
      <c r="K57" t="s">
        <v>74</v>
      </c>
      <c r="L57" t="s">
        <v>74</v>
      </c>
      <c r="M57" t="s">
        <v>78</v>
      </c>
      <c r="N57" t="s">
        <v>79</v>
      </c>
      <c r="O57" t="s">
        <v>74</v>
      </c>
      <c r="P57" t="s">
        <v>74</v>
      </c>
      <c r="Q57" t="s">
        <v>74</v>
      </c>
      <c r="R57" t="s">
        <v>74</v>
      </c>
      <c r="S57" t="s">
        <v>74</v>
      </c>
      <c r="T57" t="s">
        <v>1246</v>
      </c>
      <c r="U57" t="s">
        <v>1247</v>
      </c>
      <c r="V57" t="s">
        <v>1248</v>
      </c>
      <c r="W57" t="s">
        <v>1249</v>
      </c>
      <c r="X57" t="s">
        <v>1250</v>
      </c>
      <c r="Y57" t="s">
        <v>1251</v>
      </c>
      <c r="Z57" t="s">
        <v>1252</v>
      </c>
      <c r="AA57" t="s">
        <v>1253</v>
      </c>
      <c r="AB57" t="s">
        <v>1254</v>
      </c>
      <c r="AC57" t="s">
        <v>1255</v>
      </c>
      <c r="AD57" t="s">
        <v>1256</v>
      </c>
      <c r="AE57" t="s">
        <v>1257</v>
      </c>
      <c r="AF57" t="s">
        <v>74</v>
      </c>
      <c r="AG57">
        <v>87</v>
      </c>
      <c r="AH57">
        <v>17</v>
      </c>
      <c r="AI57">
        <v>17</v>
      </c>
      <c r="AJ57">
        <v>0</v>
      </c>
      <c r="AK57">
        <v>76</v>
      </c>
      <c r="AL57" t="s">
        <v>291</v>
      </c>
      <c r="AM57" t="s">
        <v>292</v>
      </c>
      <c r="AN57" t="s">
        <v>293</v>
      </c>
      <c r="AO57" t="s">
        <v>1258</v>
      </c>
      <c r="AP57" t="s">
        <v>74</v>
      </c>
      <c r="AQ57" t="s">
        <v>74</v>
      </c>
      <c r="AR57" t="s">
        <v>1259</v>
      </c>
      <c r="AS57" t="s">
        <v>1260</v>
      </c>
      <c r="AT57" t="s">
        <v>1122</v>
      </c>
      <c r="AU57">
        <v>2017</v>
      </c>
      <c r="AV57">
        <v>171</v>
      </c>
      <c r="AW57" t="s">
        <v>74</v>
      </c>
      <c r="AX57" t="s">
        <v>74</v>
      </c>
      <c r="AY57" t="s">
        <v>74</v>
      </c>
      <c r="AZ57" t="s">
        <v>74</v>
      </c>
      <c r="BA57" t="s">
        <v>74</v>
      </c>
      <c r="BB57">
        <v>40</v>
      </c>
      <c r="BC57">
        <v>51</v>
      </c>
      <c r="BD57" t="s">
        <v>74</v>
      </c>
      <c r="BE57" t="s">
        <v>1261</v>
      </c>
      <c r="BF57" t="str">
        <f>HYPERLINK("http://dx.doi.org/10.1016/j.saa.2016.07.035","http://dx.doi.org/10.1016/j.saa.2016.07.035")</f>
        <v>http://dx.doi.org/10.1016/j.saa.2016.07.035</v>
      </c>
      <c r="BG57" t="s">
        <v>74</v>
      </c>
      <c r="BH57" t="s">
        <v>74</v>
      </c>
      <c r="BI57">
        <v>12</v>
      </c>
      <c r="BJ57" t="s">
        <v>1262</v>
      </c>
      <c r="BK57" t="s">
        <v>101</v>
      </c>
      <c r="BL57" t="s">
        <v>1262</v>
      </c>
      <c r="BM57" t="s">
        <v>1263</v>
      </c>
      <c r="BN57">
        <v>27472170</v>
      </c>
      <c r="BO57" t="s">
        <v>74</v>
      </c>
      <c r="BP57" t="s">
        <v>74</v>
      </c>
      <c r="BQ57" t="s">
        <v>74</v>
      </c>
      <c r="BR57" t="s">
        <v>105</v>
      </c>
      <c r="BS57" t="s">
        <v>1264</v>
      </c>
      <c r="BT57" t="str">
        <f>HYPERLINK("https%3A%2F%2Fwww.webofscience.com%2Fwos%2Fwoscc%2Ffull-record%2FWOS:000385601300006","View Full Record in Web of Science")</f>
        <v>View Full Record in Web of Science</v>
      </c>
    </row>
    <row r="58" spans="1:72" x14ac:dyDescent="0.15">
      <c r="A58" t="s">
        <v>72</v>
      </c>
      <c r="B58" t="s">
        <v>1265</v>
      </c>
      <c r="C58" t="s">
        <v>74</v>
      </c>
      <c r="D58" t="s">
        <v>74</v>
      </c>
      <c r="E58" t="s">
        <v>74</v>
      </c>
      <c r="F58" t="s">
        <v>1266</v>
      </c>
      <c r="G58" t="s">
        <v>74</v>
      </c>
      <c r="H58" t="s">
        <v>74</v>
      </c>
      <c r="I58" t="s">
        <v>1267</v>
      </c>
      <c r="J58" t="s">
        <v>1008</v>
      </c>
      <c r="K58" t="s">
        <v>74</v>
      </c>
      <c r="L58" t="s">
        <v>74</v>
      </c>
      <c r="M58" t="s">
        <v>78</v>
      </c>
      <c r="N58" t="s">
        <v>79</v>
      </c>
      <c r="O58" t="s">
        <v>74</v>
      </c>
      <c r="P58" t="s">
        <v>74</v>
      </c>
      <c r="Q58" t="s">
        <v>74</v>
      </c>
      <c r="R58" t="s">
        <v>74</v>
      </c>
      <c r="S58" t="s">
        <v>74</v>
      </c>
      <c r="T58" t="s">
        <v>74</v>
      </c>
      <c r="U58" t="s">
        <v>1268</v>
      </c>
      <c r="V58" t="s">
        <v>1269</v>
      </c>
      <c r="W58" t="s">
        <v>1270</v>
      </c>
      <c r="X58" t="s">
        <v>1271</v>
      </c>
      <c r="Y58" t="s">
        <v>1272</v>
      </c>
      <c r="Z58" t="s">
        <v>1273</v>
      </c>
      <c r="AA58" t="s">
        <v>1274</v>
      </c>
      <c r="AB58" t="s">
        <v>1275</v>
      </c>
      <c r="AC58" t="s">
        <v>1276</v>
      </c>
      <c r="AD58" t="s">
        <v>1276</v>
      </c>
      <c r="AE58" t="s">
        <v>1277</v>
      </c>
      <c r="AF58" t="s">
        <v>74</v>
      </c>
      <c r="AG58">
        <v>36</v>
      </c>
      <c r="AH58">
        <v>13</v>
      </c>
      <c r="AI58">
        <v>17</v>
      </c>
      <c r="AJ58">
        <v>1</v>
      </c>
      <c r="AK58">
        <v>22</v>
      </c>
      <c r="AL58" t="s">
        <v>1021</v>
      </c>
      <c r="AM58" t="s">
        <v>93</v>
      </c>
      <c r="AN58" t="s">
        <v>1022</v>
      </c>
      <c r="AO58" t="s">
        <v>1023</v>
      </c>
      <c r="AP58" t="s">
        <v>74</v>
      </c>
      <c r="AQ58" t="s">
        <v>74</v>
      </c>
      <c r="AR58" t="s">
        <v>1008</v>
      </c>
      <c r="AS58" t="s">
        <v>1024</v>
      </c>
      <c r="AT58" t="s">
        <v>1278</v>
      </c>
      <c r="AU58">
        <v>2017</v>
      </c>
      <c r="AV58">
        <v>18</v>
      </c>
      <c r="AW58" t="s">
        <v>74</v>
      </c>
      <c r="AX58" t="s">
        <v>74</v>
      </c>
      <c r="AY58" t="s">
        <v>74</v>
      </c>
      <c r="AZ58" t="s">
        <v>74</v>
      </c>
      <c r="BA58" t="s">
        <v>74</v>
      </c>
      <c r="BB58" t="s">
        <v>74</v>
      </c>
      <c r="BC58" t="s">
        <v>74</v>
      </c>
      <c r="BD58">
        <v>76</v>
      </c>
      <c r="BE58" t="s">
        <v>1279</v>
      </c>
      <c r="BF58" t="str">
        <f>HYPERLINK("http://dx.doi.org/10.1186/s12864-016-3416-5","http://dx.doi.org/10.1186/s12864-016-3416-5")</f>
        <v>http://dx.doi.org/10.1186/s12864-016-3416-5</v>
      </c>
      <c r="BG58" t="s">
        <v>74</v>
      </c>
      <c r="BH58" t="s">
        <v>74</v>
      </c>
      <c r="BI58">
        <v>11</v>
      </c>
      <c r="BJ58" t="s">
        <v>1027</v>
      </c>
      <c r="BK58" t="s">
        <v>101</v>
      </c>
      <c r="BL58" t="s">
        <v>1027</v>
      </c>
      <c r="BM58" t="s">
        <v>1280</v>
      </c>
      <c r="BN58">
        <v>28086785</v>
      </c>
      <c r="BO58" t="s">
        <v>1003</v>
      </c>
      <c r="BP58" t="s">
        <v>74</v>
      </c>
      <c r="BQ58" t="s">
        <v>74</v>
      </c>
      <c r="BR58" t="s">
        <v>105</v>
      </c>
      <c r="BS58" t="s">
        <v>1281</v>
      </c>
      <c r="BT58" t="str">
        <f>HYPERLINK("https%3A%2F%2Fwww.webofscience.com%2Fwos%2Fwoscc%2Ffull-record%2FWOS:000394378800003","View Full Record in Web of Science")</f>
        <v>View Full Record in Web of Science</v>
      </c>
    </row>
    <row r="59" spans="1:72" x14ac:dyDescent="0.15">
      <c r="A59" t="s">
        <v>72</v>
      </c>
      <c r="B59" t="s">
        <v>1282</v>
      </c>
      <c r="C59" t="s">
        <v>74</v>
      </c>
      <c r="D59" t="s">
        <v>74</v>
      </c>
      <c r="E59" t="s">
        <v>74</v>
      </c>
      <c r="F59" t="s">
        <v>1283</v>
      </c>
      <c r="G59" t="s">
        <v>74</v>
      </c>
      <c r="H59" t="s">
        <v>74</v>
      </c>
      <c r="I59" t="s">
        <v>1284</v>
      </c>
      <c r="J59" t="s">
        <v>964</v>
      </c>
      <c r="K59" t="s">
        <v>74</v>
      </c>
      <c r="L59" t="s">
        <v>74</v>
      </c>
      <c r="M59" t="s">
        <v>78</v>
      </c>
      <c r="N59" t="s">
        <v>79</v>
      </c>
      <c r="O59" t="s">
        <v>74</v>
      </c>
      <c r="P59" t="s">
        <v>74</v>
      </c>
      <c r="Q59" t="s">
        <v>74</v>
      </c>
      <c r="R59" t="s">
        <v>74</v>
      </c>
      <c r="S59" t="s">
        <v>74</v>
      </c>
      <c r="T59" t="s">
        <v>74</v>
      </c>
      <c r="U59" t="s">
        <v>1285</v>
      </c>
      <c r="V59" t="s">
        <v>1286</v>
      </c>
      <c r="W59" t="s">
        <v>1287</v>
      </c>
      <c r="X59" t="s">
        <v>1288</v>
      </c>
      <c r="Y59" t="s">
        <v>1289</v>
      </c>
      <c r="Z59" t="s">
        <v>1290</v>
      </c>
      <c r="AA59" t="s">
        <v>1291</v>
      </c>
      <c r="AB59" t="s">
        <v>1292</v>
      </c>
      <c r="AC59" t="s">
        <v>1293</v>
      </c>
      <c r="AD59" t="s">
        <v>1294</v>
      </c>
      <c r="AE59" t="s">
        <v>1295</v>
      </c>
      <c r="AF59" t="s">
        <v>74</v>
      </c>
      <c r="AG59">
        <v>76</v>
      </c>
      <c r="AH59">
        <v>15</v>
      </c>
      <c r="AI59">
        <v>16</v>
      </c>
      <c r="AJ59">
        <v>5</v>
      </c>
      <c r="AK59">
        <v>43</v>
      </c>
      <c r="AL59" t="s">
        <v>608</v>
      </c>
      <c r="AM59" t="s">
        <v>609</v>
      </c>
      <c r="AN59" t="s">
        <v>610</v>
      </c>
      <c r="AO59" t="s">
        <v>975</v>
      </c>
      <c r="AP59" t="s">
        <v>976</v>
      </c>
      <c r="AQ59" t="s">
        <v>74</v>
      </c>
      <c r="AR59" t="s">
        <v>977</v>
      </c>
      <c r="AS59" t="s">
        <v>978</v>
      </c>
      <c r="AT59" t="s">
        <v>1278</v>
      </c>
      <c r="AU59">
        <v>2017</v>
      </c>
      <c r="AV59">
        <v>17</v>
      </c>
      <c r="AW59">
        <v>1</v>
      </c>
      <c r="AX59" t="s">
        <v>74</v>
      </c>
      <c r="AY59" t="s">
        <v>74</v>
      </c>
      <c r="AZ59" t="s">
        <v>74</v>
      </c>
      <c r="BA59" t="s">
        <v>74</v>
      </c>
      <c r="BB59">
        <v>627</v>
      </c>
      <c r="BC59">
        <v>643</v>
      </c>
      <c r="BD59" t="s">
        <v>74</v>
      </c>
      <c r="BE59" t="s">
        <v>1296</v>
      </c>
      <c r="BF59" t="str">
        <f>HYPERLINK("http://dx.doi.org/10.5194/acp-17-627-2017","http://dx.doi.org/10.5194/acp-17-627-2017")</f>
        <v>http://dx.doi.org/10.5194/acp-17-627-2017</v>
      </c>
      <c r="BG59" t="s">
        <v>74</v>
      </c>
      <c r="BH59" t="s">
        <v>74</v>
      </c>
      <c r="BI59">
        <v>17</v>
      </c>
      <c r="BJ59" t="s">
        <v>981</v>
      </c>
      <c r="BK59" t="s">
        <v>101</v>
      </c>
      <c r="BL59" t="s">
        <v>982</v>
      </c>
      <c r="BM59" t="s">
        <v>1297</v>
      </c>
      <c r="BN59" t="s">
        <v>74</v>
      </c>
      <c r="BO59" t="s">
        <v>1298</v>
      </c>
      <c r="BP59" t="s">
        <v>74</v>
      </c>
      <c r="BQ59" t="s">
        <v>74</v>
      </c>
      <c r="BR59" t="s">
        <v>105</v>
      </c>
      <c r="BS59" t="s">
        <v>1299</v>
      </c>
      <c r="BT59" t="str">
        <f>HYPERLINK("https%3A%2F%2Fwww.webofscience.com%2Fwos%2Fwoscc%2Ffull-record%2FWOS:000393892700001","View Full Record in Web of Science")</f>
        <v>View Full Record in Web of Science</v>
      </c>
    </row>
    <row r="60" spans="1:72" x14ac:dyDescent="0.15">
      <c r="A60" t="s">
        <v>72</v>
      </c>
      <c r="B60" t="s">
        <v>1300</v>
      </c>
      <c r="C60" t="s">
        <v>74</v>
      </c>
      <c r="D60" t="s">
        <v>74</v>
      </c>
      <c r="E60" t="s">
        <v>74</v>
      </c>
      <c r="F60" t="s">
        <v>1301</v>
      </c>
      <c r="G60" t="s">
        <v>74</v>
      </c>
      <c r="H60" t="s">
        <v>74</v>
      </c>
      <c r="I60" t="s">
        <v>1302</v>
      </c>
      <c r="J60" t="s">
        <v>964</v>
      </c>
      <c r="K60" t="s">
        <v>74</v>
      </c>
      <c r="L60" t="s">
        <v>74</v>
      </c>
      <c r="M60" t="s">
        <v>78</v>
      </c>
      <c r="N60" t="s">
        <v>79</v>
      </c>
      <c r="O60" t="s">
        <v>74</v>
      </c>
      <c r="P60" t="s">
        <v>74</v>
      </c>
      <c r="Q60" t="s">
        <v>74</v>
      </c>
      <c r="R60" t="s">
        <v>74</v>
      </c>
      <c r="S60" t="s">
        <v>74</v>
      </c>
      <c r="T60" t="s">
        <v>74</v>
      </c>
      <c r="U60" t="s">
        <v>1303</v>
      </c>
      <c r="V60" t="s">
        <v>1304</v>
      </c>
      <c r="W60" t="s">
        <v>1305</v>
      </c>
      <c r="X60" t="s">
        <v>1306</v>
      </c>
      <c r="Y60" t="s">
        <v>1307</v>
      </c>
      <c r="Z60" t="s">
        <v>1308</v>
      </c>
      <c r="AA60" t="s">
        <v>74</v>
      </c>
      <c r="AB60" t="s">
        <v>1309</v>
      </c>
      <c r="AC60" t="s">
        <v>1310</v>
      </c>
      <c r="AD60" t="s">
        <v>1311</v>
      </c>
      <c r="AE60" t="s">
        <v>1312</v>
      </c>
      <c r="AF60" t="s">
        <v>74</v>
      </c>
      <c r="AG60">
        <v>45</v>
      </c>
      <c r="AH60">
        <v>20</v>
      </c>
      <c r="AI60">
        <v>20</v>
      </c>
      <c r="AJ60">
        <v>0</v>
      </c>
      <c r="AK60">
        <v>6</v>
      </c>
      <c r="AL60" t="s">
        <v>608</v>
      </c>
      <c r="AM60" t="s">
        <v>609</v>
      </c>
      <c r="AN60" t="s">
        <v>610</v>
      </c>
      <c r="AO60" t="s">
        <v>975</v>
      </c>
      <c r="AP60" t="s">
        <v>976</v>
      </c>
      <c r="AQ60" t="s">
        <v>74</v>
      </c>
      <c r="AR60" t="s">
        <v>977</v>
      </c>
      <c r="AS60" t="s">
        <v>978</v>
      </c>
      <c r="AT60" t="s">
        <v>1278</v>
      </c>
      <c r="AU60">
        <v>2017</v>
      </c>
      <c r="AV60">
        <v>17</v>
      </c>
      <c r="AW60">
        <v>1</v>
      </c>
      <c r="AX60" t="s">
        <v>74</v>
      </c>
      <c r="AY60" t="s">
        <v>74</v>
      </c>
      <c r="AZ60" t="s">
        <v>74</v>
      </c>
      <c r="BA60" t="s">
        <v>74</v>
      </c>
      <c r="BB60">
        <v>691</v>
      </c>
      <c r="BC60">
        <v>704</v>
      </c>
      <c r="BD60" t="s">
        <v>74</v>
      </c>
      <c r="BE60" t="s">
        <v>1313</v>
      </c>
      <c r="BF60" t="str">
        <f>HYPERLINK("http://dx.doi.org/10.5194/acp-17-691-2017","http://dx.doi.org/10.5194/acp-17-691-2017")</f>
        <v>http://dx.doi.org/10.5194/acp-17-691-2017</v>
      </c>
      <c r="BG60" t="s">
        <v>74</v>
      </c>
      <c r="BH60" t="s">
        <v>74</v>
      </c>
      <c r="BI60">
        <v>14</v>
      </c>
      <c r="BJ60" t="s">
        <v>981</v>
      </c>
      <c r="BK60" t="s">
        <v>101</v>
      </c>
      <c r="BL60" t="s">
        <v>982</v>
      </c>
      <c r="BM60" t="s">
        <v>1297</v>
      </c>
      <c r="BN60" t="s">
        <v>74</v>
      </c>
      <c r="BO60" t="s">
        <v>892</v>
      </c>
      <c r="BP60" t="s">
        <v>74</v>
      </c>
      <c r="BQ60" t="s">
        <v>74</v>
      </c>
      <c r="BR60" t="s">
        <v>105</v>
      </c>
      <c r="BS60" t="s">
        <v>1314</v>
      </c>
      <c r="BT60" t="str">
        <f>HYPERLINK("https%3A%2F%2Fwww.webofscience.com%2Fwos%2Fwoscc%2Ffull-record%2FWOS:000393892700004","View Full Record in Web of Science")</f>
        <v>View Full Record in Web of Science</v>
      </c>
    </row>
    <row r="61" spans="1:72" x14ac:dyDescent="0.15">
      <c r="A61" t="s">
        <v>72</v>
      </c>
      <c r="B61" t="s">
        <v>1315</v>
      </c>
      <c r="C61" t="s">
        <v>74</v>
      </c>
      <c r="D61" t="s">
        <v>74</v>
      </c>
      <c r="E61" t="s">
        <v>74</v>
      </c>
      <c r="F61" t="s">
        <v>1316</v>
      </c>
      <c r="G61" t="s">
        <v>74</v>
      </c>
      <c r="H61" t="s">
        <v>74</v>
      </c>
      <c r="I61" t="s">
        <v>1317</v>
      </c>
      <c r="J61" t="s">
        <v>1318</v>
      </c>
      <c r="K61" t="s">
        <v>74</v>
      </c>
      <c r="L61" t="s">
        <v>74</v>
      </c>
      <c r="M61" t="s">
        <v>78</v>
      </c>
      <c r="N61" t="s">
        <v>79</v>
      </c>
      <c r="O61" t="s">
        <v>74</v>
      </c>
      <c r="P61" t="s">
        <v>74</v>
      </c>
      <c r="Q61" t="s">
        <v>74</v>
      </c>
      <c r="R61" t="s">
        <v>74</v>
      </c>
      <c r="S61" t="s">
        <v>74</v>
      </c>
      <c r="T61" t="s">
        <v>74</v>
      </c>
      <c r="U61" t="s">
        <v>1319</v>
      </c>
      <c r="V61" t="s">
        <v>1320</v>
      </c>
      <c r="W61" t="s">
        <v>1321</v>
      </c>
      <c r="X61" t="s">
        <v>1322</v>
      </c>
      <c r="Y61" t="s">
        <v>1323</v>
      </c>
      <c r="Z61" t="s">
        <v>1324</v>
      </c>
      <c r="AA61" t="s">
        <v>1325</v>
      </c>
      <c r="AB61" t="s">
        <v>1326</v>
      </c>
      <c r="AC61" t="s">
        <v>1327</v>
      </c>
      <c r="AD61" t="s">
        <v>1327</v>
      </c>
      <c r="AE61" t="s">
        <v>1328</v>
      </c>
      <c r="AF61" t="s">
        <v>74</v>
      </c>
      <c r="AG61">
        <v>71</v>
      </c>
      <c r="AH61">
        <v>12</v>
      </c>
      <c r="AI61">
        <v>12</v>
      </c>
      <c r="AJ61">
        <v>1</v>
      </c>
      <c r="AK61">
        <v>15</v>
      </c>
      <c r="AL61" t="s">
        <v>608</v>
      </c>
      <c r="AM61" t="s">
        <v>609</v>
      </c>
      <c r="AN61" t="s">
        <v>610</v>
      </c>
      <c r="AO61" t="s">
        <v>1329</v>
      </c>
      <c r="AP61" t="s">
        <v>1330</v>
      </c>
      <c r="AQ61" t="s">
        <v>74</v>
      </c>
      <c r="AR61" t="s">
        <v>1318</v>
      </c>
      <c r="AS61" t="s">
        <v>1331</v>
      </c>
      <c r="AT61" t="s">
        <v>1278</v>
      </c>
      <c r="AU61">
        <v>2017</v>
      </c>
      <c r="AV61">
        <v>14</v>
      </c>
      <c r="AW61">
        <v>1</v>
      </c>
      <c r="AX61" t="s">
        <v>74</v>
      </c>
      <c r="AY61" t="s">
        <v>74</v>
      </c>
      <c r="AZ61" t="s">
        <v>74</v>
      </c>
      <c r="BA61" t="s">
        <v>74</v>
      </c>
      <c r="BB61">
        <v>203</v>
      </c>
      <c r="BC61">
        <v>214</v>
      </c>
      <c r="BD61" t="s">
        <v>74</v>
      </c>
      <c r="BE61" t="s">
        <v>1332</v>
      </c>
      <c r="BF61" t="str">
        <f>HYPERLINK("http://dx.doi.org/10.5194/bg-14-203-2017","http://dx.doi.org/10.5194/bg-14-203-2017")</f>
        <v>http://dx.doi.org/10.5194/bg-14-203-2017</v>
      </c>
      <c r="BG61" t="s">
        <v>74</v>
      </c>
      <c r="BH61" t="s">
        <v>74</v>
      </c>
      <c r="BI61">
        <v>12</v>
      </c>
      <c r="BJ61" t="s">
        <v>1333</v>
      </c>
      <c r="BK61" t="s">
        <v>101</v>
      </c>
      <c r="BL61" t="s">
        <v>1334</v>
      </c>
      <c r="BM61" t="s">
        <v>1335</v>
      </c>
      <c r="BN61" t="s">
        <v>74</v>
      </c>
      <c r="BO61" t="s">
        <v>725</v>
      </c>
      <c r="BP61" t="s">
        <v>74</v>
      </c>
      <c r="BQ61" t="s">
        <v>74</v>
      </c>
      <c r="BR61" t="s">
        <v>105</v>
      </c>
      <c r="BS61" t="s">
        <v>1336</v>
      </c>
      <c r="BT61" t="str">
        <f>HYPERLINK("https%3A%2F%2Fwww.webofscience.com%2Fwos%2Fwoscc%2Ffull-record%2FWOS:000393893800001","View Full Record in Web of Science")</f>
        <v>View Full Record in Web of Science</v>
      </c>
    </row>
    <row r="62" spans="1:72" x14ac:dyDescent="0.15">
      <c r="A62" t="s">
        <v>72</v>
      </c>
      <c r="B62" t="s">
        <v>1337</v>
      </c>
      <c r="C62" t="s">
        <v>74</v>
      </c>
      <c r="D62" t="s">
        <v>74</v>
      </c>
      <c r="E62" t="s">
        <v>74</v>
      </c>
      <c r="F62" t="s">
        <v>1338</v>
      </c>
      <c r="G62" t="s">
        <v>74</v>
      </c>
      <c r="H62" t="s">
        <v>74</v>
      </c>
      <c r="I62" t="s">
        <v>1339</v>
      </c>
      <c r="J62" t="s">
        <v>769</v>
      </c>
      <c r="K62" t="s">
        <v>74</v>
      </c>
      <c r="L62" t="s">
        <v>74</v>
      </c>
      <c r="M62" t="s">
        <v>78</v>
      </c>
      <c r="N62" t="s">
        <v>79</v>
      </c>
      <c r="O62" t="s">
        <v>74</v>
      </c>
      <c r="P62" t="s">
        <v>74</v>
      </c>
      <c r="Q62" t="s">
        <v>74</v>
      </c>
      <c r="R62" t="s">
        <v>74</v>
      </c>
      <c r="S62" t="s">
        <v>74</v>
      </c>
      <c r="T62" t="s">
        <v>74</v>
      </c>
      <c r="U62" t="s">
        <v>1340</v>
      </c>
      <c r="V62" t="s">
        <v>1341</v>
      </c>
      <c r="W62" t="s">
        <v>1342</v>
      </c>
      <c r="X62" t="s">
        <v>1343</v>
      </c>
      <c r="Y62" t="s">
        <v>1344</v>
      </c>
      <c r="Z62" t="s">
        <v>1345</v>
      </c>
      <c r="AA62" t="s">
        <v>1346</v>
      </c>
      <c r="AB62" t="s">
        <v>1347</v>
      </c>
      <c r="AC62" t="s">
        <v>74</v>
      </c>
      <c r="AD62" t="s">
        <v>74</v>
      </c>
      <c r="AE62" t="s">
        <v>74</v>
      </c>
      <c r="AF62" t="s">
        <v>74</v>
      </c>
      <c r="AG62">
        <v>68</v>
      </c>
      <c r="AH62">
        <v>73</v>
      </c>
      <c r="AI62">
        <v>80</v>
      </c>
      <c r="AJ62">
        <v>2</v>
      </c>
      <c r="AK62">
        <v>48</v>
      </c>
      <c r="AL62" t="s">
        <v>781</v>
      </c>
      <c r="AM62" t="s">
        <v>782</v>
      </c>
      <c r="AN62" t="s">
        <v>783</v>
      </c>
      <c r="AO62" t="s">
        <v>784</v>
      </c>
      <c r="AP62" t="s">
        <v>74</v>
      </c>
      <c r="AQ62" t="s">
        <v>74</v>
      </c>
      <c r="AR62" t="s">
        <v>769</v>
      </c>
      <c r="AS62" t="s">
        <v>785</v>
      </c>
      <c r="AT62" t="s">
        <v>1278</v>
      </c>
      <c r="AU62">
        <v>2017</v>
      </c>
      <c r="AV62">
        <v>12</v>
      </c>
      <c r="AW62">
        <v>1</v>
      </c>
      <c r="AX62" t="s">
        <v>74</v>
      </c>
      <c r="AY62" t="s">
        <v>74</v>
      </c>
      <c r="AZ62" t="s">
        <v>74</v>
      </c>
      <c r="BA62" t="s">
        <v>74</v>
      </c>
      <c r="BB62" t="s">
        <v>74</v>
      </c>
      <c r="BC62" t="s">
        <v>74</v>
      </c>
      <c r="BD62" t="s">
        <v>1348</v>
      </c>
      <c r="BE62" t="s">
        <v>1349</v>
      </c>
      <c r="BF62" t="str">
        <f>HYPERLINK("http://dx.doi.org/10.1371/journal.pone.0170132","http://dx.doi.org/10.1371/journal.pone.0170132")</f>
        <v>http://dx.doi.org/10.1371/journal.pone.0170132</v>
      </c>
      <c r="BG62" t="s">
        <v>74</v>
      </c>
      <c r="BH62" t="s">
        <v>74</v>
      </c>
      <c r="BI62">
        <v>24</v>
      </c>
      <c r="BJ62" t="s">
        <v>100</v>
      </c>
      <c r="BK62" t="s">
        <v>101</v>
      </c>
      <c r="BL62" t="s">
        <v>102</v>
      </c>
      <c r="BM62" t="s">
        <v>1350</v>
      </c>
      <c r="BN62">
        <v>28085943</v>
      </c>
      <c r="BO62" t="s">
        <v>1003</v>
      </c>
      <c r="BP62" t="s">
        <v>74</v>
      </c>
      <c r="BQ62" t="s">
        <v>74</v>
      </c>
      <c r="BR62" t="s">
        <v>105</v>
      </c>
      <c r="BS62" t="s">
        <v>1351</v>
      </c>
      <c r="BT62" t="str">
        <f>HYPERLINK("https%3A%2F%2Fwww.webofscience.com%2Fwos%2Fwoscc%2Ffull-record%2FWOS:000391972600066","View Full Record in Web of Science")</f>
        <v>View Full Record in Web of Science</v>
      </c>
    </row>
    <row r="63" spans="1:72" x14ac:dyDescent="0.15">
      <c r="A63" t="s">
        <v>72</v>
      </c>
      <c r="B63" t="s">
        <v>1352</v>
      </c>
      <c r="C63" t="s">
        <v>74</v>
      </c>
      <c r="D63" t="s">
        <v>74</v>
      </c>
      <c r="E63" t="s">
        <v>74</v>
      </c>
      <c r="F63" t="s">
        <v>1353</v>
      </c>
      <c r="G63" t="s">
        <v>74</v>
      </c>
      <c r="H63" t="s">
        <v>74</v>
      </c>
      <c r="I63" t="s">
        <v>1354</v>
      </c>
      <c r="J63" t="s">
        <v>769</v>
      </c>
      <c r="K63" t="s">
        <v>74</v>
      </c>
      <c r="L63" t="s">
        <v>74</v>
      </c>
      <c r="M63" t="s">
        <v>78</v>
      </c>
      <c r="N63" t="s">
        <v>79</v>
      </c>
      <c r="O63" t="s">
        <v>74</v>
      </c>
      <c r="P63" t="s">
        <v>74</v>
      </c>
      <c r="Q63" t="s">
        <v>74</v>
      </c>
      <c r="R63" t="s">
        <v>74</v>
      </c>
      <c r="S63" t="s">
        <v>74</v>
      </c>
      <c r="T63" t="s">
        <v>74</v>
      </c>
      <c r="U63" t="s">
        <v>1355</v>
      </c>
      <c r="V63" t="s">
        <v>1356</v>
      </c>
      <c r="W63" t="s">
        <v>1357</v>
      </c>
      <c r="X63" t="s">
        <v>1358</v>
      </c>
      <c r="Y63" t="s">
        <v>1359</v>
      </c>
      <c r="Z63" t="s">
        <v>1360</v>
      </c>
      <c r="AA63" t="s">
        <v>1361</v>
      </c>
      <c r="AB63" t="s">
        <v>1362</v>
      </c>
      <c r="AC63" t="s">
        <v>1363</v>
      </c>
      <c r="AD63" t="s">
        <v>1364</v>
      </c>
      <c r="AE63" t="s">
        <v>1365</v>
      </c>
      <c r="AF63" t="s">
        <v>74</v>
      </c>
      <c r="AG63">
        <v>49</v>
      </c>
      <c r="AH63">
        <v>62</v>
      </c>
      <c r="AI63">
        <v>67</v>
      </c>
      <c r="AJ63">
        <v>0</v>
      </c>
      <c r="AK63">
        <v>30</v>
      </c>
      <c r="AL63" t="s">
        <v>781</v>
      </c>
      <c r="AM63" t="s">
        <v>782</v>
      </c>
      <c r="AN63" t="s">
        <v>783</v>
      </c>
      <c r="AO63" t="s">
        <v>784</v>
      </c>
      <c r="AP63" t="s">
        <v>74</v>
      </c>
      <c r="AQ63" t="s">
        <v>74</v>
      </c>
      <c r="AR63" t="s">
        <v>769</v>
      </c>
      <c r="AS63" t="s">
        <v>785</v>
      </c>
      <c r="AT63" t="s">
        <v>1278</v>
      </c>
      <c r="AU63">
        <v>2017</v>
      </c>
      <c r="AV63">
        <v>12</v>
      </c>
      <c r="AW63">
        <v>1</v>
      </c>
      <c r="AX63" t="s">
        <v>74</v>
      </c>
      <c r="AY63" t="s">
        <v>74</v>
      </c>
      <c r="AZ63" t="s">
        <v>74</v>
      </c>
      <c r="BA63" t="s">
        <v>74</v>
      </c>
      <c r="BB63" t="s">
        <v>74</v>
      </c>
      <c r="BC63" t="s">
        <v>74</v>
      </c>
      <c r="BD63" t="s">
        <v>1366</v>
      </c>
      <c r="BE63" t="s">
        <v>1367</v>
      </c>
      <c r="BF63" t="str">
        <f>HYPERLINK("http://dx.doi.org/10.1371/journal.pone.0168280","http://dx.doi.org/10.1371/journal.pone.0168280")</f>
        <v>http://dx.doi.org/10.1371/journal.pone.0168280</v>
      </c>
      <c r="BG63" t="s">
        <v>74</v>
      </c>
      <c r="BH63" t="s">
        <v>74</v>
      </c>
      <c r="BI63">
        <v>20</v>
      </c>
      <c r="BJ63" t="s">
        <v>100</v>
      </c>
      <c r="BK63" t="s">
        <v>101</v>
      </c>
      <c r="BL63" t="s">
        <v>102</v>
      </c>
      <c r="BM63" t="s">
        <v>1350</v>
      </c>
      <c r="BN63">
        <v>28085889</v>
      </c>
      <c r="BO63" t="s">
        <v>1368</v>
      </c>
      <c r="BP63" t="s">
        <v>74</v>
      </c>
      <c r="BQ63" t="s">
        <v>74</v>
      </c>
      <c r="BR63" t="s">
        <v>105</v>
      </c>
      <c r="BS63" t="s">
        <v>1369</v>
      </c>
      <c r="BT63" t="str">
        <f>HYPERLINK("https%3A%2F%2Fwww.webofscience.com%2Fwos%2Fwoscc%2Ffull-record%2FWOS:000391972600005","View Full Record in Web of Science")</f>
        <v>View Full Record in Web of Science</v>
      </c>
    </row>
    <row r="64" spans="1:72" x14ac:dyDescent="0.15">
      <c r="A64" t="s">
        <v>72</v>
      </c>
      <c r="B64" t="s">
        <v>1370</v>
      </c>
      <c r="C64" t="s">
        <v>74</v>
      </c>
      <c r="D64" t="s">
        <v>74</v>
      </c>
      <c r="E64" t="s">
        <v>74</v>
      </c>
      <c r="F64" t="s">
        <v>1371</v>
      </c>
      <c r="G64" t="s">
        <v>74</v>
      </c>
      <c r="H64" t="s">
        <v>74</v>
      </c>
      <c r="I64" t="s">
        <v>1372</v>
      </c>
      <c r="J64" t="s">
        <v>1373</v>
      </c>
      <c r="K64" t="s">
        <v>74</v>
      </c>
      <c r="L64" t="s">
        <v>74</v>
      </c>
      <c r="M64" t="s">
        <v>78</v>
      </c>
      <c r="N64" t="s">
        <v>79</v>
      </c>
      <c r="O64" t="s">
        <v>74</v>
      </c>
      <c r="P64" t="s">
        <v>74</v>
      </c>
      <c r="Q64" t="s">
        <v>74</v>
      </c>
      <c r="R64" t="s">
        <v>74</v>
      </c>
      <c r="S64" t="s">
        <v>74</v>
      </c>
      <c r="T64" t="s">
        <v>1374</v>
      </c>
      <c r="U64" t="s">
        <v>1375</v>
      </c>
      <c r="V64" t="s">
        <v>1376</v>
      </c>
      <c r="W64" t="s">
        <v>1377</v>
      </c>
      <c r="X64" t="s">
        <v>1378</v>
      </c>
      <c r="Y64" t="s">
        <v>1379</v>
      </c>
      <c r="Z64" t="s">
        <v>1380</v>
      </c>
      <c r="AA64" t="s">
        <v>1381</v>
      </c>
      <c r="AB64" t="s">
        <v>1382</v>
      </c>
      <c r="AC64" t="s">
        <v>1383</v>
      </c>
      <c r="AD64" t="s">
        <v>1384</v>
      </c>
      <c r="AE64" t="s">
        <v>1385</v>
      </c>
      <c r="AF64" t="s">
        <v>74</v>
      </c>
      <c r="AG64">
        <v>68</v>
      </c>
      <c r="AH64">
        <v>7</v>
      </c>
      <c r="AI64">
        <v>7</v>
      </c>
      <c r="AJ64">
        <v>0</v>
      </c>
      <c r="AK64">
        <v>17</v>
      </c>
      <c r="AL64" t="s">
        <v>1386</v>
      </c>
      <c r="AM64" t="s">
        <v>1387</v>
      </c>
      <c r="AN64" t="s">
        <v>1388</v>
      </c>
      <c r="AO64" t="s">
        <v>1389</v>
      </c>
      <c r="AP64" t="s">
        <v>1390</v>
      </c>
      <c r="AQ64" t="s">
        <v>74</v>
      </c>
      <c r="AR64" t="s">
        <v>1391</v>
      </c>
      <c r="AS64" t="s">
        <v>1392</v>
      </c>
      <c r="AT64" t="s">
        <v>1393</v>
      </c>
      <c r="AU64">
        <v>2017</v>
      </c>
      <c r="AV64">
        <v>23</v>
      </c>
      <c r="AW64">
        <v>3</v>
      </c>
      <c r="AX64" t="s">
        <v>74</v>
      </c>
      <c r="AY64" t="s">
        <v>74</v>
      </c>
      <c r="AZ64" t="s">
        <v>74</v>
      </c>
      <c r="BA64" t="s">
        <v>74</v>
      </c>
      <c r="BB64">
        <v>605</v>
      </c>
      <c r="BC64">
        <v>613</v>
      </c>
      <c r="BD64" t="s">
        <v>74</v>
      </c>
      <c r="BE64" t="s">
        <v>1394</v>
      </c>
      <c r="BF64" t="str">
        <f>HYPERLINK("http://dx.doi.org/10.1002/chem.201603421","http://dx.doi.org/10.1002/chem.201603421")</f>
        <v>http://dx.doi.org/10.1002/chem.201603421</v>
      </c>
      <c r="BG64" t="s">
        <v>74</v>
      </c>
      <c r="BH64" t="s">
        <v>74</v>
      </c>
      <c r="BI64">
        <v>9</v>
      </c>
      <c r="BJ64" t="s">
        <v>1395</v>
      </c>
      <c r="BK64" t="s">
        <v>101</v>
      </c>
      <c r="BL64" t="s">
        <v>1396</v>
      </c>
      <c r="BM64" t="s">
        <v>1397</v>
      </c>
      <c r="BN64">
        <v>27808442</v>
      </c>
      <c r="BO64" t="s">
        <v>74</v>
      </c>
      <c r="BP64" t="s">
        <v>74</v>
      </c>
      <c r="BQ64" t="s">
        <v>74</v>
      </c>
      <c r="BR64" t="s">
        <v>105</v>
      </c>
      <c r="BS64" t="s">
        <v>1398</v>
      </c>
      <c r="BT64" t="str">
        <f>HYPERLINK("https%3A%2F%2Fwww.webofscience.com%2Fwos%2Fwoscc%2Ffull-record%2FWOS:000393625600018","View Full Record in Web of Science")</f>
        <v>View Full Record in Web of Science</v>
      </c>
    </row>
    <row r="65" spans="1:72" x14ac:dyDescent="0.15">
      <c r="A65" t="s">
        <v>72</v>
      </c>
      <c r="B65" t="s">
        <v>1399</v>
      </c>
      <c r="C65" t="s">
        <v>74</v>
      </c>
      <c r="D65" t="s">
        <v>74</v>
      </c>
      <c r="E65" t="s">
        <v>74</v>
      </c>
      <c r="F65" t="s">
        <v>1400</v>
      </c>
      <c r="G65" t="s">
        <v>74</v>
      </c>
      <c r="H65" t="s">
        <v>74</v>
      </c>
      <c r="I65" t="s">
        <v>1401</v>
      </c>
      <c r="J65" t="s">
        <v>769</v>
      </c>
      <c r="K65" t="s">
        <v>74</v>
      </c>
      <c r="L65" t="s">
        <v>74</v>
      </c>
      <c r="M65" t="s">
        <v>78</v>
      </c>
      <c r="N65" t="s">
        <v>79</v>
      </c>
      <c r="O65" t="s">
        <v>74</v>
      </c>
      <c r="P65" t="s">
        <v>74</v>
      </c>
      <c r="Q65" t="s">
        <v>74</v>
      </c>
      <c r="R65" t="s">
        <v>74</v>
      </c>
      <c r="S65" t="s">
        <v>74</v>
      </c>
      <c r="T65" t="s">
        <v>74</v>
      </c>
      <c r="U65" t="s">
        <v>1402</v>
      </c>
      <c r="V65" t="s">
        <v>1403</v>
      </c>
      <c r="W65" t="s">
        <v>1404</v>
      </c>
      <c r="X65" t="s">
        <v>1405</v>
      </c>
      <c r="Y65" t="s">
        <v>1406</v>
      </c>
      <c r="Z65" t="s">
        <v>1407</v>
      </c>
      <c r="AA65" t="s">
        <v>1408</v>
      </c>
      <c r="AB65" t="s">
        <v>1409</v>
      </c>
      <c r="AC65" t="s">
        <v>1410</v>
      </c>
      <c r="AD65" t="s">
        <v>1411</v>
      </c>
      <c r="AE65" t="s">
        <v>1412</v>
      </c>
      <c r="AF65" t="s">
        <v>74</v>
      </c>
      <c r="AG65">
        <v>40</v>
      </c>
      <c r="AH65">
        <v>28</v>
      </c>
      <c r="AI65">
        <v>32</v>
      </c>
      <c r="AJ65">
        <v>0</v>
      </c>
      <c r="AK65">
        <v>33</v>
      </c>
      <c r="AL65" t="s">
        <v>781</v>
      </c>
      <c r="AM65" t="s">
        <v>782</v>
      </c>
      <c r="AN65" t="s">
        <v>783</v>
      </c>
      <c r="AO65" t="s">
        <v>784</v>
      </c>
      <c r="AP65" t="s">
        <v>74</v>
      </c>
      <c r="AQ65" t="s">
        <v>74</v>
      </c>
      <c r="AR65" t="s">
        <v>769</v>
      </c>
      <c r="AS65" t="s">
        <v>785</v>
      </c>
      <c r="AT65" t="s">
        <v>1393</v>
      </c>
      <c r="AU65">
        <v>2017</v>
      </c>
      <c r="AV65">
        <v>12</v>
      </c>
      <c r="AW65">
        <v>1</v>
      </c>
      <c r="AX65" t="s">
        <v>74</v>
      </c>
      <c r="AY65" t="s">
        <v>74</v>
      </c>
      <c r="AZ65" t="s">
        <v>74</v>
      </c>
      <c r="BA65" t="s">
        <v>74</v>
      </c>
      <c r="BB65" t="s">
        <v>74</v>
      </c>
      <c r="BC65" t="s">
        <v>74</v>
      </c>
      <c r="BD65" t="s">
        <v>1413</v>
      </c>
      <c r="BE65" t="s">
        <v>1414</v>
      </c>
      <c r="BF65" t="str">
        <f>HYPERLINK("http://dx.doi.org/10.1371/journal.pone.0170052","http://dx.doi.org/10.1371/journal.pone.0170052")</f>
        <v>http://dx.doi.org/10.1371/journal.pone.0170052</v>
      </c>
      <c r="BG65" t="s">
        <v>74</v>
      </c>
      <c r="BH65" t="s">
        <v>74</v>
      </c>
      <c r="BI65">
        <v>15</v>
      </c>
      <c r="BJ65" t="s">
        <v>100</v>
      </c>
      <c r="BK65" t="s">
        <v>101</v>
      </c>
      <c r="BL65" t="s">
        <v>102</v>
      </c>
      <c r="BM65" t="s">
        <v>1415</v>
      </c>
      <c r="BN65">
        <v>28081273</v>
      </c>
      <c r="BO65" t="s">
        <v>1003</v>
      </c>
      <c r="BP65" t="s">
        <v>74</v>
      </c>
      <c r="BQ65" t="s">
        <v>74</v>
      </c>
      <c r="BR65" t="s">
        <v>105</v>
      </c>
      <c r="BS65" t="s">
        <v>1416</v>
      </c>
      <c r="BT65" t="str">
        <f>HYPERLINK("https%3A%2F%2Fwww.webofscience.com%2Fwos%2Fwoscc%2Ffull-record%2FWOS:000391949500124","View Full Record in Web of Science")</f>
        <v>View Full Record in Web of Science</v>
      </c>
    </row>
    <row r="66" spans="1:72" x14ac:dyDescent="0.15">
      <c r="A66" t="s">
        <v>72</v>
      </c>
      <c r="B66" t="s">
        <v>1417</v>
      </c>
      <c r="C66" t="s">
        <v>74</v>
      </c>
      <c r="D66" t="s">
        <v>74</v>
      </c>
      <c r="E66" t="s">
        <v>74</v>
      </c>
      <c r="F66" t="s">
        <v>1418</v>
      </c>
      <c r="G66" t="s">
        <v>74</v>
      </c>
      <c r="H66" t="s">
        <v>74</v>
      </c>
      <c r="I66" t="s">
        <v>1419</v>
      </c>
      <c r="J66" t="s">
        <v>769</v>
      </c>
      <c r="K66" t="s">
        <v>74</v>
      </c>
      <c r="L66" t="s">
        <v>74</v>
      </c>
      <c r="M66" t="s">
        <v>78</v>
      </c>
      <c r="N66" t="s">
        <v>79</v>
      </c>
      <c r="O66" t="s">
        <v>74</v>
      </c>
      <c r="P66" t="s">
        <v>74</v>
      </c>
      <c r="Q66" t="s">
        <v>74</v>
      </c>
      <c r="R66" t="s">
        <v>74</v>
      </c>
      <c r="S66" t="s">
        <v>74</v>
      </c>
      <c r="T66" t="s">
        <v>74</v>
      </c>
      <c r="U66" t="s">
        <v>1420</v>
      </c>
      <c r="V66" t="s">
        <v>1421</v>
      </c>
      <c r="W66" t="s">
        <v>1422</v>
      </c>
      <c r="X66" t="s">
        <v>1423</v>
      </c>
      <c r="Y66" t="s">
        <v>1424</v>
      </c>
      <c r="Z66" t="s">
        <v>1425</v>
      </c>
      <c r="AA66" t="s">
        <v>1426</v>
      </c>
      <c r="AB66" t="s">
        <v>1427</v>
      </c>
      <c r="AC66" t="s">
        <v>1428</v>
      </c>
      <c r="AD66" t="s">
        <v>1429</v>
      </c>
      <c r="AE66" t="s">
        <v>1430</v>
      </c>
      <c r="AF66" t="s">
        <v>74</v>
      </c>
      <c r="AG66">
        <v>59</v>
      </c>
      <c r="AH66">
        <v>25</v>
      </c>
      <c r="AI66">
        <v>27</v>
      </c>
      <c r="AJ66">
        <v>0</v>
      </c>
      <c r="AK66">
        <v>27</v>
      </c>
      <c r="AL66" t="s">
        <v>781</v>
      </c>
      <c r="AM66" t="s">
        <v>782</v>
      </c>
      <c r="AN66" t="s">
        <v>783</v>
      </c>
      <c r="AO66" t="s">
        <v>784</v>
      </c>
      <c r="AP66" t="s">
        <v>74</v>
      </c>
      <c r="AQ66" t="s">
        <v>74</v>
      </c>
      <c r="AR66" t="s">
        <v>769</v>
      </c>
      <c r="AS66" t="s">
        <v>785</v>
      </c>
      <c r="AT66" t="s">
        <v>1393</v>
      </c>
      <c r="AU66">
        <v>2017</v>
      </c>
      <c r="AV66">
        <v>12</v>
      </c>
      <c r="AW66">
        <v>1</v>
      </c>
      <c r="AX66" t="s">
        <v>74</v>
      </c>
      <c r="AY66" t="s">
        <v>74</v>
      </c>
      <c r="AZ66" t="s">
        <v>74</v>
      </c>
      <c r="BA66" t="s">
        <v>74</v>
      </c>
      <c r="BB66" t="s">
        <v>74</v>
      </c>
      <c r="BC66" t="s">
        <v>74</v>
      </c>
      <c r="BD66" t="s">
        <v>1431</v>
      </c>
      <c r="BE66" t="s">
        <v>1432</v>
      </c>
      <c r="BF66" t="str">
        <f>HYPERLINK("http://dx.doi.org/10.1371/journal.pone.0168646","http://dx.doi.org/10.1371/journal.pone.0168646")</f>
        <v>http://dx.doi.org/10.1371/journal.pone.0168646</v>
      </c>
      <c r="BG66" t="s">
        <v>74</v>
      </c>
      <c r="BH66" t="s">
        <v>74</v>
      </c>
      <c r="BI66">
        <v>16</v>
      </c>
      <c r="BJ66" t="s">
        <v>100</v>
      </c>
      <c r="BK66" t="s">
        <v>101</v>
      </c>
      <c r="BL66" t="s">
        <v>102</v>
      </c>
      <c r="BM66" t="s">
        <v>1415</v>
      </c>
      <c r="BN66">
        <v>28081160</v>
      </c>
      <c r="BO66" t="s">
        <v>1433</v>
      </c>
      <c r="BP66" t="s">
        <v>74</v>
      </c>
      <c r="BQ66" t="s">
        <v>74</v>
      </c>
      <c r="BR66" t="s">
        <v>105</v>
      </c>
      <c r="BS66" t="s">
        <v>1434</v>
      </c>
      <c r="BT66" t="str">
        <f>HYPERLINK("https%3A%2F%2Fwww.webofscience.com%2Fwos%2Fwoscc%2Ffull-record%2FWOS:000391949500015","View Full Record in Web of Science")</f>
        <v>View Full Record in Web of Science</v>
      </c>
    </row>
    <row r="67" spans="1:72" x14ac:dyDescent="0.15">
      <c r="A67" t="s">
        <v>72</v>
      </c>
      <c r="B67" t="s">
        <v>1435</v>
      </c>
      <c r="C67" t="s">
        <v>74</v>
      </c>
      <c r="D67" t="s">
        <v>74</v>
      </c>
      <c r="E67" t="s">
        <v>74</v>
      </c>
      <c r="F67" t="s">
        <v>1436</v>
      </c>
      <c r="G67" t="s">
        <v>74</v>
      </c>
      <c r="H67" t="s">
        <v>74</v>
      </c>
      <c r="I67" t="s">
        <v>1437</v>
      </c>
      <c r="J67" t="s">
        <v>623</v>
      </c>
      <c r="K67" t="s">
        <v>74</v>
      </c>
      <c r="L67" t="s">
        <v>74</v>
      </c>
      <c r="M67" t="s">
        <v>78</v>
      </c>
      <c r="N67" t="s">
        <v>79</v>
      </c>
      <c r="O67" t="s">
        <v>74</v>
      </c>
      <c r="P67" t="s">
        <v>74</v>
      </c>
      <c r="Q67" t="s">
        <v>74</v>
      </c>
      <c r="R67" t="s">
        <v>74</v>
      </c>
      <c r="S67" t="s">
        <v>74</v>
      </c>
      <c r="T67" t="s">
        <v>1438</v>
      </c>
      <c r="U67" t="s">
        <v>1439</v>
      </c>
      <c r="V67" t="s">
        <v>1440</v>
      </c>
      <c r="W67" t="s">
        <v>1441</v>
      </c>
      <c r="X67" t="s">
        <v>1442</v>
      </c>
      <c r="Y67" t="s">
        <v>1443</v>
      </c>
      <c r="Z67" t="s">
        <v>1444</v>
      </c>
      <c r="AA67" t="s">
        <v>74</v>
      </c>
      <c r="AB67" t="s">
        <v>74</v>
      </c>
      <c r="AC67" t="s">
        <v>1445</v>
      </c>
      <c r="AD67" t="s">
        <v>1446</v>
      </c>
      <c r="AE67" t="s">
        <v>1447</v>
      </c>
      <c r="AF67" t="s">
        <v>74</v>
      </c>
      <c r="AG67">
        <v>155</v>
      </c>
      <c r="AH67">
        <v>28</v>
      </c>
      <c r="AI67">
        <v>30</v>
      </c>
      <c r="AJ67">
        <v>2</v>
      </c>
      <c r="AK67">
        <v>17</v>
      </c>
      <c r="AL67" t="s">
        <v>636</v>
      </c>
      <c r="AM67" t="s">
        <v>637</v>
      </c>
      <c r="AN67" t="s">
        <v>638</v>
      </c>
      <c r="AO67" t="s">
        <v>639</v>
      </c>
      <c r="AP67" t="s">
        <v>640</v>
      </c>
      <c r="AQ67" t="s">
        <v>74</v>
      </c>
      <c r="AR67" t="s">
        <v>623</v>
      </c>
      <c r="AS67" t="s">
        <v>641</v>
      </c>
      <c r="AT67" t="s">
        <v>1393</v>
      </c>
      <c r="AU67">
        <v>2017</v>
      </c>
      <c r="AV67">
        <v>4218</v>
      </c>
      <c r="AW67">
        <v>1</v>
      </c>
      <c r="AX67" t="s">
        <v>74</v>
      </c>
      <c r="AY67" t="s">
        <v>74</v>
      </c>
      <c r="AZ67" t="s">
        <v>74</v>
      </c>
      <c r="BA67" t="s">
        <v>74</v>
      </c>
      <c r="BB67">
        <v>1</v>
      </c>
      <c r="BC67">
        <v>145</v>
      </c>
      <c r="BD67" t="s">
        <v>74</v>
      </c>
      <c r="BE67" t="s">
        <v>1448</v>
      </c>
      <c r="BF67" t="str">
        <f>HYPERLINK("http://dx.doi.org/10.11646/zootaxa.4218.1.1","http://dx.doi.org/10.11646/zootaxa.4218.1.1")</f>
        <v>http://dx.doi.org/10.11646/zootaxa.4218.1.1</v>
      </c>
      <c r="BG67" t="s">
        <v>74</v>
      </c>
      <c r="BH67" t="s">
        <v>74</v>
      </c>
      <c r="BI67">
        <v>145</v>
      </c>
      <c r="BJ67" t="s">
        <v>643</v>
      </c>
      <c r="BK67" t="s">
        <v>101</v>
      </c>
      <c r="BL67" t="s">
        <v>643</v>
      </c>
      <c r="BM67" t="s">
        <v>1449</v>
      </c>
      <c r="BN67">
        <v>28187682</v>
      </c>
      <c r="BO67" t="s">
        <v>672</v>
      </c>
      <c r="BP67" t="s">
        <v>74</v>
      </c>
      <c r="BQ67" t="s">
        <v>74</v>
      </c>
      <c r="BR67" t="s">
        <v>105</v>
      </c>
      <c r="BS67" t="s">
        <v>1450</v>
      </c>
      <c r="BT67" t="str">
        <f>HYPERLINK("https%3A%2F%2Fwww.webofscience.com%2Fwos%2Fwoscc%2Ffull-record%2FWOS:000391684500001","View Full Record in Web of Science")</f>
        <v>View Full Record in Web of Science</v>
      </c>
    </row>
    <row r="68" spans="1:72" x14ac:dyDescent="0.15">
      <c r="A68" t="s">
        <v>72</v>
      </c>
      <c r="B68" t="s">
        <v>1451</v>
      </c>
      <c r="C68" t="s">
        <v>74</v>
      </c>
      <c r="D68" t="s">
        <v>74</v>
      </c>
      <c r="E68" t="s">
        <v>74</v>
      </c>
      <c r="F68" t="s">
        <v>1452</v>
      </c>
      <c r="G68" t="s">
        <v>74</v>
      </c>
      <c r="H68" t="s">
        <v>74</v>
      </c>
      <c r="I68" t="s">
        <v>1453</v>
      </c>
      <c r="J68" t="s">
        <v>1454</v>
      </c>
      <c r="K68" t="s">
        <v>74</v>
      </c>
      <c r="L68" t="s">
        <v>74</v>
      </c>
      <c r="M68" t="s">
        <v>78</v>
      </c>
      <c r="N68" t="s">
        <v>79</v>
      </c>
      <c r="O68" t="s">
        <v>74</v>
      </c>
      <c r="P68" t="s">
        <v>74</v>
      </c>
      <c r="Q68" t="s">
        <v>74</v>
      </c>
      <c r="R68" t="s">
        <v>74</v>
      </c>
      <c r="S68" t="s">
        <v>74</v>
      </c>
      <c r="T68" t="s">
        <v>1455</v>
      </c>
      <c r="U68" t="s">
        <v>1456</v>
      </c>
      <c r="V68" t="s">
        <v>1457</v>
      </c>
      <c r="W68" t="s">
        <v>1458</v>
      </c>
      <c r="X68" t="s">
        <v>1459</v>
      </c>
      <c r="Y68" t="s">
        <v>1460</v>
      </c>
      <c r="Z68" t="s">
        <v>1461</v>
      </c>
      <c r="AA68" t="s">
        <v>74</v>
      </c>
      <c r="AB68" t="s">
        <v>1462</v>
      </c>
      <c r="AC68" t="s">
        <v>1463</v>
      </c>
      <c r="AD68" t="s">
        <v>1464</v>
      </c>
      <c r="AE68" t="s">
        <v>1465</v>
      </c>
      <c r="AF68" t="s">
        <v>74</v>
      </c>
      <c r="AG68">
        <v>47</v>
      </c>
      <c r="AH68">
        <v>29</v>
      </c>
      <c r="AI68">
        <v>30</v>
      </c>
      <c r="AJ68">
        <v>6</v>
      </c>
      <c r="AK68">
        <v>70</v>
      </c>
      <c r="AL68" t="s">
        <v>1466</v>
      </c>
      <c r="AM68" t="s">
        <v>142</v>
      </c>
      <c r="AN68" t="s">
        <v>1467</v>
      </c>
      <c r="AO68" t="s">
        <v>1468</v>
      </c>
      <c r="AP68" t="s">
        <v>1469</v>
      </c>
      <c r="AQ68" t="s">
        <v>74</v>
      </c>
      <c r="AR68" t="s">
        <v>1470</v>
      </c>
      <c r="AS68" t="s">
        <v>1471</v>
      </c>
      <c r="AT68" t="s">
        <v>1472</v>
      </c>
      <c r="AU68">
        <v>2017</v>
      </c>
      <c r="AV68">
        <v>65</v>
      </c>
      <c r="AW68">
        <v>1</v>
      </c>
      <c r="AX68" t="s">
        <v>74</v>
      </c>
      <c r="AY68" t="s">
        <v>74</v>
      </c>
      <c r="AZ68" t="s">
        <v>74</v>
      </c>
      <c r="BA68" t="s">
        <v>74</v>
      </c>
      <c r="BB68">
        <v>139</v>
      </c>
      <c r="BC68">
        <v>147</v>
      </c>
      <c r="BD68" t="s">
        <v>74</v>
      </c>
      <c r="BE68" t="s">
        <v>1473</v>
      </c>
      <c r="BF68" t="str">
        <f>HYPERLINK("http://dx.doi.org/10.1021/acs.jafc.6b03745","http://dx.doi.org/10.1021/acs.jafc.6b03745")</f>
        <v>http://dx.doi.org/10.1021/acs.jafc.6b03745</v>
      </c>
      <c r="BG68" t="s">
        <v>74</v>
      </c>
      <c r="BH68" t="s">
        <v>74</v>
      </c>
      <c r="BI68">
        <v>9</v>
      </c>
      <c r="BJ68" t="s">
        <v>1474</v>
      </c>
      <c r="BK68" t="s">
        <v>101</v>
      </c>
      <c r="BL68" t="s">
        <v>1475</v>
      </c>
      <c r="BM68" t="s">
        <v>1476</v>
      </c>
      <c r="BN68">
        <v>28005361</v>
      </c>
      <c r="BO68" t="s">
        <v>74</v>
      </c>
      <c r="BP68" t="s">
        <v>74</v>
      </c>
      <c r="BQ68" t="s">
        <v>74</v>
      </c>
      <c r="BR68" t="s">
        <v>105</v>
      </c>
      <c r="BS68" t="s">
        <v>1477</v>
      </c>
      <c r="BT68" t="str">
        <f>HYPERLINK("https%3A%2F%2Fwww.webofscience.com%2Fwos%2Fwoscc%2Ffull-record%2FWOS:000392037100018","View Full Record in Web of Science")</f>
        <v>View Full Record in Web of Science</v>
      </c>
    </row>
    <row r="69" spans="1:72" x14ac:dyDescent="0.15">
      <c r="A69" t="s">
        <v>72</v>
      </c>
      <c r="B69" t="s">
        <v>1478</v>
      </c>
      <c r="C69" t="s">
        <v>74</v>
      </c>
      <c r="D69" t="s">
        <v>74</v>
      </c>
      <c r="E69" t="s">
        <v>74</v>
      </c>
      <c r="F69" t="s">
        <v>1479</v>
      </c>
      <c r="G69" t="s">
        <v>74</v>
      </c>
      <c r="H69" t="s">
        <v>74</v>
      </c>
      <c r="I69" t="s">
        <v>1480</v>
      </c>
      <c r="J69" t="s">
        <v>769</v>
      </c>
      <c r="K69" t="s">
        <v>74</v>
      </c>
      <c r="L69" t="s">
        <v>74</v>
      </c>
      <c r="M69" t="s">
        <v>78</v>
      </c>
      <c r="N69" t="s">
        <v>79</v>
      </c>
      <c r="O69" t="s">
        <v>74</v>
      </c>
      <c r="P69" t="s">
        <v>74</v>
      </c>
      <c r="Q69" t="s">
        <v>74</v>
      </c>
      <c r="R69" t="s">
        <v>74</v>
      </c>
      <c r="S69" t="s">
        <v>74</v>
      </c>
      <c r="T69" t="s">
        <v>74</v>
      </c>
      <c r="U69" t="s">
        <v>1481</v>
      </c>
      <c r="V69" t="s">
        <v>1482</v>
      </c>
      <c r="W69" t="s">
        <v>1483</v>
      </c>
      <c r="X69" t="s">
        <v>1484</v>
      </c>
      <c r="Y69" t="s">
        <v>1485</v>
      </c>
      <c r="Z69" t="s">
        <v>1486</v>
      </c>
      <c r="AA69" t="s">
        <v>1487</v>
      </c>
      <c r="AB69" t="s">
        <v>1488</v>
      </c>
      <c r="AC69" t="s">
        <v>1489</v>
      </c>
      <c r="AD69" t="s">
        <v>1490</v>
      </c>
      <c r="AE69" t="s">
        <v>1491</v>
      </c>
      <c r="AF69" t="s">
        <v>74</v>
      </c>
      <c r="AG69">
        <v>62</v>
      </c>
      <c r="AH69">
        <v>35</v>
      </c>
      <c r="AI69">
        <v>36</v>
      </c>
      <c r="AJ69">
        <v>0</v>
      </c>
      <c r="AK69">
        <v>38</v>
      </c>
      <c r="AL69" t="s">
        <v>781</v>
      </c>
      <c r="AM69" t="s">
        <v>782</v>
      </c>
      <c r="AN69" t="s">
        <v>783</v>
      </c>
      <c r="AO69" t="s">
        <v>784</v>
      </c>
      <c r="AP69" t="s">
        <v>74</v>
      </c>
      <c r="AQ69" t="s">
        <v>74</v>
      </c>
      <c r="AR69" t="s">
        <v>769</v>
      </c>
      <c r="AS69" t="s">
        <v>785</v>
      </c>
      <c r="AT69" t="s">
        <v>1472</v>
      </c>
      <c r="AU69">
        <v>2017</v>
      </c>
      <c r="AV69">
        <v>12</v>
      </c>
      <c r="AW69">
        <v>1</v>
      </c>
      <c r="AX69" t="s">
        <v>74</v>
      </c>
      <c r="AY69" t="s">
        <v>74</v>
      </c>
      <c r="AZ69" t="s">
        <v>74</v>
      </c>
      <c r="BA69" t="s">
        <v>74</v>
      </c>
      <c r="BB69" t="s">
        <v>74</v>
      </c>
      <c r="BC69" t="s">
        <v>74</v>
      </c>
      <c r="BD69" t="s">
        <v>1492</v>
      </c>
      <c r="BE69" t="s">
        <v>1493</v>
      </c>
      <c r="BF69" t="str">
        <f>HYPERLINK("http://dx.doi.org/10.1371/journal.pone.0168391","http://dx.doi.org/10.1371/journal.pone.0168391")</f>
        <v>http://dx.doi.org/10.1371/journal.pone.0168391</v>
      </c>
      <c r="BG69" t="s">
        <v>74</v>
      </c>
      <c r="BH69" t="s">
        <v>74</v>
      </c>
      <c r="BI69">
        <v>20</v>
      </c>
      <c r="BJ69" t="s">
        <v>100</v>
      </c>
      <c r="BK69" t="s">
        <v>101</v>
      </c>
      <c r="BL69" t="s">
        <v>102</v>
      </c>
      <c r="BM69" t="s">
        <v>1494</v>
      </c>
      <c r="BN69">
        <v>28076438</v>
      </c>
      <c r="BO69" t="s">
        <v>150</v>
      </c>
      <c r="BP69" t="s">
        <v>74</v>
      </c>
      <c r="BQ69" t="s">
        <v>74</v>
      </c>
      <c r="BR69" t="s">
        <v>105</v>
      </c>
      <c r="BS69" t="s">
        <v>1495</v>
      </c>
      <c r="BT69" t="str">
        <f>HYPERLINK("https%3A%2F%2Fwww.webofscience.com%2Fwos%2Fwoscc%2Ffull-record%2FWOS:000391857100011","View Full Record in Web of Science")</f>
        <v>View Full Record in Web of Science</v>
      </c>
    </row>
    <row r="70" spans="1:72" x14ac:dyDescent="0.15">
      <c r="A70" t="s">
        <v>72</v>
      </c>
      <c r="B70" t="s">
        <v>1496</v>
      </c>
      <c r="C70" t="s">
        <v>74</v>
      </c>
      <c r="D70" t="s">
        <v>74</v>
      </c>
      <c r="E70" t="s">
        <v>74</v>
      </c>
      <c r="F70" t="s">
        <v>1497</v>
      </c>
      <c r="G70" t="s">
        <v>74</v>
      </c>
      <c r="H70" t="s">
        <v>74</v>
      </c>
      <c r="I70" t="s">
        <v>1498</v>
      </c>
      <c r="J70" t="s">
        <v>769</v>
      </c>
      <c r="K70" t="s">
        <v>74</v>
      </c>
      <c r="L70" t="s">
        <v>74</v>
      </c>
      <c r="M70" t="s">
        <v>78</v>
      </c>
      <c r="N70" t="s">
        <v>79</v>
      </c>
      <c r="O70" t="s">
        <v>74</v>
      </c>
      <c r="P70" t="s">
        <v>74</v>
      </c>
      <c r="Q70" t="s">
        <v>74</v>
      </c>
      <c r="R70" t="s">
        <v>74</v>
      </c>
      <c r="S70" t="s">
        <v>74</v>
      </c>
      <c r="T70" t="s">
        <v>74</v>
      </c>
      <c r="U70" t="s">
        <v>1499</v>
      </c>
      <c r="V70" t="s">
        <v>1500</v>
      </c>
      <c r="W70" t="s">
        <v>1501</v>
      </c>
      <c r="X70" t="s">
        <v>1502</v>
      </c>
      <c r="Y70" t="s">
        <v>1503</v>
      </c>
      <c r="Z70" t="s">
        <v>1504</v>
      </c>
      <c r="AA70" t="s">
        <v>1505</v>
      </c>
      <c r="AB70" t="s">
        <v>1506</v>
      </c>
      <c r="AC70" t="s">
        <v>1507</v>
      </c>
      <c r="AD70" t="s">
        <v>1508</v>
      </c>
      <c r="AE70" t="s">
        <v>1509</v>
      </c>
      <c r="AF70" t="s">
        <v>74</v>
      </c>
      <c r="AG70">
        <v>56</v>
      </c>
      <c r="AH70">
        <v>12</v>
      </c>
      <c r="AI70">
        <v>15</v>
      </c>
      <c r="AJ70">
        <v>2</v>
      </c>
      <c r="AK70">
        <v>31</v>
      </c>
      <c r="AL70" t="s">
        <v>781</v>
      </c>
      <c r="AM70" t="s">
        <v>782</v>
      </c>
      <c r="AN70" t="s">
        <v>783</v>
      </c>
      <c r="AO70" t="s">
        <v>784</v>
      </c>
      <c r="AP70" t="s">
        <v>74</v>
      </c>
      <c r="AQ70" t="s">
        <v>74</v>
      </c>
      <c r="AR70" t="s">
        <v>769</v>
      </c>
      <c r="AS70" t="s">
        <v>785</v>
      </c>
      <c r="AT70" t="s">
        <v>1472</v>
      </c>
      <c r="AU70">
        <v>2017</v>
      </c>
      <c r="AV70">
        <v>12</v>
      </c>
      <c r="AW70">
        <v>1</v>
      </c>
      <c r="AX70" t="s">
        <v>74</v>
      </c>
      <c r="AY70" t="s">
        <v>74</v>
      </c>
      <c r="AZ70" t="s">
        <v>74</v>
      </c>
      <c r="BA70" t="s">
        <v>74</v>
      </c>
      <c r="BB70" t="s">
        <v>74</v>
      </c>
      <c r="BC70" t="s">
        <v>74</v>
      </c>
      <c r="BD70" t="s">
        <v>1510</v>
      </c>
      <c r="BE70" t="s">
        <v>1511</v>
      </c>
      <c r="BF70" t="str">
        <f>HYPERLINK("http://dx.doi.org/10.1371/journal.pone.0169106","http://dx.doi.org/10.1371/journal.pone.0169106")</f>
        <v>http://dx.doi.org/10.1371/journal.pone.0169106</v>
      </c>
      <c r="BG70" t="s">
        <v>74</v>
      </c>
      <c r="BH70" t="s">
        <v>74</v>
      </c>
      <c r="BI70">
        <v>14</v>
      </c>
      <c r="BJ70" t="s">
        <v>100</v>
      </c>
      <c r="BK70" t="s">
        <v>101</v>
      </c>
      <c r="BL70" t="s">
        <v>102</v>
      </c>
      <c r="BM70" t="s">
        <v>1494</v>
      </c>
      <c r="BN70">
        <v>28076393</v>
      </c>
      <c r="BO70" t="s">
        <v>1512</v>
      </c>
      <c r="BP70" t="s">
        <v>74</v>
      </c>
      <c r="BQ70" t="s">
        <v>74</v>
      </c>
      <c r="BR70" t="s">
        <v>105</v>
      </c>
      <c r="BS70" t="s">
        <v>1513</v>
      </c>
      <c r="BT70" t="str">
        <f>HYPERLINK("https%3A%2F%2Fwww.webofscience.com%2Fwos%2Fwoscc%2Ffull-record%2FWOS:000391857100021","View Full Record in Web of Science")</f>
        <v>View Full Record in Web of Science</v>
      </c>
    </row>
    <row r="71" spans="1:72" x14ac:dyDescent="0.15">
      <c r="A71" t="s">
        <v>72</v>
      </c>
      <c r="B71" t="s">
        <v>1514</v>
      </c>
      <c r="C71" t="s">
        <v>74</v>
      </c>
      <c r="D71" t="s">
        <v>74</v>
      </c>
      <c r="E71" t="s">
        <v>74</v>
      </c>
      <c r="F71" t="s">
        <v>1515</v>
      </c>
      <c r="G71" t="s">
        <v>74</v>
      </c>
      <c r="H71" t="s">
        <v>74</v>
      </c>
      <c r="I71" t="s">
        <v>1516</v>
      </c>
      <c r="J71" t="s">
        <v>1517</v>
      </c>
      <c r="K71" t="s">
        <v>74</v>
      </c>
      <c r="L71" t="s">
        <v>74</v>
      </c>
      <c r="M71" t="s">
        <v>78</v>
      </c>
      <c r="N71" t="s">
        <v>79</v>
      </c>
      <c r="O71" t="s">
        <v>74</v>
      </c>
      <c r="P71" t="s">
        <v>74</v>
      </c>
      <c r="Q71" t="s">
        <v>74</v>
      </c>
      <c r="R71" t="s">
        <v>74</v>
      </c>
      <c r="S71" t="s">
        <v>74</v>
      </c>
      <c r="T71" t="s">
        <v>1518</v>
      </c>
      <c r="U71" t="s">
        <v>1519</v>
      </c>
      <c r="V71" t="s">
        <v>1520</v>
      </c>
      <c r="W71" t="s">
        <v>1521</v>
      </c>
      <c r="X71" t="s">
        <v>1522</v>
      </c>
      <c r="Y71" t="s">
        <v>1523</v>
      </c>
      <c r="Z71" t="s">
        <v>1524</v>
      </c>
      <c r="AA71" t="s">
        <v>1525</v>
      </c>
      <c r="AB71" t="s">
        <v>1526</v>
      </c>
      <c r="AC71" t="s">
        <v>1527</v>
      </c>
      <c r="AD71" t="s">
        <v>1528</v>
      </c>
      <c r="AE71" t="s">
        <v>1529</v>
      </c>
      <c r="AF71" t="s">
        <v>74</v>
      </c>
      <c r="AG71">
        <v>20</v>
      </c>
      <c r="AH71">
        <v>4</v>
      </c>
      <c r="AI71">
        <v>4</v>
      </c>
      <c r="AJ71">
        <v>1</v>
      </c>
      <c r="AK71">
        <v>16</v>
      </c>
      <c r="AL71" t="s">
        <v>1530</v>
      </c>
      <c r="AM71" t="s">
        <v>1531</v>
      </c>
      <c r="AN71" t="s">
        <v>1532</v>
      </c>
      <c r="AO71" t="s">
        <v>1533</v>
      </c>
      <c r="AP71" t="s">
        <v>74</v>
      </c>
      <c r="AQ71" t="s">
        <v>74</v>
      </c>
      <c r="AR71" t="s">
        <v>1534</v>
      </c>
      <c r="AS71" t="s">
        <v>1535</v>
      </c>
      <c r="AT71" t="s">
        <v>1536</v>
      </c>
      <c r="AU71">
        <v>2017</v>
      </c>
      <c r="AV71">
        <v>112</v>
      </c>
      <c r="AW71">
        <v>1</v>
      </c>
      <c r="AX71" t="s">
        <v>74</v>
      </c>
      <c r="AY71" t="s">
        <v>74</v>
      </c>
      <c r="AZ71" t="s">
        <v>74</v>
      </c>
      <c r="BA71" t="s">
        <v>74</v>
      </c>
      <c r="BB71">
        <v>139</v>
      </c>
      <c r="BC71">
        <v>146</v>
      </c>
      <c r="BD71" t="s">
        <v>74</v>
      </c>
      <c r="BE71" t="s">
        <v>1537</v>
      </c>
      <c r="BF71" t="str">
        <f>HYPERLINK("http://dx.doi.org/10.18520/cs/v112/i01/139-146","http://dx.doi.org/10.18520/cs/v112/i01/139-146")</f>
        <v>http://dx.doi.org/10.18520/cs/v112/i01/139-146</v>
      </c>
      <c r="BG71" t="s">
        <v>74</v>
      </c>
      <c r="BH71" t="s">
        <v>74</v>
      </c>
      <c r="BI71">
        <v>8</v>
      </c>
      <c r="BJ71" t="s">
        <v>100</v>
      </c>
      <c r="BK71" t="s">
        <v>101</v>
      </c>
      <c r="BL71" t="s">
        <v>102</v>
      </c>
      <c r="BM71" t="s">
        <v>1538</v>
      </c>
      <c r="BN71" t="s">
        <v>74</v>
      </c>
      <c r="BO71" t="s">
        <v>672</v>
      </c>
      <c r="BP71" t="s">
        <v>74</v>
      </c>
      <c r="BQ71" t="s">
        <v>74</v>
      </c>
      <c r="BR71" t="s">
        <v>105</v>
      </c>
      <c r="BS71" t="s">
        <v>1539</v>
      </c>
      <c r="BT71" t="str">
        <f>HYPERLINK("https%3A%2F%2Fwww.webofscience.com%2Fwos%2Fwoscc%2Ffull-record%2FWOS:000392355900024","View Full Record in Web of Science")</f>
        <v>View Full Record in Web of Science</v>
      </c>
    </row>
    <row r="72" spans="1:72" x14ac:dyDescent="0.15">
      <c r="A72" t="s">
        <v>72</v>
      </c>
      <c r="B72" t="s">
        <v>1540</v>
      </c>
      <c r="C72" t="s">
        <v>74</v>
      </c>
      <c r="D72" t="s">
        <v>74</v>
      </c>
      <c r="E72" t="s">
        <v>74</v>
      </c>
      <c r="F72" t="s">
        <v>1541</v>
      </c>
      <c r="G72" t="s">
        <v>74</v>
      </c>
      <c r="H72" t="s">
        <v>74</v>
      </c>
      <c r="I72" t="s">
        <v>1542</v>
      </c>
      <c r="J72" t="s">
        <v>1543</v>
      </c>
      <c r="K72" t="s">
        <v>74</v>
      </c>
      <c r="L72" t="s">
        <v>74</v>
      </c>
      <c r="M72" t="s">
        <v>78</v>
      </c>
      <c r="N72" t="s">
        <v>79</v>
      </c>
      <c r="O72" t="s">
        <v>74</v>
      </c>
      <c r="P72" t="s">
        <v>74</v>
      </c>
      <c r="Q72" t="s">
        <v>74</v>
      </c>
      <c r="R72" t="s">
        <v>74</v>
      </c>
      <c r="S72" t="s">
        <v>74</v>
      </c>
      <c r="T72" t="s">
        <v>1544</v>
      </c>
      <c r="U72" t="s">
        <v>1545</v>
      </c>
      <c r="V72" t="s">
        <v>1546</v>
      </c>
      <c r="W72" t="s">
        <v>1547</v>
      </c>
      <c r="X72" t="s">
        <v>1548</v>
      </c>
      <c r="Y72" t="s">
        <v>1549</v>
      </c>
      <c r="Z72" t="s">
        <v>74</v>
      </c>
      <c r="AA72" t="s">
        <v>1550</v>
      </c>
      <c r="AB72" t="s">
        <v>1551</v>
      </c>
      <c r="AC72" t="s">
        <v>74</v>
      </c>
      <c r="AD72" t="s">
        <v>74</v>
      </c>
      <c r="AE72" t="s">
        <v>74</v>
      </c>
      <c r="AF72" t="s">
        <v>74</v>
      </c>
      <c r="AG72">
        <v>35</v>
      </c>
      <c r="AH72">
        <v>48</v>
      </c>
      <c r="AI72">
        <v>49</v>
      </c>
      <c r="AJ72">
        <v>1</v>
      </c>
      <c r="AK72">
        <v>11</v>
      </c>
      <c r="AL72" t="s">
        <v>1552</v>
      </c>
      <c r="AM72" t="s">
        <v>1553</v>
      </c>
      <c r="AN72" t="s">
        <v>1554</v>
      </c>
      <c r="AO72" t="s">
        <v>1555</v>
      </c>
      <c r="AP72" t="s">
        <v>1556</v>
      </c>
      <c r="AQ72" t="s">
        <v>74</v>
      </c>
      <c r="AR72" t="s">
        <v>1557</v>
      </c>
      <c r="AS72" t="s">
        <v>1558</v>
      </c>
      <c r="AT72" t="s">
        <v>1559</v>
      </c>
      <c r="AU72">
        <v>2017</v>
      </c>
      <c r="AV72">
        <v>5</v>
      </c>
      <c r="AW72" t="s">
        <v>74</v>
      </c>
      <c r="AX72" t="s">
        <v>74</v>
      </c>
      <c r="AY72" t="s">
        <v>74</v>
      </c>
      <c r="AZ72" t="s">
        <v>74</v>
      </c>
      <c r="BA72" t="s">
        <v>74</v>
      </c>
      <c r="BB72" t="s">
        <v>74</v>
      </c>
      <c r="BC72" t="s">
        <v>74</v>
      </c>
      <c r="BD72" t="s">
        <v>1560</v>
      </c>
      <c r="BE72" t="s">
        <v>1561</v>
      </c>
      <c r="BF72" t="str">
        <f>HYPERLINK("http://dx.doi.org/10.3897/BDJ.5.e10989","http://dx.doi.org/10.3897/BDJ.5.e10989")</f>
        <v>http://dx.doi.org/10.3897/BDJ.5.e10989</v>
      </c>
      <c r="BG72" t="s">
        <v>74</v>
      </c>
      <c r="BH72" t="s">
        <v>74</v>
      </c>
      <c r="BI72">
        <v>37</v>
      </c>
      <c r="BJ72" t="s">
        <v>1562</v>
      </c>
      <c r="BK72" t="s">
        <v>101</v>
      </c>
      <c r="BL72" t="s">
        <v>1563</v>
      </c>
      <c r="BM72" t="s">
        <v>1564</v>
      </c>
      <c r="BN72">
        <v>28325978</v>
      </c>
      <c r="BO72" t="s">
        <v>591</v>
      </c>
      <c r="BP72" t="s">
        <v>74</v>
      </c>
      <c r="BQ72" t="s">
        <v>74</v>
      </c>
      <c r="BR72" t="s">
        <v>105</v>
      </c>
      <c r="BS72" t="s">
        <v>1565</v>
      </c>
      <c r="BT72" t="str">
        <f>HYPERLINK("https%3A%2F%2Fwww.webofscience.com%2Fwos%2Fwoscc%2Ffull-record%2FWOS:000449730300001","View Full Record in Web of Science")</f>
        <v>View Full Record in Web of Science</v>
      </c>
    </row>
    <row r="73" spans="1:72" x14ac:dyDescent="0.15">
      <c r="A73" t="s">
        <v>72</v>
      </c>
      <c r="B73" t="s">
        <v>1566</v>
      </c>
      <c r="C73" t="s">
        <v>74</v>
      </c>
      <c r="D73" t="s">
        <v>74</v>
      </c>
      <c r="E73" t="s">
        <v>74</v>
      </c>
      <c r="F73" t="s">
        <v>1567</v>
      </c>
      <c r="G73" t="s">
        <v>74</v>
      </c>
      <c r="H73" t="s">
        <v>74</v>
      </c>
      <c r="I73" t="s">
        <v>1568</v>
      </c>
      <c r="J73" t="s">
        <v>1569</v>
      </c>
      <c r="K73" t="s">
        <v>74</v>
      </c>
      <c r="L73" t="s">
        <v>74</v>
      </c>
      <c r="M73" t="s">
        <v>78</v>
      </c>
      <c r="N73" t="s">
        <v>79</v>
      </c>
      <c r="O73" t="s">
        <v>74</v>
      </c>
      <c r="P73" t="s">
        <v>74</v>
      </c>
      <c r="Q73" t="s">
        <v>74</v>
      </c>
      <c r="R73" t="s">
        <v>74</v>
      </c>
      <c r="S73" t="s">
        <v>74</v>
      </c>
      <c r="T73" t="s">
        <v>74</v>
      </c>
      <c r="U73" t="s">
        <v>1570</v>
      </c>
      <c r="V73" t="s">
        <v>1571</v>
      </c>
      <c r="W73" t="s">
        <v>1572</v>
      </c>
      <c r="X73" t="s">
        <v>1573</v>
      </c>
      <c r="Y73" t="s">
        <v>1574</v>
      </c>
      <c r="Z73" t="s">
        <v>1575</v>
      </c>
      <c r="AA73" t="s">
        <v>1576</v>
      </c>
      <c r="AB73" t="s">
        <v>1577</v>
      </c>
      <c r="AC73" t="s">
        <v>1578</v>
      </c>
      <c r="AD73" t="s">
        <v>1578</v>
      </c>
      <c r="AE73" t="s">
        <v>1579</v>
      </c>
      <c r="AF73" t="s">
        <v>74</v>
      </c>
      <c r="AG73">
        <v>39</v>
      </c>
      <c r="AH73">
        <v>148</v>
      </c>
      <c r="AI73">
        <v>156</v>
      </c>
      <c r="AJ73">
        <v>5</v>
      </c>
      <c r="AK73">
        <v>78</v>
      </c>
      <c r="AL73" t="s">
        <v>1580</v>
      </c>
      <c r="AM73" t="s">
        <v>1581</v>
      </c>
      <c r="AN73" t="s">
        <v>1582</v>
      </c>
      <c r="AO73" t="s">
        <v>1583</v>
      </c>
      <c r="AP73" t="s">
        <v>1584</v>
      </c>
      <c r="AQ73" t="s">
        <v>74</v>
      </c>
      <c r="AR73" t="s">
        <v>1585</v>
      </c>
      <c r="AS73" t="s">
        <v>1586</v>
      </c>
      <c r="AT73" t="s">
        <v>1559</v>
      </c>
      <c r="AU73">
        <v>2017</v>
      </c>
      <c r="AV73">
        <v>27</v>
      </c>
      <c r="AW73">
        <v>1</v>
      </c>
      <c r="AX73" t="s">
        <v>74</v>
      </c>
      <c r="AY73" t="s">
        <v>74</v>
      </c>
      <c r="AZ73" t="s">
        <v>74</v>
      </c>
      <c r="BA73" t="s">
        <v>74</v>
      </c>
      <c r="BB73">
        <v>113</v>
      </c>
      <c r="BC73">
        <v>119</v>
      </c>
      <c r="BD73" t="s">
        <v>74</v>
      </c>
      <c r="BE73" t="s">
        <v>1587</v>
      </c>
      <c r="BF73" t="str">
        <f>HYPERLINK("http://dx.doi.org/10.1016/j.cub.2016.11.003","http://dx.doi.org/10.1016/j.cub.2016.11.003")</f>
        <v>http://dx.doi.org/10.1016/j.cub.2016.11.003</v>
      </c>
      <c r="BG73" t="s">
        <v>74</v>
      </c>
      <c r="BH73" t="s">
        <v>74</v>
      </c>
      <c r="BI73">
        <v>7</v>
      </c>
      <c r="BJ73" t="s">
        <v>1588</v>
      </c>
      <c r="BK73" t="s">
        <v>101</v>
      </c>
      <c r="BL73" t="s">
        <v>1589</v>
      </c>
      <c r="BM73" t="s">
        <v>1590</v>
      </c>
      <c r="BN73">
        <v>28017608</v>
      </c>
      <c r="BO73" t="s">
        <v>1591</v>
      </c>
      <c r="BP73" t="s">
        <v>74</v>
      </c>
      <c r="BQ73" t="s">
        <v>74</v>
      </c>
      <c r="BR73" t="s">
        <v>105</v>
      </c>
      <c r="BS73" t="s">
        <v>1592</v>
      </c>
      <c r="BT73" t="str">
        <f>HYPERLINK("https%3A%2F%2Fwww.webofscience.com%2Fwos%2Fwoscc%2Ffull-record%2FWOS:000391902500029","View Full Record in Web of Science")</f>
        <v>View Full Record in Web of Science</v>
      </c>
    </row>
    <row r="74" spans="1:72" x14ac:dyDescent="0.15">
      <c r="A74" t="s">
        <v>72</v>
      </c>
      <c r="B74" t="s">
        <v>1593</v>
      </c>
      <c r="C74" t="s">
        <v>74</v>
      </c>
      <c r="D74" t="s">
        <v>74</v>
      </c>
      <c r="E74" t="s">
        <v>74</v>
      </c>
      <c r="F74" t="s">
        <v>1594</v>
      </c>
      <c r="G74" t="s">
        <v>74</v>
      </c>
      <c r="H74" t="s">
        <v>74</v>
      </c>
      <c r="I74" t="s">
        <v>1595</v>
      </c>
      <c r="J74" t="s">
        <v>1596</v>
      </c>
      <c r="K74" t="s">
        <v>74</v>
      </c>
      <c r="L74" t="s">
        <v>74</v>
      </c>
      <c r="M74" t="s">
        <v>78</v>
      </c>
      <c r="N74" t="s">
        <v>1597</v>
      </c>
      <c r="O74" t="s">
        <v>74</v>
      </c>
      <c r="P74" t="s">
        <v>74</v>
      </c>
      <c r="Q74" t="s">
        <v>74</v>
      </c>
      <c r="R74" t="s">
        <v>74</v>
      </c>
      <c r="S74" t="s">
        <v>74</v>
      </c>
      <c r="T74" t="s">
        <v>1598</v>
      </c>
      <c r="U74" t="s">
        <v>1599</v>
      </c>
      <c r="V74" t="s">
        <v>1600</v>
      </c>
      <c r="W74" t="s">
        <v>1601</v>
      </c>
      <c r="X74" t="s">
        <v>1602</v>
      </c>
      <c r="Y74" t="s">
        <v>1603</v>
      </c>
      <c r="Z74" t="s">
        <v>1604</v>
      </c>
      <c r="AA74" t="s">
        <v>1605</v>
      </c>
      <c r="AB74" t="s">
        <v>1606</v>
      </c>
      <c r="AC74" t="s">
        <v>1607</v>
      </c>
      <c r="AD74" t="s">
        <v>1608</v>
      </c>
      <c r="AE74" t="s">
        <v>1609</v>
      </c>
      <c r="AF74" t="s">
        <v>74</v>
      </c>
      <c r="AG74">
        <v>49</v>
      </c>
      <c r="AH74">
        <v>18</v>
      </c>
      <c r="AI74">
        <v>20</v>
      </c>
      <c r="AJ74">
        <v>2</v>
      </c>
      <c r="AK74">
        <v>12</v>
      </c>
      <c r="AL74" t="s">
        <v>1610</v>
      </c>
      <c r="AM74" t="s">
        <v>292</v>
      </c>
      <c r="AN74" t="s">
        <v>1611</v>
      </c>
      <c r="AO74" t="s">
        <v>1612</v>
      </c>
      <c r="AP74" t="s">
        <v>74</v>
      </c>
      <c r="AQ74" t="s">
        <v>74</v>
      </c>
      <c r="AR74" t="s">
        <v>1596</v>
      </c>
      <c r="AS74" t="s">
        <v>1613</v>
      </c>
      <c r="AT74" t="s">
        <v>1614</v>
      </c>
      <c r="AU74">
        <v>2017</v>
      </c>
      <c r="AV74">
        <v>6</v>
      </c>
      <c r="AW74">
        <v>1</v>
      </c>
      <c r="AX74" t="s">
        <v>74</v>
      </c>
      <c r="AY74" t="s">
        <v>74</v>
      </c>
      <c r="AZ74" t="s">
        <v>74</v>
      </c>
      <c r="BA74" t="s">
        <v>74</v>
      </c>
      <c r="BB74" t="s">
        <v>74</v>
      </c>
      <c r="BC74" t="s">
        <v>74</v>
      </c>
      <c r="BD74" t="s">
        <v>74</v>
      </c>
      <c r="BE74" t="s">
        <v>1615</v>
      </c>
      <c r="BF74" t="str">
        <f>HYPERLINK("http://dx.doi.org/10.1093/gigascience/giw010","http://dx.doi.org/10.1093/gigascience/giw010")</f>
        <v>http://dx.doi.org/10.1093/gigascience/giw010</v>
      </c>
      <c r="BG74" t="s">
        <v>74</v>
      </c>
      <c r="BH74" t="s">
        <v>74</v>
      </c>
      <c r="BI74">
        <v>9</v>
      </c>
      <c r="BJ74" t="s">
        <v>1616</v>
      </c>
      <c r="BK74" t="s">
        <v>101</v>
      </c>
      <c r="BL74" t="s">
        <v>1617</v>
      </c>
      <c r="BM74" t="s">
        <v>1618</v>
      </c>
      <c r="BN74">
        <v>28369352</v>
      </c>
      <c r="BO74" t="s">
        <v>591</v>
      </c>
      <c r="BP74" t="s">
        <v>74</v>
      </c>
      <c r="BQ74" t="s">
        <v>74</v>
      </c>
      <c r="BR74" t="s">
        <v>105</v>
      </c>
      <c r="BS74" t="s">
        <v>1619</v>
      </c>
      <c r="BT74" t="str">
        <f>HYPERLINK("https%3A%2F%2Fwww.webofscience.com%2Fwos%2Fwoscc%2Ffull-record%2FWOS:000403483800001","View Full Record in Web of Science")</f>
        <v>View Full Record in Web of Science</v>
      </c>
    </row>
    <row r="75" spans="1:72" x14ac:dyDescent="0.15">
      <c r="A75" t="s">
        <v>72</v>
      </c>
      <c r="B75" t="s">
        <v>1620</v>
      </c>
      <c r="C75" t="s">
        <v>74</v>
      </c>
      <c r="D75" t="s">
        <v>74</v>
      </c>
      <c r="E75" t="s">
        <v>74</v>
      </c>
      <c r="F75" t="s">
        <v>1621</v>
      </c>
      <c r="G75" t="s">
        <v>74</v>
      </c>
      <c r="H75" t="s">
        <v>74</v>
      </c>
      <c r="I75" t="s">
        <v>1622</v>
      </c>
      <c r="J75" t="s">
        <v>1623</v>
      </c>
      <c r="K75" t="s">
        <v>74</v>
      </c>
      <c r="L75" t="s">
        <v>74</v>
      </c>
      <c r="M75" t="s">
        <v>78</v>
      </c>
      <c r="N75" t="s">
        <v>79</v>
      </c>
      <c r="O75" t="s">
        <v>74</v>
      </c>
      <c r="P75" t="s">
        <v>74</v>
      </c>
      <c r="Q75" t="s">
        <v>74</v>
      </c>
      <c r="R75" t="s">
        <v>74</v>
      </c>
      <c r="S75" t="s">
        <v>74</v>
      </c>
      <c r="T75" t="s">
        <v>1624</v>
      </c>
      <c r="U75" t="s">
        <v>1625</v>
      </c>
      <c r="V75" t="s">
        <v>1626</v>
      </c>
      <c r="W75" t="s">
        <v>1627</v>
      </c>
      <c r="X75" t="s">
        <v>1628</v>
      </c>
      <c r="Y75" t="s">
        <v>1629</v>
      </c>
      <c r="Z75" t="s">
        <v>1630</v>
      </c>
      <c r="AA75" t="s">
        <v>74</v>
      </c>
      <c r="AB75" t="s">
        <v>1631</v>
      </c>
      <c r="AC75" t="s">
        <v>1632</v>
      </c>
      <c r="AD75" t="s">
        <v>1633</v>
      </c>
      <c r="AE75" t="s">
        <v>1634</v>
      </c>
      <c r="AF75" t="s">
        <v>74</v>
      </c>
      <c r="AG75">
        <v>73</v>
      </c>
      <c r="AH75">
        <v>3</v>
      </c>
      <c r="AI75">
        <v>5</v>
      </c>
      <c r="AJ75">
        <v>2</v>
      </c>
      <c r="AK75">
        <v>20</v>
      </c>
      <c r="AL75" t="s">
        <v>541</v>
      </c>
      <c r="AM75" t="s">
        <v>93</v>
      </c>
      <c r="AN75" t="s">
        <v>542</v>
      </c>
      <c r="AO75" t="s">
        <v>1635</v>
      </c>
      <c r="AP75" t="s">
        <v>1636</v>
      </c>
      <c r="AQ75" t="s">
        <v>74</v>
      </c>
      <c r="AR75" t="s">
        <v>1637</v>
      </c>
      <c r="AS75" t="s">
        <v>1638</v>
      </c>
      <c r="AT75" t="s">
        <v>1639</v>
      </c>
      <c r="AU75">
        <v>2017</v>
      </c>
      <c r="AV75">
        <v>184</v>
      </c>
      <c r="AW75" t="s">
        <v>74</v>
      </c>
      <c r="AX75" t="s">
        <v>74</v>
      </c>
      <c r="AY75" t="s">
        <v>74</v>
      </c>
      <c r="AZ75" t="s">
        <v>74</v>
      </c>
      <c r="BA75" t="s">
        <v>74</v>
      </c>
      <c r="BB75">
        <v>10</v>
      </c>
      <c r="BC75">
        <v>20</v>
      </c>
      <c r="BD75" t="s">
        <v>74</v>
      </c>
      <c r="BE75" t="s">
        <v>1640</v>
      </c>
      <c r="BF75" t="str">
        <f>HYPERLINK("http://dx.doi.org/10.1016/j.ecss.2016.10.035","http://dx.doi.org/10.1016/j.ecss.2016.10.035")</f>
        <v>http://dx.doi.org/10.1016/j.ecss.2016.10.035</v>
      </c>
      <c r="BG75" t="s">
        <v>74</v>
      </c>
      <c r="BH75" t="s">
        <v>74</v>
      </c>
      <c r="BI75">
        <v>11</v>
      </c>
      <c r="BJ75" t="s">
        <v>1641</v>
      </c>
      <c r="BK75" t="s">
        <v>101</v>
      </c>
      <c r="BL75" t="s">
        <v>1641</v>
      </c>
      <c r="BM75" t="s">
        <v>1642</v>
      </c>
      <c r="BN75" t="s">
        <v>74</v>
      </c>
      <c r="BO75" t="s">
        <v>74</v>
      </c>
      <c r="BP75" t="s">
        <v>74</v>
      </c>
      <c r="BQ75" t="s">
        <v>74</v>
      </c>
      <c r="BR75" t="s">
        <v>105</v>
      </c>
      <c r="BS75" t="s">
        <v>1643</v>
      </c>
      <c r="BT75" t="str">
        <f>HYPERLINK("https%3A%2F%2Fwww.webofscience.com%2Fwos%2Fwoscc%2Ffull-record%2FWOS:000392778300002","View Full Record in Web of Science")</f>
        <v>View Full Record in Web of Science</v>
      </c>
    </row>
    <row r="76" spans="1:72" x14ac:dyDescent="0.15">
      <c r="A76" t="s">
        <v>72</v>
      </c>
      <c r="B76" t="s">
        <v>1644</v>
      </c>
      <c r="C76" t="s">
        <v>74</v>
      </c>
      <c r="D76" t="s">
        <v>74</v>
      </c>
      <c r="E76" t="s">
        <v>74</v>
      </c>
      <c r="F76" t="s">
        <v>1645</v>
      </c>
      <c r="G76" t="s">
        <v>74</v>
      </c>
      <c r="H76" t="s">
        <v>74</v>
      </c>
      <c r="I76" t="s">
        <v>1646</v>
      </c>
      <c r="J76" t="s">
        <v>1623</v>
      </c>
      <c r="K76" t="s">
        <v>74</v>
      </c>
      <c r="L76" t="s">
        <v>74</v>
      </c>
      <c r="M76" t="s">
        <v>78</v>
      </c>
      <c r="N76" t="s">
        <v>79</v>
      </c>
      <c r="O76" t="s">
        <v>74</v>
      </c>
      <c r="P76" t="s">
        <v>74</v>
      </c>
      <c r="Q76" t="s">
        <v>74</v>
      </c>
      <c r="R76" t="s">
        <v>74</v>
      </c>
      <c r="S76" t="s">
        <v>74</v>
      </c>
      <c r="T76" t="s">
        <v>1647</v>
      </c>
      <c r="U76" t="s">
        <v>1648</v>
      </c>
      <c r="V76" t="s">
        <v>1649</v>
      </c>
      <c r="W76" t="s">
        <v>1650</v>
      </c>
      <c r="X76" t="s">
        <v>1651</v>
      </c>
      <c r="Y76" t="s">
        <v>1652</v>
      </c>
      <c r="Z76" t="s">
        <v>1653</v>
      </c>
      <c r="AA76" t="s">
        <v>1654</v>
      </c>
      <c r="AB76" t="s">
        <v>1655</v>
      </c>
      <c r="AC76" t="s">
        <v>1656</v>
      </c>
      <c r="AD76" t="s">
        <v>1657</v>
      </c>
      <c r="AE76" t="s">
        <v>1658</v>
      </c>
      <c r="AF76" t="s">
        <v>74</v>
      </c>
      <c r="AG76">
        <v>45</v>
      </c>
      <c r="AH76">
        <v>17</v>
      </c>
      <c r="AI76">
        <v>19</v>
      </c>
      <c r="AJ76">
        <v>0</v>
      </c>
      <c r="AK76">
        <v>20</v>
      </c>
      <c r="AL76" t="s">
        <v>541</v>
      </c>
      <c r="AM76" t="s">
        <v>93</v>
      </c>
      <c r="AN76" t="s">
        <v>542</v>
      </c>
      <c r="AO76" t="s">
        <v>1635</v>
      </c>
      <c r="AP76" t="s">
        <v>1636</v>
      </c>
      <c r="AQ76" t="s">
        <v>74</v>
      </c>
      <c r="AR76" t="s">
        <v>1637</v>
      </c>
      <c r="AS76" t="s">
        <v>1638</v>
      </c>
      <c r="AT76" t="s">
        <v>1639</v>
      </c>
      <c r="AU76">
        <v>2017</v>
      </c>
      <c r="AV76">
        <v>184</v>
      </c>
      <c r="AW76" t="s">
        <v>74</v>
      </c>
      <c r="AX76" t="s">
        <v>74</v>
      </c>
      <c r="AY76" t="s">
        <v>74</v>
      </c>
      <c r="AZ76" t="s">
        <v>74</v>
      </c>
      <c r="BA76" t="s">
        <v>74</v>
      </c>
      <c r="BB76">
        <v>46</v>
      </c>
      <c r="BC76">
        <v>53</v>
      </c>
      <c r="BD76" t="s">
        <v>74</v>
      </c>
      <c r="BE76" t="s">
        <v>1659</v>
      </c>
      <c r="BF76" t="str">
        <f>HYPERLINK("http://dx.doi.org/10.1016/j.ecss.2016.10.044","http://dx.doi.org/10.1016/j.ecss.2016.10.044")</f>
        <v>http://dx.doi.org/10.1016/j.ecss.2016.10.044</v>
      </c>
      <c r="BG76" t="s">
        <v>74</v>
      </c>
      <c r="BH76" t="s">
        <v>74</v>
      </c>
      <c r="BI76">
        <v>8</v>
      </c>
      <c r="BJ76" t="s">
        <v>1641</v>
      </c>
      <c r="BK76" t="s">
        <v>101</v>
      </c>
      <c r="BL76" t="s">
        <v>1641</v>
      </c>
      <c r="BM76" t="s">
        <v>1642</v>
      </c>
      <c r="BN76" t="s">
        <v>74</v>
      </c>
      <c r="BO76" t="s">
        <v>378</v>
      </c>
      <c r="BP76" t="s">
        <v>74</v>
      </c>
      <c r="BQ76" t="s">
        <v>74</v>
      </c>
      <c r="BR76" t="s">
        <v>105</v>
      </c>
      <c r="BS76" t="s">
        <v>1660</v>
      </c>
      <c r="BT76" t="str">
        <f>HYPERLINK("https%3A%2F%2Fwww.webofscience.com%2Fwos%2Fwoscc%2Ffull-record%2FWOS:000392778300006","View Full Record in Web of Science")</f>
        <v>View Full Record in Web of Science</v>
      </c>
    </row>
    <row r="77" spans="1:72" x14ac:dyDescent="0.15">
      <c r="A77" t="s">
        <v>72</v>
      </c>
      <c r="B77" t="s">
        <v>1661</v>
      </c>
      <c r="C77" t="s">
        <v>74</v>
      </c>
      <c r="D77" t="s">
        <v>74</v>
      </c>
      <c r="E77" t="s">
        <v>74</v>
      </c>
      <c r="F77" t="s">
        <v>1662</v>
      </c>
      <c r="G77" t="s">
        <v>74</v>
      </c>
      <c r="H77" t="s">
        <v>74</v>
      </c>
      <c r="I77" t="s">
        <v>1663</v>
      </c>
      <c r="J77" t="s">
        <v>795</v>
      </c>
      <c r="K77" t="s">
        <v>74</v>
      </c>
      <c r="L77" t="s">
        <v>74</v>
      </c>
      <c r="M77" t="s">
        <v>78</v>
      </c>
      <c r="N77" t="s">
        <v>79</v>
      </c>
      <c r="O77" t="s">
        <v>74</v>
      </c>
      <c r="P77" t="s">
        <v>74</v>
      </c>
      <c r="Q77" t="s">
        <v>74</v>
      </c>
      <c r="R77" t="s">
        <v>74</v>
      </c>
      <c r="S77" t="s">
        <v>74</v>
      </c>
      <c r="T77" t="s">
        <v>74</v>
      </c>
      <c r="U77" t="s">
        <v>1664</v>
      </c>
      <c r="V77" t="s">
        <v>1665</v>
      </c>
      <c r="W77" t="s">
        <v>1666</v>
      </c>
      <c r="X77" t="s">
        <v>1667</v>
      </c>
      <c r="Y77" t="s">
        <v>1668</v>
      </c>
      <c r="Z77" t="s">
        <v>1669</v>
      </c>
      <c r="AA77" t="s">
        <v>1670</v>
      </c>
      <c r="AB77" t="s">
        <v>1671</v>
      </c>
      <c r="AC77" t="s">
        <v>1672</v>
      </c>
      <c r="AD77" t="s">
        <v>1673</v>
      </c>
      <c r="AE77" t="s">
        <v>1674</v>
      </c>
      <c r="AF77" t="s">
        <v>74</v>
      </c>
      <c r="AG77">
        <v>34</v>
      </c>
      <c r="AH77">
        <v>52</v>
      </c>
      <c r="AI77">
        <v>57</v>
      </c>
      <c r="AJ77">
        <v>3</v>
      </c>
      <c r="AK77">
        <v>66</v>
      </c>
      <c r="AL77" t="s">
        <v>186</v>
      </c>
      <c r="AM77" t="s">
        <v>93</v>
      </c>
      <c r="AN77" t="s">
        <v>1675</v>
      </c>
      <c r="AO77" t="s">
        <v>807</v>
      </c>
      <c r="AP77" t="s">
        <v>808</v>
      </c>
      <c r="AQ77" t="s">
        <v>74</v>
      </c>
      <c r="AR77" t="s">
        <v>795</v>
      </c>
      <c r="AS77" t="s">
        <v>809</v>
      </c>
      <c r="AT77" t="s">
        <v>1639</v>
      </c>
      <c r="AU77">
        <v>2017</v>
      </c>
      <c r="AV77">
        <v>541</v>
      </c>
      <c r="AW77">
        <v>7635</v>
      </c>
      <c r="AX77" t="s">
        <v>74</v>
      </c>
      <c r="AY77" t="s">
        <v>74</v>
      </c>
      <c r="AZ77" t="s">
        <v>74</v>
      </c>
      <c r="BA77" t="s">
        <v>74</v>
      </c>
      <c r="BB77">
        <v>72</v>
      </c>
      <c r="BC77" t="s">
        <v>1676</v>
      </c>
      <c r="BD77" t="s">
        <v>74</v>
      </c>
      <c r="BE77" t="s">
        <v>1677</v>
      </c>
      <c r="BF77" t="str">
        <f>HYPERLINK("http://dx.doi.org/10.1038/nature20582","http://dx.doi.org/10.1038/nature20582")</f>
        <v>http://dx.doi.org/10.1038/nature20582</v>
      </c>
      <c r="BG77" t="s">
        <v>74</v>
      </c>
      <c r="BH77" t="s">
        <v>74</v>
      </c>
      <c r="BI77">
        <v>11</v>
      </c>
      <c r="BJ77" t="s">
        <v>100</v>
      </c>
      <c r="BK77" t="s">
        <v>101</v>
      </c>
      <c r="BL77" t="s">
        <v>102</v>
      </c>
      <c r="BM77" t="s">
        <v>1678</v>
      </c>
      <c r="BN77">
        <v>27951585</v>
      </c>
      <c r="BO77" t="s">
        <v>506</v>
      </c>
      <c r="BP77" t="s">
        <v>74</v>
      </c>
      <c r="BQ77" t="s">
        <v>74</v>
      </c>
      <c r="BR77" t="s">
        <v>105</v>
      </c>
      <c r="BS77" t="s">
        <v>1679</v>
      </c>
      <c r="BT77" t="str">
        <f>HYPERLINK("https%3A%2F%2Fwww.webofscience.com%2Fwos%2Fwoscc%2Ffull-record%2FWOS:000396119500031","View Full Record in Web of Science")</f>
        <v>View Full Record in Web of Science</v>
      </c>
    </row>
    <row r="78" spans="1:72" x14ac:dyDescent="0.15">
      <c r="A78" t="s">
        <v>72</v>
      </c>
      <c r="B78" t="s">
        <v>1680</v>
      </c>
      <c r="C78" t="s">
        <v>74</v>
      </c>
      <c r="D78" t="s">
        <v>74</v>
      </c>
      <c r="E78" t="s">
        <v>74</v>
      </c>
      <c r="F78" t="s">
        <v>1681</v>
      </c>
      <c r="G78" t="s">
        <v>74</v>
      </c>
      <c r="H78" t="s">
        <v>74</v>
      </c>
      <c r="I78" t="s">
        <v>1682</v>
      </c>
      <c r="J78" t="s">
        <v>795</v>
      </c>
      <c r="K78" t="s">
        <v>74</v>
      </c>
      <c r="L78" t="s">
        <v>74</v>
      </c>
      <c r="M78" t="s">
        <v>78</v>
      </c>
      <c r="N78" t="s">
        <v>79</v>
      </c>
      <c r="O78" t="s">
        <v>74</v>
      </c>
      <c r="P78" t="s">
        <v>74</v>
      </c>
      <c r="Q78" t="s">
        <v>74</v>
      </c>
      <c r="R78" t="s">
        <v>74</v>
      </c>
      <c r="S78" t="s">
        <v>74</v>
      </c>
      <c r="T78" t="s">
        <v>74</v>
      </c>
      <c r="U78" t="s">
        <v>1683</v>
      </c>
      <c r="V78" t="s">
        <v>1684</v>
      </c>
      <c r="W78" t="s">
        <v>1685</v>
      </c>
      <c r="X78" t="s">
        <v>1686</v>
      </c>
      <c r="Y78" t="s">
        <v>1687</v>
      </c>
      <c r="Z78" t="s">
        <v>1688</v>
      </c>
      <c r="AA78" t="s">
        <v>1689</v>
      </c>
      <c r="AB78" t="s">
        <v>1690</v>
      </c>
      <c r="AC78" t="s">
        <v>1691</v>
      </c>
      <c r="AD78" t="s">
        <v>1692</v>
      </c>
      <c r="AE78" t="s">
        <v>1693</v>
      </c>
      <c r="AF78" t="s">
        <v>74</v>
      </c>
      <c r="AG78">
        <v>45</v>
      </c>
      <c r="AH78">
        <v>103</v>
      </c>
      <c r="AI78">
        <v>115</v>
      </c>
      <c r="AJ78">
        <v>2</v>
      </c>
      <c r="AK78">
        <v>72</v>
      </c>
      <c r="AL78" t="s">
        <v>582</v>
      </c>
      <c r="AM78" t="s">
        <v>583</v>
      </c>
      <c r="AN78" t="s">
        <v>584</v>
      </c>
      <c r="AO78" t="s">
        <v>807</v>
      </c>
      <c r="AP78" t="s">
        <v>808</v>
      </c>
      <c r="AQ78" t="s">
        <v>74</v>
      </c>
      <c r="AR78" t="s">
        <v>795</v>
      </c>
      <c r="AS78" t="s">
        <v>809</v>
      </c>
      <c r="AT78" t="s">
        <v>1639</v>
      </c>
      <c r="AU78">
        <v>2017</v>
      </c>
      <c r="AV78">
        <v>541</v>
      </c>
      <c r="AW78">
        <v>7635</v>
      </c>
      <c r="AX78" t="s">
        <v>74</v>
      </c>
      <c r="AY78" t="s">
        <v>74</v>
      </c>
      <c r="AZ78" t="s">
        <v>74</v>
      </c>
      <c r="BA78" t="s">
        <v>74</v>
      </c>
      <c r="BB78">
        <v>77</v>
      </c>
      <c r="BC78" t="s">
        <v>1676</v>
      </c>
      <c r="BD78" t="s">
        <v>74</v>
      </c>
      <c r="BE78" t="s">
        <v>1694</v>
      </c>
      <c r="BF78" t="str">
        <f>HYPERLINK("http://dx.doi.org/10.1038/nature20136","http://dx.doi.org/10.1038/nature20136")</f>
        <v>http://dx.doi.org/10.1038/nature20136</v>
      </c>
      <c r="BG78" t="s">
        <v>74</v>
      </c>
      <c r="BH78" t="s">
        <v>74</v>
      </c>
      <c r="BI78">
        <v>12</v>
      </c>
      <c r="BJ78" t="s">
        <v>100</v>
      </c>
      <c r="BK78" t="s">
        <v>101</v>
      </c>
      <c r="BL78" t="s">
        <v>102</v>
      </c>
      <c r="BM78" t="s">
        <v>1678</v>
      </c>
      <c r="BN78">
        <v>27880756</v>
      </c>
      <c r="BO78" t="s">
        <v>1695</v>
      </c>
      <c r="BP78" t="s">
        <v>74</v>
      </c>
      <c r="BQ78" t="s">
        <v>74</v>
      </c>
      <c r="BR78" t="s">
        <v>105</v>
      </c>
      <c r="BS78" t="s">
        <v>1696</v>
      </c>
      <c r="BT78" t="str">
        <f>HYPERLINK("https%3A%2F%2Fwww.webofscience.com%2Fwos%2Fwoscc%2Ffull-record%2FWOS:000396119500032","View Full Record in Web of Science")</f>
        <v>View Full Record in Web of Science</v>
      </c>
    </row>
    <row r="79" spans="1:72" x14ac:dyDescent="0.15">
      <c r="A79" t="s">
        <v>72</v>
      </c>
      <c r="B79" t="s">
        <v>1697</v>
      </c>
      <c r="C79" t="s">
        <v>74</v>
      </c>
      <c r="D79" t="s">
        <v>74</v>
      </c>
      <c r="E79" t="s">
        <v>74</v>
      </c>
      <c r="F79" t="s">
        <v>1698</v>
      </c>
      <c r="G79" t="s">
        <v>74</v>
      </c>
      <c r="H79" t="s">
        <v>74</v>
      </c>
      <c r="I79" t="s">
        <v>1699</v>
      </c>
      <c r="J79" t="s">
        <v>572</v>
      </c>
      <c r="K79" t="s">
        <v>74</v>
      </c>
      <c r="L79" t="s">
        <v>74</v>
      </c>
      <c r="M79" t="s">
        <v>78</v>
      </c>
      <c r="N79" t="s">
        <v>79</v>
      </c>
      <c r="O79" t="s">
        <v>74</v>
      </c>
      <c r="P79" t="s">
        <v>74</v>
      </c>
      <c r="Q79" t="s">
        <v>74</v>
      </c>
      <c r="R79" t="s">
        <v>74</v>
      </c>
      <c r="S79" t="s">
        <v>74</v>
      </c>
      <c r="T79" t="s">
        <v>74</v>
      </c>
      <c r="U79" t="s">
        <v>1700</v>
      </c>
      <c r="V79" t="s">
        <v>1701</v>
      </c>
      <c r="W79" t="s">
        <v>1702</v>
      </c>
      <c r="X79" t="s">
        <v>1703</v>
      </c>
      <c r="Y79" t="s">
        <v>1704</v>
      </c>
      <c r="Z79" t="s">
        <v>1705</v>
      </c>
      <c r="AA79" t="s">
        <v>1706</v>
      </c>
      <c r="AB79" t="s">
        <v>1707</v>
      </c>
      <c r="AC79" t="s">
        <v>1708</v>
      </c>
      <c r="AD79" t="s">
        <v>1709</v>
      </c>
      <c r="AE79" t="s">
        <v>1710</v>
      </c>
      <c r="AF79" t="s">
        <v>74</v>
      </c>
      <c r="AG79">
        <v>38</v>
      </c>
      <c r="AH79">
        <v>29</v>
      </c>
      <c r="AI79">
        <v>33</v>
      </c>
      <c r="AJ79">
        <v>2</v>
      </c>
      <c r="AK79">
        <v>42</v>
      </c>
      <c r="AL79" t="s">
        <v>582</v>
      </c>
      <c r="AM79" t="s">
        <v>583</v>
      </c>
      <c r="AN79" t="s">
        <v>584</v>
      </c>
      <c r="AO79" t="s">
        <v>585</v>
      </c>
      <c r="AP79" t="s">
        <v>74</v>
      </c>
      <c r="AQ79" t="s">
        <v>74</v>
      </c>
      <c r="AR79" t="s">
        <v>586</v>
      </c>
      <c r="AS79" t="s">
        <v>587</v>
      </c>
      <c r="AT79" t="s">
        <v>1639</v>
      </c>
      <c r="AU79">
        <v>2017</v>
      </c>
      <c r="AV79">
        <v>7</v>
      </c>
      <c r="AW79" t="s">
        <v>74</v>
      </c>
      <c r="AX79" t="s">
        <v>74</v>
      </c>
      <c r="AY79" t="s">
        <v>74</v>
      </c>
      <c r="AZ79" t="s">
        <v>74</v>
      </c>
      <c r="BA79" t="s">
        <v>74</v>
      </c>
      <c r="BB79" t="s">
        <v>74</v>
      </c>
      <c r="BC79" t="s">
        <v>74</v>
      </c>
      <c r="BD79">
        <v>39979</v>
      </c>
      <c r="BE79" t="s">
        <v>1711</v>
      </c>
      <c r="BF79" t="str">
        <f>HYPERLINK("http://dx.doi.org/10.1038/srep39979","http://dx.doi.org/10.1038/srep39979")</f>
        <v>http://dx.doi.org/10.1038/srep39979</v>
      </c>
      <c r="BG79" t="s">
        <v>74</v>
      </c>
      <c r="BH79" t="s">
        <v>74</v>
      </c>
      <c r="BI79">
        <v>10</v>
      </c>
      <c r="BJ79" t="s">
        <v>100</v>
      </c>
      <c r="BK79" t="s">
        <v>101</v>
      </c>
      <c r="BL79" t="s">
        <v>102</v>
      </c>
      <c r="BM79" t="s">
        <v>1712</v>
      </c>
      <c r="BN79">
        <v>28054598</v>
      </c>
      <c r="BO79" t="s">
        <v>1713</v>
      </c>
      <c r="BP79" t="s">
        <v>74</v>
      </c>
      <c r="BQ79" t="s">
        <v>74</v>
      </c>
      <c r="BR79" t="s">
        <v>105</v>
      </c>
      <c r="BS79" t="s">
        <v>1714</v>
      </c>
      <c r="BT79" t="str">
        <f>HYPERLINK("https%3A%2F%2Fwww.webofscience.com%2Fwos%2Fwoscc%2Ffull-record%2FWOS:000391187700001","View Full Record in Web of Science")</f>
        <v>View Full Record in Web of Science</v>
      </c>
    </row>
    <row r="80" spans="1:72" x14ac:dyDescent="0.15">
      <c r="A80" t="s">
        <v>72</v>
      </c>
      <c r="B80" t="s">
        <v>1715</v>
      </c>
      <c r="C80" t="s">
        <v>74</v>
      </c>
      <c r="D80" t="s">
        <v>74</v>
      </c>
      <c r="E80" t="s">
        <v>74</v>
      </c>
      <c r="F80" t="s">
        <v>1716</v>
      </c>
      <c r="G80" t="s">
        <v>74</v>
      </c>
      <c r="H80" t="s">
        <v>74</v>
      </c>
      <c r="I80" t="s">
        <v>1717</v>
      </c>
      <c r="J80" t="s">
        <v>1718</v>
      </c>
      <c r="K80" t="s">
        <v>74</v>
      </c>
      <c r="L80" t="s">
        <v>74</v>
      </c>
      <c r="M80" t="s">
        <v>78</v>
      </c>
      <c r="N80" t="s">
        <v>79</v>
      </c>
      <c r="O80" t="s">
        <v>74</v>
      </c>
      <c r="P80" t="s">
        <v>74</v>
      </c>
      <c r="Q80" t="s">
        <v>74</v>
      </c>
      <c r="R80" t="s">
        <v>74</v>
      </c>
      <c r="S80" t="s">
        <v>74</v>
      </c>
      <c r="T80" t="s">
        <v>1719</v>
      </c>
      <c r="U80" t="s">
        <v>1720</v>
      </c>
      <c r="V80" t="s">
        <v>1721</v>
      </c>
      <c r="W80" t="s">
        <v>1722</v>
      </c>
      <c r="X80" t="s">
        <v>1723</v>
      </c>
      <c r="Y80" t="s">
        <v>1724</v>
      </c>
      <c r="Z80" t="s">
        <v>1725</v>
      </c>
      <c r="AA80" t="s">
        <v>1726</v>
      </c>
      <c r="AB80" t="s">
        <v>1727</v>
      </c>
      <c r="AC80" t="s">
        <v>1728</v>
      </c>
      <c r="AD80" t="s">
        <v>1729</v>
      </c>
      <c r="AE80" t="s">
        <v>1730</v>
      </c>
      <c r="AF80" t="s">
        <v>74</v>
      </c>
      <c r="AG80">
        <v>75</v>
      </c>
      <c r="AH80">
        <v>14</v>
      </c>
      <c r="AI80">
        <v>14</v>
      </c>
      <c r="AJ80">
        <v>0</v>
      </c>
      <c r="AK80">
        <v>0</v>
      </c>
      <c r="AL80" t="s">
        <v>1731</v>
      </c>
      <c r="AM80" t="s">
        <v>1732</v>
      </c>
      <c r="AN80" t="s">
        <v>1733</v>
      </c>
      <c r="AO80" t="s">
        <v>1734</v>
      </c>
      <c r="AP80" t="s">
        <v>74</v>
      </c>
      <c r="AQ80" t="s">
        <v>74</v>
      </c>
      <c r="AR80" t="s">
        <v>1735</v>
      </c>
      <c r="AS80" t="s">
        <v>1736</v>
      </c>
      <c r="AT80" t="s">
        <v>1737</v>
      </c>
      <c r="AU80">
        <v>2017</v>
      </c>
      <c r="AV80">
        <v>4</v>
      </c>
      <c r="AW80" t="s">
        <v>74</v>
      </c>
      <c r="AX80" t="s">
        <v>74</v>
      </c>
      <c r="AY80" t="s">
        <v>74</v>
      </c>
      <c r="AZ80" t="s">
        <v>74</v>
      </c>
      <c r="BA80" t="s">
        <v>74</v>
      </c>
      <c r="BB80" t="s">
        <v>74</v>
      </c>
      <c r="BC80" t="s">
        <v>74</v>
      </c>
      <c r="BD80">
        <v>139</v>
      </c>
      <c r="BE80" t="s">
        <v>1738</v>
      </c>
      <c r="BF80" t="str">
        <f>HYPERLINK("http://dx.doi.org/10.3389/fevo.2016.00139","http://dx.doi.org/10.3389/fevo.2016.00139")</f>
        <v>http://dx.doi.org/10.3389/fevo.2016.00139</v>
      </c>
      <c r="BG80" t="s">
        <v>74</v>
      </c>
      <c r="BH80" t="s">
        <v>74</v>
      </c>
      <c r="BI80">
        <v>19</v>
      </c>
      <c r="BJ80" t="s">
        <v>1739</v>
      </c>
      <c r="BK80" t="s">
        <v>101</v>
      </c>
      <c r="BL80" t="s">
        <v>178</v>
      </c>
      <c r="BM80" t="s">
        <v>1740</v>
      </c>
      <c r="BN80" t="s">
        <v>74</v>
      </c>
      <c r="BO80" t="s">
        <v>941</v>
      </c>
      <c r="BP80" t="s">
        <v>74</v>
      </c>
      <c r="BQ80" t="s">
        <v>74</v>
      </c>
      <c r="BR80" t="s">
        <v>105</v>
      </c>
      <c r="BS80" t="s">
        <v>1741</v>
      </c>
      <c r="BT80" t="str">
        <f>HYPERLINK("https%3A%2F%2Fwww.webofscience.com%2Fwos%2Fwoscc%2Ffull-record%2FWOS:000451534200001","View Full Record in Web of Science")</f>
        <v>View Full Record in Web of Science</v>
      </c>
    </row>
    <row r="81" spans="1:72" x14ac:dyDescent="0.15">
      <c r="A81" t="s">
        <v>72</v>
      </c>
      <c r="B81" t="s">
        <v>1742</v>
      </c>
      <c r="C81" t="s">
        <v>74</v>
      </c>
      <c r="D81" t="s">
        <v>74</v>
      </c>
      <c r="E81" t="s">
        <v>74</v>
      </c>
      <c r="F81" t="s">
        <v>1743</v>
      </c>
      <c r="G81" t="s">
        <v>74</v>
      </c>
      <c r="H81" t="s">
        <v>74</v>
      </c>
      <c r="I81" t="s">
        <v>1744</v>
      </c>
      <c r="J81" t="s">
        <v>769</v>
      </c>
      <c r="K81" t="s">
        <v>74</v>
      </c>
      <c r="L81" t="s">
        <v>74</v>
      </c>
      <c r="M81" t="s">
        <v>78</v>
      </c>
      <c r="N81" t="s">
        <v>79</v>
      </c>
      <c r="O81" t="s">
        <v>74</v>
      </c>
      <c r="P81" t="s">
        <v>74</v>
      </c>
      <c r="Q81" t="s">
        <v>74</v>
      </c>
      <c r="R81" t="s">
        <v>74</v>
      </c>
      <c r="S81" t="s">
        <v>74</v>
      </c>
      <c r="T81" t="s">
        <v>74</v>
      </c>
      <c r="U81" t="s">
        <v>1745</v>
      </c>
      <c r="V81" t="s">
        <v>1746</v>
      </c>
      <c r="W81" t="s">
        <v>1747</v>
      </c>
      <c r="X81" t="s">
        <v>1748</v>
      </c>
      <c r="Y81" t="s">
        <v>1749</v>
      </c>
      <c r="Z81" t="s">
        <v>1750</v>
      </c>
      <c r="AA81" t="s">
        <v>1751</v>
      </c>
      <c r="AB81" t="s">
        <v>1752</v>
      </c>
      <c r="AC81" t="s">
        <v>1753</v>
      </c>
      <c r="AD81" t="s">
        <v>1754</v>
      </c>
      <c r="AE81" t="s">
        <v>1755</v>
      </c>
      <c r="AF81" t="s">
        <v>74</v>
      </c>
      <c r="AG81">
        <v>84</v>
      </c>
      <c r="AH81">
        <v>9</v>
      </c>
      <c r="AI81">
        <v>10</v>
      </c>
      <c r="AJ81">
        <v>0</v>
      </c>
      <c r="AK81">
        <v>12</v>
      </c>
      <c r="AL81" t="s">
        <v>781</v>
      </c>
      <c r="AM81" t="s">
        <v>782</v>
      </c>
      <c r="AN81" t="s">
        <v>783</v>
      </c>
      <c r="AO81" t="s">
        <v>784</v>
      </c>
      <c r="AP81" t="s">
        <v>74</v>
      </c>
      <c r="AQ81" t="s">
        <v>74</v>
      </c>
      <c r="AR81" t="s">
        <v>769</v>
      </c>
      <c r="AS81" t="s">
        <v>785</v>
      </c>
      <c r="AT81" t="s">
        <v>1737</v>
      </c>
      <c r="AU81">
        <v>2017</v>
      </c>
      <c r="AV81">
        <v>12</v>
      </c>
      <c r="AW81">
        <v>1</v>
      </c>
      <c r="AX81" t="s">
        <v>74</v>
      </c>
      <c r="AY81" t="s">
        <v>74</v>
      </c>
      <c r="AZ81" t="s">
        <v>74</v>
      </c>
      <c r="BA81" t="s">
        <v>74</v>
      </c>
      <c r="BB81" t="s">
        <v>74</v>
      </c>
      <c r="BC81" t="s">
        <v>74</v>
      </c>
      <c r="BD81" t="s">
        <v>1756</v>
      </c>
      <c r="BE81" t="s">
        <v>1757</v>
      </c>
      <c r="BF81" t="str">
        <f>HYPERLINK("http://dx.doi.org/10.1371/journal.pone.0168648","http://dx.doi.org/10.1371/journal.pone.0168648")</f>
        <v>http://dx.doi.org/10.1371/journal.pone.0168648</v>
      </c>
      <c r="BG81" t="s">
        <v>74</v>
      </c>
      <c r="BH81" t="s">
        <v>74</v>
      </c>
      <c r="BI81">
        <v>21</v>
      </c>
      <c r="BJ81" t="s">
        <v>100</v>
      </c>
      <c r="BK81" t="s">
        <v>101</v>
      </c>
      <c r="BL81" t="s">
        <v>102</v>
      </c>
      <c r="BM81" t="s">
        <v>1758</v>
      </c>
      <c r="BN81">
        <v>28052087</v>
      </c>
      <c r="BO81" t="s">
        <v>1759</v>
      </c>
      <c r="BP81" t="s">
        <v>74</v>
      </c>
      <c r="BQ81" t="s">
        <v>74</v>
      </c>
      <c r="BR81" t="s">
        <v>105</v>
      </c>
      <c r="BS81" t="s">
        <v>1760</v>
      </c>
      <c r="BT81" t="str">
        <f>HYPERLINK("https%3A%2F%2Fwww.webofscience.com%2Fwos%2Fwoscc%2Ffull-record%2FWOS:000391621500020","View Full Record in Web of Science")</f>
        <v>View Full Record in Web of Science</v>
      </c>
    </row>
    <row r="82" spans="1:72" x14ac:dyDescent="0.15">
      <c r="A82" t="s">
        <v>72</v>
      </c>
      <c r="B82" t="s">
        <v>1761</v>
      </c>
      <c r="C82" t="s">
        <v>74</v>
      </c>
      <c r="D82" t="s">
        <v>74</v>
      </c>
      <c r="E82" t="s">
        <v>74</v>
      </c>
      <c r="F82" t="s">
        <v>1762</v>
      </c>
      <c r="G82" t="s">
        <v>74</v>
      </c>
      <c r="H82" t="s">
        <v>74</v>
      </c>
      <c r="I82" t="s">
        <v>1763</v>
      </c>
      <c r="J82" t="s">
        <v>836</v>
      </c>
      <c r="K82" t="s">
        <v>74</v>
      </c>
      <c r="L82" t="s">
        <v>74</v>
      </c>
      <c r="M82" t="s">
        <v>78</v>
      </c>
      <c r="N82" t="s">
        <v>79</v>
      </c>
      <c r="O82" t="s">
        <v>74</v>
      </c>
      <c r="P82" t="s">
        <v>74</v>
      </c>
      <c r="Q82" t="s">
        <v>74</v>
      </c>
      <c r="R82" t="s">
        <v>74</v>
      </c>
      <c r="S82" t="s">
        <v>74</v>
      </c>
      <c r="T82" t="s">
        <v>1764</v>
      </c>
      <c r="U82" t="s">
        <v>1765</v>
      </c>
      <c r="V82" t="s">
        <v>1766</v>
      </c>
      <c r="W82" t="s">
        <v>1767</v>
      </c>
      <c r="X82" t="s">
        <v>1768</v>
      </c>
      <c r="Y82" t="s">
        <v>1769</v>
      </c>
      <c r="Z82" t="s">
        <v>1770</v>
      </c>
      <c r="AA82" t="s">
        <v>1771</v>
      </c>
      <c r="AB82" t="s">
        <v>1772</v>
      </c>
      <c r="AC82" t="s">
        <v>1773</v>
      </c>
      <c r="AD82" t="s">
        <v>1774</v>
      </c>
      <c r="AE82" t="s">
        <v>1775</v>
      </c>
      <c r="AF82" t="s">
        <v>74</v>
      </c>
      <c r="AG82">
        <v>76</v>
      </c>
      <c r="AH82">
        <v>15</v>
      </c>
      <c r="AI82">
        <v>17</v>
      </c>
      <c r="AJ82">
        <v>1</v>
      </c>
      <c r="AK82">
        <v>8</v>
      </c>
      <c r="AL82" t="s">
        <v>608</v>
      </c>
      <c r="AM82" t="s">
        <v>609</v>
      </c>
      <c r="AN82" t="s">
        <v>610</v>
      </c>
      <c r="AO82" t="s">
        <v>848</v>
      </c>
      <c r="AP82" t="s">
        <v>849</v>
      </c>
      <c r="AQ82" t="s">
        <v>74</v>
      </c>
      <c r="AR82" t="s">
        <v>850</v>
      </c>
      <c r="AS82" t="s">
        <v>851</v>
      </c>
      <c r="AT82" t="s">
        <v>1776</v>
      </c>
      <c r="AU82">
        <v>2017</v>
      </c>
      <c r="AV82">
        <v>35</v>
      </c>
      <c r="AW82">
        <v>1</v>
      </c>
      <c r="AX82" t="s">
        <v>74</v>
      </c>
      <c r="AY82" t="s">
        <v>74</v>
      </c>
      <c r="AZ82" t="s">
        <v>74</v>
      </c>
      <c r="BA82" t="s">
        <v>74</v>
      </c>
      <c r="BB82">
        <v>25</v>
      </c>
      <c r="BC82">
        <v>37</v>
      </c>
      <c r="BD82" t="s">
        <v>74</v>
      </c>
      <c r="BE82" t="s">
        <v>1777</v>
      </c>
      <c r="BF82" t="str">
        <f>HYPERLINK("http://dx.doi.org/10.5194/angeo-35-25-2017","http://dx.doi.org/10.5194/angeo-35-25-2017")</f>
        <v>http://dx.doi.org/10.5194/angeo-35-25-2017</v>
      </c>
      <c r="BG82" t="s">
        <v>74</v>
      </c>
      <c r="BH82" t="s">
        <v>74</v>
      </c>
      <c r="BI82">
        <v>13</v>
      </c>
      <c r="BJ82" t="s">
        <v>854</v>
      </c>
      <c r="BK82" t="s">
        <v>101</v>
      </c>
      <c r="BL82" t="s">
        <v>855</v>
      </c>
      <c r="BM82" t="s">
        <v>1778</v>
      </c>
      <c r="BN82" t="s">
        <v>74</v>
      </c>
      <c r="BO82" t="s">
        <v>892</v>
      </c>
      <c r="BP82" t="s">
        <v>74</v>
      </c>
      <c r="BQ82" t="s">
        <v>74</v>
      </c>
      <c r="BR82" t="s">
        <v>105</v>
      </c>
      <c r="BS82" t="s">
        <v>1779</v>
      </c>
      <c r="BT82" t="str">
        <f>HYPERLINK("https%3A%2F%2Fwww.webofscience.com%2Fwos%2Fwoscc%2Ffull-record%2FWOS:000392199500003","View Full Record in Web of Science")</f>
        <v>View Full Record in Web of Science</v>
      </c>
    </row>
    <row r="83" spans="1:72" x14ac:dyDescent="0.15">
      <c r="A83" t="s">
        <v>72</v>
      </c>
      <c r="B83" t="s">
        <v>1780</v>
      </c>
      <c r="C83" t="s">
        <v>74</v>
      </c>
      <c r="D83" t="s">
        <v>74</v>
      </c>
      <c r="E83" t="s">
        <v>74</v>
      </c>
      <c r="F83" t="s">
        <v>1781</v>
      </c>
      <c r="G83" t="s">
        <v>74</v>
      </c>
      <c r="H83" t="s">
        <v>74</v>
      </c>
      <c r="I83" t="s">
        <v>1782</v>
      </c>
      <c r="J83" t="s">
        <v>1783</v>
      </c>
      <c r="K83" t="s">
        <v>74</v>
      </c>
      <c r="L83" t="s">
        <v>74</v>
      </c>
      <c r="M83" t="s">
        <v>78</v>
      </c>
      <c r="N83" t="s">
        <v>79</v>
      </c>
      <c r="O83" t="s">
        <v>74</v>
      </c>
      <c r="P83" t="s">
        <v>74</v>
      </c>
      <c r="Q83" t="s">
        <v>74</v>
      </c>
      <c r="R83" t="s">
        <v>74</v>
      </c>
      <c r="S83" t="s">
        <v>74</v>
      </c>
      <c r="T83" t="s">
        <v>1784</v>
      </c>
      <c r="U83" t="s">
        <v>1785</v>
      </c>
      <c r="V83" t="s">
        <v>1786</v>
      </c>
      <c r="W83" t="s">
        <v>1787</v>
      </c>
      <c r="X83" t="s">
        <v>1788</v>
      </c>
      <c r="Y83" t="s">
        <v>1789</v>
      </c>
      <c r="Z83" t="s">
        <v>1790</v>
      </c>
      <c r="AA83" t="s">
        <v>1791</v>
      </c>
      <c r="AB83" t="s">
        <v>1792</v>
      </c>
      <c r="AC83" t="s">
        <v>1793</v>
      </c>
      <c r="AD83" t="s">
        <v>1794</v>
      </c>
      <c r="AE83" t="s">
        <v>1795</v>
      </c>
      <c r="AF83" t="s">
        <v>74</v>
      </c>
      <c r="AG83">
        <v>47</v>
      </c>
      <c r="AH83">
        <v>65</v>
      </c>
      <c r="AI83">
        <v>71</v>
      </c>
      <c r="AJ83">
        <v>2</v>
      </c>
      <c r="AK83">
        <v>43</v>
      </c>
      <c r="AL83" t="s">
        <v>1796</v>
      </c>
      <c r="AM83" t="s">
        <v>142</v>
      </c>
      <c r="AN83" t="s">
        <v>1797</v>
      </c>
      <c r="AO83" t="s">
        <v>1798</v>
      </c>
      <c r="AP83" t="s">
        <v>74</v>
      </c>
      <c r="AQ83" t="s">
        <v>74</v>
      </c>
      <c r="AR83" t="s">
        <v>1799</v>
      </c>
      <c r="AS83" t="s">
        <v>1800</v>
      </c>
      <c r="AT83" t="s">
        <v>1776</v>
      </c>
      <c r="AU83">
        <v>2017</v>
      </c>
      <c r="AV83">
        <v>114</v>
      </c>
      <c r="AW83">
        <v>1</v>
      </c>
      <c r="AX83" t="s">
        <v>74</v>
      </c>
      <c r="AY83" t="s">
        <v>74</v>
      </c>
      <c r="AZ83" t="s">
        <v>74</v>
      </c>
      <c r="BA83" t="s">
        <v>74</v>
      </c>
      <c r="BB83">
        <v>45</v>
      </c>
      <c r="BC83">
        <v>50</v>
      </c>
      <c r="BD83" t="s">
        <v>74</v>
      </c>
      <c r="BE83" t="s">
        <v>1801</v>
      </c>
      <c r="BF83" t="str">
        <f>HYPERLINK("http://dx.doi.org/10.1073/pnas.1610438113","http://dx.doi.org/10.1073/pnas.1610438113")</f>
        <v>http://dx.doi.org/10.1073/pnas.1610438113</v>
      </c>
      <c r="BG83" t="s">
        <v>74</v>
      </c>
      <c r="BH83" t="s">
        <v>74</v>
      </c>
      <c r="BI83">
        <v>6</v>
      </c>
      <c r="BJ83" t="s">
        <v>100</v>
      </c>
      <c r="BK83" t="s">
        <v>101</v>
      </c>
      <c r="BL83" t="s">
        <v>102</v>
      </c>
      <c r="BM83" t="s">
        <v>1802</v>
      </c>
      <c r="BN83">
        <v>27994158</v>
      </c>
      <c r="BO83" t="s">
        <v>1803</v>
      </c>
      <c r="BP83" t="s">
        <v>74</v>
      </c>
      <c r="BQ83" t="s">
        <v>74</v>
      </c>
      <c r="BR83" t="s">
        <v>105</v>
      </c>
      <c r="BS83" t="s">
        <v>1804</v>
      </c>
      <c r="BT83" t="str">
        <f>HYPERLINK("https%3A%2F%2Fwww.webofscience.com%2Fwos%2Fwoscc%2Ffull-record%2FWOS:000391093700024","View Full Record in Web of Science")</f>
        <v>View Full Record in Web of Science</v>
      </c>
    </row>
    <row r="84" spans="1:72" x14ac:dyDescent="0.15">
      <c r="A84" t="s">
        <v>72</v>
      </c>
      <c r="B84" t="s">
        <v>1805</v>
      </c>
      <c r="C84" t="s">
        <v>74</v>
      </c>
      <c r="D84" t="s">
        <v>74</v>
      </c>
      <c r="E84" t="s">
        <v>74</v>
      </c>
      <c r="F84" t="s">
        <v>1806</v>
      </c>
      <c r="G84" t="s">
        <v>74</v>
      </c>
      <c r="H84" t="s">
        <v>74</v>
      </c>
      <c r="I84" t="s">
        <v>1807</v>
      </c>
      <c r="J84" t="s">
        <v>964</v>
      </c>
      <c r="K84" t="s">
        <v>74</v>
      </c>
      <c r="L84" t="s">
        <v>74</v>
      </c>
      <c r="M84" t="s">
        <v>78</v>
      </c>
      <c r="N84" t="s">
        <v>79</v>
      </c>
      <c r="O84" t="s">
        <v>74</v>
      </c>
      <c r="P84" t="s">
        <v>74</v>
      </c>
      <c r="Q84" t="s">
        <v>74</v>
      </c>
      <c r="R84" t="s">
        <v>74</v>
      </c>
      <c r="S84" t="s">
        <v>74</v>
      </c>
      <c r="T84" t="s">
        <v>74</v>
      </c>
      <c r="U84" t="s">
        <v>1808</v>
      </c>
      <c r="V84" t="s">
        <v>1809</v>
      </c>
      <c r="W84" t="s">
        <v>1810</v>
      </c>
      <c r="X84" t="s">
        <v>1811</v>
      </c>
      <c r="Y84" t="s">
        <v>1812</v>
      </c>
      <c r="Z84" t="s">
        <v>1813</v>
      </c>
      <c r="AA84" t="s">
        <v>1814</v>
      </c>
      <c r="AB84" t="s">
        <v>1815</v>
      </c>
      <c r="AC84" t="s">
        <v>1816</v>
      </c>
      <c r="AD84" t="s">
        <v>1817</v>
      </c>
      <c r="AE84" t="s">
        <v>1818</v>
      </c>
      <c r="AF84" t="s">
        <v>74</v>
      </c>
      <c r="AG84">
        <v>79</v>
      </c>
      <c r="AH84">
        <v>20</v>
      </c>
      <c r="AI84">
        <v>22</v>
      </c>
      <c r="AJ84">
        <v>4</v>
      </c>
      <c r="AK84">
        <v>45</v>
      </c>
      <c r="AL84" t="s">
        <v>608</v>
      </c>
      <c r="AM84" t="s">
        <v>609</v>
      </c>
      <c r="AN84" t="s">
        <v>610</v>
      </c>
      <c r="AO84" t="s">
        <v>975</v>
      </c>
      <c r="AP84" t="s">
        <v>976</v>
      </c>
      <c r="AQ84" t="s">
        <v>74</v>
      </c>
      <c r="AR84" t="s">
        <v>977</v>
      </c>
      <c r="AS84" t="s">
        <v>978</v>
      </c>
      <c r="AT84" t="s">
        <v>1819</v>
      </c>
      <c r="AU84">
        <v>2017</v>
      </c>
      <c r="AV84">
        <v>17</v>
      </c>
      <c r="AW84">
        <v>1</v>
      </c>
      <c r="AX84" t="s">
        <v>74</v>
      </c>
      <c r="AY84" t="s">
        <v>74</v>
      </c>
      <c r="AZ84" t="s">
        <v>74</v>
      </c>
      <c r="BA84" t="s">
        <v>74</v>
      </c>
      <c r="BB84">
        <v>1</v>
      </c>
      <c r="BC84">
        <v>20</v>
      </c>
      <c r="BD84" t="s">
        <v>74</v>
      </c>
      <c r="BE84" t="s">
        <v>1820</v>
      </c>
      <c r="BF84" t="str">
        <f>HYPERLINK("http://dx.doi.org/10.5194/acp-17-1-2017","http://dx.doi.org/10.5194/acp-17-1-2017")</f>
        <v>http://dx.doi.org/10.5194/acp-17-1-2017</v>
      </c>
      <c r="BG84" t="s">
        <v>74</v>
      </c>
      <c r="BH84" t="s">
        <v>74</v>
      </c>
      <c r="BI84">
        <v>20</v>
      </c>
      <c r="BJ84" t="s">
        <v>981</v>
      </c>
      <c r="BK84" t="s">
        <v>101</v>
      </c>
      <c r="BL84" t="s">
        <v>982</v>
      </c>
      <c r="BM84" t="s">
        <v>1821</v>
      </c>
      <c r="BN84" t="s">
        <v>74</v>
      </c>
      <c r="BO84" t="s">
        <v>892</v>
      </c>
      <c r="BP84" t="s">
        <v>74</v>
      </c>
      <c r="BQ84" t="s">
        <v>74</v>
      </c>
      <c r="BR84" t="s">
        <v>105</v>
      </c>
      <c r="BS84" t="s">
        <v>1822</v>
      </c>
      <c r="BT84" t="str">
        <f>HYPERLINK("https%3A%2F%2Fwww.webofscience.com%2Fwos%2Fwoscc%2Ffull-record%2FWOS:000392100900001","View Full Record in Web of Science")</f>
        <v>View Full Record in Web of Science</v>
      </c>
    </row>
    <row r="85" spans="1:72" x14ac:dyDescent="0.15">
      <c r="A85" t="s">
        <v>1823</v>
      </c>
      <c r="B85" t="s">
        <v>1824</v>
      </c>
      <c r="C85" t="s">
        <v>74</v>
      </c>
      <c r="D85" t="s">
        <v>74</v>
      </c>
      <c r="E85" t="s">
        <v>1825</v>
      </c>
      <c r="F85" t="s">
        <v>1826</v>
      </c>
      <c r="G85" t="s">
        <v>74</v>
      </c>
      <c r="H85" t="s">
        <v>74</v>
      </c>
      <c r="I85" t="s">
        <v>1827</v>
      </c>
      <c r="J85" t="s">
        <v>1828</v>
      </c>
      <c r="K85" t="s">
        <v>74</v>
      </c>
      <c r="L85" t="s">
        <v>74</v>
      </c>
      <c r="M85" t="s">
        <v>78</v>
      </c>
      <c r="N85" t="s">
        <v>1829</v>
      </c>
      <c r="O85" t="s">
        <v>1830</v>
      </c>
      <c r="P85" t="s">
        <v>1831</v>
      </c>
      <c r="Q85" t="s">
        <v>1832</v>
      </c>
      <c r="R85" t="s">
        <v>74</v>
      </c>
      <c r="S85" t="s">
        <v>74</v>
      </c>
      <c r="T85" t="s">
        <v>1833</v>
      </c>
      <c r="U85" t="s">
        <v>1834</v>
      </c>
      <c r="V85" t="s">
        <v>1835</v>
      </c>
      <c r="W85" t="s">
        <v>1836</v>
      </c>
      <c r="X85" t="s">
        <v>1837</v>
      </c>
      <c r="Y85" t="s">
        <v>1838</v>
      </c>
      <c r="Z85" t="s">
        <v>1839</v>
      </c>
      <c r="AA85" t="s">
        <v>1840</v>
      </c>
      <c r="AB85" t="s">
        <v>1841</v>
      </c>
      <c r="AC85" t="s">
        <v>74</v>
      </c>
      <c r="AD85" t="s">
        <v>74</v>
      </c>
      <c r="AE85" t="s">
        <v>74</v>
      </c>
      <c r="AF85" t="s">
        <v>74</v>
      </c>
      <c r="AG85">
        <v>43</v>
      </c>
      <c r="AH85">
        <v>0</v>
      </c>
      <c r="AI85">
        <v>0</v>
      </c>
      <c r="AJ85">
        <v>2</v>
      </c>
      <c r="AK85">
        <v>5</v>
      </c>
      <c r="AL85" t="s">
        <v>1825</v>
      </c>
      <c r="AM85" t="s">
        <v>187</v>
      </c>
      <c r="AN85" t="s">
        <v>1842</v>
      </c>
      <c r="AO85" t="s">
        <v>74</v>
      </c>
      <c r="AP85" t="s">
        <v>74</v>
      </c>
      <c r="AQ85" t="s">
        <v>74</v>
      </c>
      <c r="AR85" t="s">
        <v>74</v>
      </c>
      <c r="AS85" t="s">
        <v>74</v>
      </c>
      <c r="AT85" t="s">
        <v>74</v>
      </c>
      <c r="AU85">
        <v>2017</v>
      </c>
      <c r="AV85" t="s">
        <v>74</v>
      </c>
      <c r="AW85" t="s">
        <v>74</v>
      </c>
      <c r="AX85" t="s">
        <v>74</v>
      </c>
      <c r="AY85" t="s">
        <v>74</v>
      </c>
      <c r="AZ85" t="s">
        <v>74</v>
      </c>
      <c r="BA85" t="s">
        <v>74</v>
      </c>
      <c r="BB85" t="s">
        <v>74</v>
      </c>
      <c r="BC85" t="s">
        <v>74</v>
      </c>
      <c r="BD85" t="s">
        <v>74</v>
      </c>
      <c r="BE85" t="s">
        <v>74</v>
      </c>
      <c r="BF85" t="s">
        <v>74</v>
      </c>
      <c r="BG85" t="s">
        <v>74</v>
      </c>
      <c r="BH85" t="s">
        <v>74</v>
      </c>
      <c r="BI85">
        <v>6</v>
      </c>
      <c r="BJ85" t="s">
        <v>1843</v>
      </c>
      <c r="BK85" t="s">
        <v>1844</v>
      </c>
      <c r="BL85" t="s">
        <v>1845</v>
      </c>
      <c r="BM85" t="s">
        <v>1846</v>
      </c>
      <c r="BN85" t="s">
        <v>74</v>
      </c>
      <c r="BO85" t="s">
        <v>74</v>
      </c>
      <c r="BP85" t="s">
        <v>74</v>
      </c>
      <c r="BQ85" t="s">
        <v>74</v>
      </c>
      <c r="BR85" t="s">
        <v>105</v>
      </c>
      <c r="BS85" t="s">
        <v>1847</v>
      </c>
      <c r="BT85" t="str">
        <f>HYPERLINK("https%3A%2F%2Fwww.webofscience.com%2Fwos%2Fwoscc%2Ffull-record%2FWOS:000452153400017","View Full Record in Web of Science")</f>
        <v>View Full Record in Web of Science</v>
      </c>
    </row>
    <row r="86" spans="1:72" x14ac:dyDescent="0.15">
      <c r="A86" t="s">
        <v>1823</v>
      </c>
      <c r="B86" t="s">
        <v>1848</v>
      </c>
      <c r="C86" t="s">
        <v>74</v>
      </c>
      <c r="D86" t="s">
        <v>74</v>
      </c>
      <c r="E86" t="s">
        <v>1825</v>
      </c>
      <c r="F86" t="s">
        <v>1849</v>
      </c>
      <c r="G86" t="s">
        <v>74</v>
      </c>
      <c r="H86" t="s">
        <v>74</v>
      </c>
      <c r="I86" t="s">
        <v>1850</v>
      </c>
      <c r="J86" t="s">
        <v>1851</v>
      </c>
      <c r="K86" t="s">
        <v>1852</v>
      </c>
      <c r="L86" t="s">
        <v>74</v>
      </c>
      <c r="M86" t="s">
        <v>78</v>
      </c>
      <c r="N86" t="s">
        <v>1829</v>
      </c>
      <c r="O86" t="s">
        <v>1853</v>
      </c>
      <c r="P86" t="s">
        <v>1854</v>
      </c>
      <c r="Q86" t="s">
        <v>1855</v>
      </c>
      <c r="R86" t="s">
        <v>74</v>
      </c>
      <c r="S86" t="s">
        <v>74</v>
      </c>
      <c r="T86" t="s">
        <v>74</v>
      </c>
      <c r="U86" t="s">
        <v>74</v>
      </c>
      <c r="V86" t="s">
        <v>1856</v>
      </c>
      <c r="W86" t="s">
        <v>1857</v>
      </c>
      <c r="X86" t="s">
        <v>1858</v>
      </c>
      <c r="Y86" t="s">
        <v>1859</v>
      </c>
      <c r="Z86" t="s">
        <v>74</v>
      </c>
      <c r="AA86" t="s">
        <v>74</v>
      </c>
      <c r="AB86" t="s">
        <v>1860</v>
      </c>
      <c r="AC86" t="s">
        <v>74</v>
      </c>
      <c r="AD86" t="s">
        <v>74</v>
      </c>
      <c r="AE86" t="s">
        <v>74</v>
      </c>
      <c r="AF86" t="s">
        <v>74</v>
      </c>
      <c r="AG86">
        <v>4</v>
      </c>
      <c r="AH86">
        <v>1</v>
      </c>
      <c r="AI86">
        <v>1</v>
      </c>
      <c r="AJ86">
        <v>0</v>
      </c>
      <c r="AK86">
        <v>0</v>
      </c>
      <c r="AL86" t="s">
        <v>1825</v>
      </c>
      <c r="AM86" t="s">
        <v>187</v>
      </c>
      <c r="AN86" t="s">
        <v>1842</v>
      </c>
      <c r="AO86" t="s">
        <v>1861</v>
      </c>
      <c r="AP86" t="s">
        <v>74</v>
      </c>
      <c r="AQ86" t="s">
        <v>1862</v>
      </c>
      <c r="AR86" t="s">
        <v>1863</v>
      </c>
      <c r="AS86" t="s">
        <v>74</v>
      </c>
      <c r="AT86" t="s">
        <v>74</v>
      </c>
      <c r="AU86">
        <v>2017</v>
      </c>
      <c r="AV86" t="s">
        <v>74</v>
      </c>
      <c r="AW86" t="s">
        <v>74</v>
      </c>
      <c r="AX86" t="s">
        <v>74</v>
      </c>
      <c r="AY86" t="s">
        <v>74</v>
      </c>
      <c r="AZ86" t="s">
        <v>74</v>
      </c>
      <c r="BA86" t="s">
        <v>74</v>
      </c>
      <c r="BB86">
        <v>2137</v>
      </c>
      <c r="BC86">
        <v>2140</v>
      </c>
      <c r="BD86" t="s">
        <v>74</v>
      </c>
      <c r="BE86" t="s">
        <v>74</v>
      </c>
      <c r="BF86" t="s">
        <v>74</v>
      </c>
      <c r="BG86" t="s">
        <v>74</v>
      </c>
      <c r="BH86" t="s">
        <v>74</v>
      </c>
      <c r="BI86">
        <v>4</v>
      </c>
      <c r="BJ86" t="s">
        <v>1864</v>
      </c>
      <c r="BK86" t="s">
        <v>1844</v>
      </c>
      <c r="BL86" t="s">
        <v>1865</v>
      </c>
      <c r="BM86" t="s">
        <v>1866</v>
      </c>
      <c r="BN86" t="s">
        <v>74</v>
      </c>
      <c r="BO86" t="s">
        <v>74</v>
      </c>
      <c r="BP86" t="s">
        <v>74</v>
      </c>
      <c r="BQ86" t="s">
        <v>74</v>
      </c>
      <c r="BR86" t="s">
        <v>105</v>
      </c>
      <c r="BS86" t="s">
        <v>1867</v>
      </c>
      <c r="BT86" t="str">
        <f>HYPERLINK("https%3A%2F%2Fwww.webofscience.com%2Fwos%2Fwoscc%2Ffull-record%2FWOS:000426954602064","View Full Record in Web of Science")</f>
        <v>View Full Record in Web of Science</v>
      </c>
    </row>
    <row r="87" spans="1:72" x14ac:dyDescent="0.15">
      <c r="A87" t="s">
        <v>72</v>
      </c>
      <c r="B87" t="s">
        <v>1868</v>
      </c>
      <c r="C87" t="s">
        <v>74</v>
      </c>
      <c r="D87" t="s">
        <v>74</v>
      </c>
      <c r="E87" t="s">
        <v>74</v>
      </c>
      <c r="F87" t="s">
        <v>1869</v>
      </c>
      <c r="G87" t="s">
        <v>74</v>
      </c>
      <c r="H87" t="s">
        <v>74</v>
      </c>
      <c r="I87" t="s">
        <v>1870</v>
      </c>
      <c r="J87" t="s">
        <v>1871</v>
      </c>
      <c r="K87" t="s">
        <v>74</v>
      </c>
      <c r="L87" t="s">
        <v>74</v>
      </c>
      <c r="M87" t="s">
        <v>78</v>
      </c>
      <c r="N87" t="s">
        <v>79</v>
      </c>
      <c r="O87" t="s">
        <v>74</v>
      </c>
      <c r="P87" t="s">
        <v>74</v>
      </c>
      <c r="Q87" t="s">
        <v>74</v>
      </c>
      <c r="R87" t="s">
        <v>74</v>
      </c>
      <c r="S87" t="s">
        <v>74</v>
      </c>
      <c r="T87" t="s">
        <v>74</v>
      </c>
      <c r="U87" t="s">
        <v>1872</v>
      </c>
      <c r="V87" t="s">
        <v>1873</v>
      </c>
      <c r="W87" t="s">
        <v>1874</v>
      </c>
      <c r="X87" t="s">
        <v>1875</v>
      </c>
      <c r="Y87" t="s">
        <v>1876</v>
      </c>
      <c r="Z87" t="s">
        <v>1877</v>
      </c>
      <c r="AA87" t="s">
        <v>1878</v>
      </c>
      <c r="AB87" t="s">
        <v>1879</v>
      </c>
      <c r="AC87" t="s">
        <v>1880</v>
      </c>
      <c r="AD87" t="s">
        <v>1881</v>
      </c>
      <c r="AE87" t="s">
        <v>1882</v>
      </c>
      <c r="AF87" t="s">
        <v>74</v>
      </c>
      <c r="AG87">
        <v>36</v>
      </c>
      <c r="AH87">
        <v>3</v>
      </c>
      <c r="AI87">
        <v>4</v>
      </c>
      <c r="AJ87">
        <v>1</v>
      </c>
      <c r="AK87">
        <v>9</v>
      </c>
      <c r="AL87" t="s">
        <v>1883</v>
      </c>
      <c r="AM87" t="s">
        <v>1884</v>
      </c>
      <c r="AN87" t="s">
        <v>1885</v>
      </c>
      <c r="AO87" t="s">
        <v>1886</v>
      </c>
      <c r="AP87" t="s">
        <v>1887</v>
      </c>
      <c r="AQ87" t="s">
        <v>74</v>
      </c>
      <c r="AR87" t="s">
        <v>1888</v>
      </c>
      <c r="AS87" t="s">
        <v>851</v>
      </c>
      <c r="AT87" t="s">
        <v>74</v>
      </c>
      <c r="AU87">
        <v>2017</v>
      </c>
      <c r="AV87">
        <v>60</v>
      </c>
      <c r="AW87">
        <v>5</v>
      </c>
      <c r="AX87" t="s">
        <v>74</v>
      </c>
      <c r="AY87" t="s">
        <v>74</v>
      </c>
      <c r="AZ87" t="s">
        <v>74</v>
      </c>
      <c r="BA87" t="s">
        <v>74</v>
      </c>
      <c r="BB87" t="s">
        <v>74</v>
      </c>
      <c r="BC87" t="s">
        <v>74</v>
      </c>
      <c r="BD87" t="s">
        <v>1889</v>
      </c>
      <c r="BE87" t="s">
        <v>1890</v>
      </c>
      <c r="BF87" t="str">
        <f>HYPERLINK("http://dx.doi.org/10.4401/ag-7408","http://dx.doi.org/10.4401/ag-7408")</f>
        <v>http://dx.doi.org/10.4401/ag-7408</v>
      </c>
      <c r="BG87" t="s">
        <v>74</v>
      </c>
      <c r="BH87" t="s">
        <v>74</v>
      </c>
      <c r="BI87">
        <v>12</v>
      </c>
      <c r="BJ87" t="s">
        <v>299</v>
      </c>
      <c r="BK87" t="s">
        <v>101</v>
      </c>
      <c r="BL87" t="s">
        <v>299</v>
      </c>
      <c r="BM87" t="s">
        <v>1891</v>
      </c>
      <c r="BN87" t="s">
        <v>74</v>
      </c>
      <c r="BO87" t="s">
        <v>591</v>
      </c>
      <c r="BP87" t="s">
        <v>74</v>
      </c>
      <c r="BQ87" t="s">
        <v>74</v>
      </c>
      <c r="BR87" t="s">
        <v>105</v>
      </c>
      <c r="BS87" t="s">
        <v>1892</v>
      </c>
      <c r="BT87" t="str">
        <f>HYPERLINK("https%3A%2F%2Fwww.webofscience.com%2Fwos%2Fwoscc%2Ffull-record%2FWOS:000411625200008","View Full Record in Web of Science")</f>
        <v>View Full Record in Web of Science</v>
      </c>
    </row>
    <row r="88" spans="1:72" x14ac:dyDescent="0.15">
      <c r="A88" t="s">
        <v>72</v>
      </c>
      <c r="B88" t="s">
        <v>1893</v>
      </c>
      <c r="C88" t="s">
        <v>74</v>
      </c>
      <c r="D88" t="s">
        <v>74</v>
      </c>
      <c r="E88" t="s">
        <v>74</v>
      </c>
      <c r="F88" t="s">
        <v>1894</v>
      </c>
      <c r="G88" t="s">
        <v>74</v>
      </c>
      <c r="H88" t="s">
        <v>74</v>
      </c>
      <c r="I88" t="s">
        <v>1895</v>
      </c>
      <c r="J88" t="s">
        <v>1896</v>
      </c>
      <c r="K88" t="s">
        <v>74</v>
      </c>
      <c r="L88" t="s">
        <v>74</v>
      </c>
      <c r="M88" t="s">
        <v>78</v>
      </c>
      <c r="N88" t="s">
        <v>79</v>
      </c>
      <c r="O88" t="s">
        <v>74</v>
      </c>
      <c r="P88" t="s">
        <v>74</v>
      </c>
      <c r="Q88" t="s">
        <v>74</v>
      </c>
      <c r="R88" t="s">
        <v>74</v>
      </c>
      <c r="S88" t="s">
        <v>74</v>
      </c>
      <c r="T88" t="s">
        <v>1897</v>
      </c>
      <c r="U88" t="s">
        <v>1898</v>
      </c>
      <c r="V88" t="s">
        <v>1899</v>
      </c>
      <c r="W88" t="s">
        <v>1900</v>
      </c>
      <c r="X88" t="s">
        <v>1901</v>
      </c>
      <c r="Y88" t="s">
        <v>1902</v>
      </c>
      <c r="Z88" t="s">
        <v>1903</v>
      </c>
      <c r="AA88" t="s">
        <v>1904</v>
      </c>
      <c r="AB88" t="s">
        <v>1905</v>
      </c>
      <c r="AC88" t="s">
        <v>1906</v>
      </c>
      <c r="AD88" t="s">
        <v>1907</v>
      </c>
      <c r="AE88" t="s">
        <v>1908</v>
      </c>
      <c r="AF88" t="s">
        <v>74</v>
      </c>
      <c r="AG88">
        <v>70</v>
      </c>
      <c r="AH88">
        <v>11</v>
      </c>
      <c r="AI88">
        <v>13</v>
      </c>
      <c r="AJ88">
        <v>1</v>
      </c>
      <c r="AK88">
        <v>28</v>
      </c>
      <c r="AL88" t="s">
        <v>1909</v>
      </c>
      <c r="AM88" t="s">
        <v>1910</v>
      </c>
      <c r="AN88" t="s">
        <v>1911</v>
      </c>
      <c r="AO88" t="s">
        <v>1912</v>
      </c>
      <c r="AP88" t="s">
        <v>1913</v>
      </c>
      <c r="AQ88" t="s">
        <v>74</v>
      </c>
      <c r="AR88" t="s">
        <v>1914</v>
      </c>
      <c r="AS88" t="s">
        <v>1915</v>
      </c>
      <c r="AT88" t="s">
        <v>74</v>
      </c>
      <c r="AU88">
        <v>2017</v>
      </c>
      <c r="AV88">
        <v>107</v>
      </c>
      <c r="AW88">
        <v>2</v>
      </c>
      <c r="AX88" t="s">
        <v>74</v>
      </c>
      <c r="AY88" t="s">
        <v>74</v>
      </c>
      <c r="AZ88" t="s">
        <v>74</v>
      </c>
      <c r="BA88" t="s">
        <v>74</v>
      </c>
      <c r="BB88">
        <v>416</v>
      </c>
      <c r="BC88">
        <v>428</v>
      </c>
      <c r="BD88" t="s">
        <v>74</v>
      </c>
      <c r="BE88" t="s">
        <v>1916</v>
      </c>
      <c r="BF88" t="str">
        <f>HYPERLINK("http://dx.doi.org/10.1080/24694452.2016.1260438","http://dx.doi.org/10.1080/24694452.2016.1260438")</f>
        <v>http://dx.doi.org/10.1080/24694452.2016.1260438</v>
      </c>
      <c r="BG88" t="s">
        <v>74</v>
      </c>
      <c r="BH88" t="s">
        <v>74</v>
      </c>
      <c r="BI88">
        <v>13</v>
      </c>
      <c r="BJ88" t="s">
        <v>1917</v>
      </c>
      <c r="BK88" t="s">
        <v>1918</v>
      </c>
      <c r="BL88" t="s">
        <v>1917</v>
      </c>
      <c r="BM88" t="s">
        <v>1919</v>
      </c>
      <c r="BN88" t="s">
        <v>74</v>
      </c>
      <c r="BO88" t="s">
        <v>74</v>
      </c>
      <c r="BP88" t="s">
        <v>74</v>
      </c>
      <c r="BQ88" t="s">
        <v>74</v>
      </c>
      <c r="BR88" t="s">
        <v>105</v>
      </c>
      <c r="BS88" t="s">
        <v>1920</v>
      </c>
      <c r="BT88" t="str">
        <f>HYPERLINK("https%3A%2F%2Fwww.webofscience.com%2Fwos%2Fwoscc%2Ffull-record%2FWOS:000395097500017","View Full Record in Web of Science")</f>
        <v>View Full Record in Web of Science</v>
      </c>
    </row>
    <row r="89" spans="1:72" x14ac:dyDescent="0.15">
      <c r="A89" t="s">
        <v>1921</v>
      </c>
      <c r="B89" t="s">
        <v>1922</v>
      </c>
      <c r="C89" t="s">
        <v>74</v>
      </c>
      <c r="D89" t="s">
        <v>1923</v>
      </c>
      <c r="E89" t="s">
        <v>74</v>
      </c>
      <c r="F89" t="s">
        <v>1924</v>
      </c>
      <c r="G89" t="s">
        <v>74</v>
      </c>
      <c r="H89" t="s">
        <v>74</v>
      </c>
      <c r="I89" t="s">
        <v>1925</v>
      </c>
      <c r="J89" t="s">
        <v>1926</v>
      </c>
      <c r="K89" t="s">
        <v>1927</v>
      </c>
      <c r="L89" t="s">
        <v>74</v>
      </c>
      <c r="M89" t="s">
        <v>78</v>
      </c>
      <c r="N89" t="s">
        <v>1928</v>
      </c>
      <c r="O89" t="s">
        <v>74</v>
      </c>
      <c r="P89" t="s">
        <v>74</v>
      </c>
      <c r="Q89" t="s">
        <v>74</v>
      </c>
      <c r="R89" t="s">
        <v>74</v>
      </c>
      <c r="S89" t="s">
        <v>74</v>
      </c>
      <c r="T89" t="s">
        <v>1929</v>
      </c>
      <c r="U89" t="s">
        <v>1930</v>
      </c>
      <c r="V89" t="s">
        <v>1931</v>
      </c>
      <c r="W89" t="s">
        <v>1932</v>
      </c>
      <c r="X89" t="s">
        <v>1933</v>
      </c>
      <c r="Y89" t="s">
        <v>1934</v>
      </c>
      <c r="Z89" t="s">
        <v>1935</v>
      </c>
      <c r="AA89" t="s">
        <v>74</v>
      </c>
      <c r="AB89" t="s">
        <v>1936</v>
      </c>
      <c r="AC89" t="s">
        <v>74</v>
      </c>
      <c r="AD89" t="s">
        <v>74</v>
      </c>
      <c r="AE89" t="s">
        <v>74</v>
      </c>
      <c r="AF89" t="s">
        <v>74</v>
      </c>
      <c r="AG89">
        <v>128</v>
      </c>
      <c r="AH89">
        <v>63</v>
      </c>
      <c r="AI89">
        <v>67</v>
      </c>
      <c r="AJ89">
        <v>9</v>
      </c>
      <c r="AK89">
        <v>56</v>
      </c>
      <c r="AL89" t="s">
        <v>1937</v>
      </c>
      <c r="AM89" t="s">
        <v>1938</v>
      </c>
      <c r="AN89" t="s">
        <v>1939</v>
      </c>
      <c r="AO89" t="s">
        <v>1940</v>
      </c>
      <c r="AP89" t="s">
        <v>1941</v>
      </c>
      <c r="AQ89" t="s">
        <v>1942</v>
      </c>
      <c r="AR89" t="s">
        <v>1943</v>
      </c>
      <c r="AS89" t="s">
        <v>1944</v>
      </c>
      <c r="AT89" t="s">
        <v>74</v>
      </c>
      <c r="AU89">
        <v>2017</v>
      </c>
      <c r="AV89">
        <v>45</v>
      </c>
      <c r="AW89" t="s">
        <v>74</v>
      </c>
      <c r="AX89" t="s">
        <v>74</v>
      </c>
      <c r="AY89" t="s">
        <v>74</v>
      </c>
      <c r="AZ89" t="s">
        <v>74</v>
      </c>
      <c r="BA89" t="s">
        <v>74</v>
      </c>
      <c r="BB89">
        <v>649</v>
      </c>
      <c r="BC89">
        <v>680</v>
      </c>
      <c r="BD89" t="s">
        <v>74</v>
      </c>
      <c r="BE89" t="s">
        <v>1945</v>
      </c>
      <c r="BF89" t="str">
        <f>HYPERLINK("http://dx.doi.org/10.1146/annurev-earth-063016-020643","http://dx.doi.org/10.1146/annurev-earth-063016-020643")</f>
        <v>http://dx.doi.org/10.1146/annurev-earth-063016-020643</v>
      </c>
      <c r="BG89" t="s">
        <v>74</v>
      </c>
      <c r="BH89" t="s">
        <v>74</v>
      </c>
      <c r="BI89">
        <v>32</v>
      </c>
      <c r="BJ89" t="s">
        <v>1946</v>
      </c>
      <c r="BK89" t="s">
        <v>1947</v>
      </c>
      <c r="BL89" t="s">
        <v>1948</v>
      </c>
      <c r="BM89" t="s">
        <v>1949</v>
      </c>
      <c r="BN89" t="s">
        <v>74</v>
      </c>
      <c r="BO89" t="s">
        <v>74</v>
      </c>
      <c r="BP89" t="s">
        <v>74</v>
      </c>
      <c r="BQ89" t="s">
        <v>74</v>
      </c>
      <c r="BR89" t="s">
        <v>105</v>
      </c>
      <c r="BS89" t="s">
        <v>1950</v>
      </c>
      <c r="BT89" t="str">
        <f>HYPERLINK("https%3A%2F%2Fwww.webofscience.com%2Fwos%2Fwoscc%2Ffull-record%2FWOS:000431848100005","View Full Record in Web of Science")</f>
        <v>View Full Record in Web of Science</v>
      </c>
    </row>
    <row r="90" spans="1:72" x14ac:dyDescent="0.15">
      <c r="A90" t="s">
        <v>72</v>
      </c>
      <c r="B90" t="s">
        <v>1951</v>
      </c>
      <c r="C90" t="s">
        <v>74</v>
      </c>
      <c r="D90" t="s">
        <v>74</v>
      </c>
      <c r="E90" t="s">
        <v>74</v>
      </c>
      <c r="F90" t="s">
        <v>1952</v>
      </c>
      <c r="G90" t="s">
        <v>74</v>
      </c>
      <c r="H90" t="s">
        <v>74</v>
      </c>
      <c r="I90" t="s">
        <v>1953</v>
      </c>
      <c r="J90" t="s">
        <v>1954</v>
      </c>
      <c r="K90" t="s">
        <v>74</v>
      </c>
      <c r="L90" t="s">
        <v>74</v>
      </c>
      <c r="M90" t="s">
        <v>78</v>
      </c>
      <c r="N90" t="s">
        <v>79</v>
      </c>
      <c r="O90" t="s">
        <v>74</v>
      </c>
      <c r="P90" t="s">
        <v>74</v>
      </c>
      <c r="Q90" t="s">
        <v>74</v>
      </c>
      <c r="R90" t="s">
        <v>74</v>
      </c>
      <c r="S90" t="s">
        <v>74</v>
      </c>
      <c r="T90" t="s">
        <v>1955</v>
      </c>
      <c r="U90" t="s">
        <v>1956</v>
      </c>
      <c r="V90" t="s">
        <v>1957</v>
      </c>
      <c r="W90" t="s">
        <v>1958</v>
      </c>
      <c r="X90" t="s">
        <v>1959</v>
      </c>
      <c r="Y90" t="s">
        <v>1960</v>
      </c>
      <c r="Z90" t="s">
        <v>1961</v>
      </c>
      <c r="AA90" t="s">
        <v>1962</v>
      </c>
      <c r="AB90" t="s">
        <v>1963</v>
      </c>
      <c r="AC90" t="s">
        <v>1964</v>
      </c>
      <c r="AD90" t="s">
        <v>1965</v>
      </c>
      <c r="AE90" t="s">
        <v>1966</v>
      </c>
      <c r="AF90" t="s">
        <v>74</v>
      </c>
      <c r="AG90">
        <v>211</v>
      </c>
      <c r="AH90">
        <v>25</v>
      </c>
      <c r="AI90">
        <v>25</v>
      </c>
      <c r="AJ90">
        <v>0</v>
      </c>
      <c r="AK90">
        <v>11</v>
      </c>
      <c r="AL90" t="s">
        <v>1967</v>
      </c>
      <c r="AM90" t="s">
        <v>1910</v>
      </c>
      <c r="AN90" t="s">
        <v>1968</v>
      </c>
      <c r="AO90" t="s">
        <v>1969</v>
      </c>
      <c r="AP90" t="s">
        <v>1970</v>
      </c>
      <c r="AQ90" t="s">
        <v>74</v>
      </c>
      <c r="AR90" t="s">
        <v>1971</v>
      </c>
      <c r="AS90" t="s">
        <v>1972</v>
      </c>
      <c r="AT90" t="s">
        <v>74</v>
      </c>
      <c r="AU90">
        <v>2017</v>
      </c>
      <c r="AV90">
        <v>64</v>
      </c>
      <c r="AW90">
        <v>2</v>
      </c>
      <c r="AX90" t="s">
        <v>74</v>
      </c>
      <c r="AY90" t="s">
        <v>74</v>
      </c>
      <c r="AZ90" t="s">
        <v>74</v>
      </c>
      <c r="BA90" t="s">
        <v>74</v>
      </c>
      <c r="BB90">
        <v>143</v>
      </c>
      <c r="BC90">
        <v>224</v>
      </c>
      <c r="BD90" t="s">
        <v>74</v>
      </c>
      <c r="BE90" t="s">
        <v>1973</v>
      </c>
      <c r="BF90" t="str">
        <f>HYPERLINK("http://dx.doi.org/10.1080/08120099.2017.1273256","http://dx.doi.org/10.1080/08120099.2017.1273256")</f>
        <v>http://dx.doi.org/10.1080/08120099.2017.1273256</v>
      </c>
      <c r="BG90" t="s">
        <v>74</v>
      </c>
      <c r="BH90" t="s">
        <v>74</v>
      </c>
      <c r="BI90">
        <v>82</v>
      </c>
      <c r="BJ90" t="s">
        <v>669</v>
      </c>
      <c r="BK90" t="s">
        <v>101</v>
      </c>
      <c r="BL90" t="s">
        <v>670</v>
      </c>
      <c r="BM90" t="s">
        <v>1974</v>
      </c>
      <c r="BN90" t="s">
        <v>74</v>
      </c>
      <c r="BO90" t="s">
        <v>378</v>
      </c>
      <c r="BP90" t="s">
        <v>74</v>
      </c>
      <c r="BQ90" t="s">
        <v>74</v>
      </c>
      <c r="BR90" t="s">
        <v>105</v>
      </c>
      <c r="BS90" t="s">
        <v>1975</v>
      </c>
      <c r="BT90" t="str">
        <f>HYPERLINK("https%3A%2F%2Fwww.webofscience.com%2Fwos%2Fwoscc%2Ffull-record%2FWOS:000398079400001","View Full Record in Web of Science")</f>
        <v>View Full Record in Web of Science</v>
      </c>
    </row>
    <row r="91" spans="1:72" x14ac:dyDescent="0.15">
      <c r="A91" t="s">
        <v>72</v>
      </c>
      <c r="B91" t="s">
        <v>1976</v>
      </c>
      <c r="C91" t="s">
        <v>74</v>
      </c>
      <c r="D91" t="s">
        <v>74</v>
      </c>
      <c r="E91" t="s">
        <v>74</v>
      </c>
      <c r="F91" t="s">
        <v>1977</v>
      </c>
      <c r="G91" t="s">
        <v>74</v>
      </c>
      <c r="H91" t="s">
        <v>74</v>
      </c>
      <c r="I91" t="s">
        <v>1978</v>
      </c>
      <c r="J91" t="s">
        <v>1979</v>
      </c>
      <c r="K91" t="s">
        <v>74</v>
      </c>
      <c r="L91" t="s">
        <v>74</v>
      </c>
      <c r="M91" t="s">
        <v>78</v>
      </c>
      <c r="N91" t="s">
        <v>1980</v>
      </c>
      <c r="O91" t="s">
        <v>1981</v>
      </c>
      <c r="P91" t="s">
        <v>1982</v>
      </c>
      <c r="Q91" t="s">
        <v>1983</v>
      </c>
      <c r="R91" t="s">
        <v>74</v>
      </c>
      <c r="S91" t="s">
        <v>74</v>
      </c>
      <c r="T91" t="s">
        <v>74</v>
      </c>
      <c r="U91" t="s">
        <v>1984</v>
      </c>
      <c r="V91" t="s">
        <v>1985</v>
      </c>
      <c r="W91" t="s">
        <v>1986</v>
      </c>
      <c r="X91" t="s">
        <v>1987</v>
      </c>
      <c r="Y91" t="s">
        <v>1988</v>
      </c>
      <c r="Z91" t="s">
        <v>1989</v>
      </c>
      <c r="AA91" t="s">
        <v>1990</v>
      </c>
      <c r="AB91" t="s">
        <v>1991</v>
      </c>
      <c r="AC91" t="s">
        <v>1992</v>
      </c>
      <c r="AD91" t="s">
        <v>1993</v>
      </c>
      <c r="AE91" t="s">
        <v>1994</v>
      </c>
      <c r="AF91" t="s">
        <v>74</v>
      </c>
      <c r="AG91">
        <v>56</v>
      </c>
      <c r="AH91">
        <v>21</v>
      </c>
      <c r="AI91">
        <v>21</v>
      </c>
      <c r="AJ91">
        <v>1</v>
      </c>
      <c r="AK91">
        <v>17</v>
      </c>
      <c r="AL91" t="s">
        <v>1995</v>
      </c>
      <c r="AM91" t="s">
        <v>1996</v>
      </c>
      <c r="AN91" t="s">
        <v>1997</v>
      </c>
      <c r="AO91" t="s">
        <v>1998</v>
      </c>
      <c r="AP91" t="s">
        <v>1999</v>
      </c>
      <c r="AQ91" t="s">
        <v>74</v>
      </c>
      <c r="AR91" t="s">
        <v>1979</v>
      </c>
      <c r="AS91" t="s">
        <v>2000</v>
      </c>
      <c r="AT91" t="s">
        <v>74</v>
      </c>
      <c r="AU91">
        <v>2017</v>
      </c>
      <c r="AV91">
        <v>47</v>
      </c>
      <c r="AW91">
        <v>2</v>
      </c>
      <c r="AX91" t="s">
        <v>74</v>
      </c>
      <c r="AY91" t="s">
        <v>74</v>
      </c>
      <c r="AZ91" t="s">
        <v>74</v>
      </c>
      <c r="BA91" t="s">
        <v>74</v>
      </c>
      <c r="BB91" t="s">
        <v>74</v>
      </c>
      <c r="BC91" t="s">
        <v>74</v>
      </c>
      <c r="BD91" t="s">
        <v>2001</v>
      </c>
      <c r="BE91" t="s">
        <v>2002</v>
      </c>
      <c r="BF91" t="str">
        <f>HYPERLINK("http://dx.doi.org/10.4102/abc.v47i2.2207","http://dx.doi.org/10.4102/abc.v47i2.2207")</f>
        <v>http://dx.doi.org/10.4102/abc.v47i2.2207</v>
      </c>
      <c r="BG91" t="s">
        <v>74</v>
      </c>
      <c r="BH91" t="s">
        <v>74</v>
      </c>
      <c r="BI91">
        <v>8</v>
      </c>
      <c r="BJ91" t="s">
        <v>2003</v>
      </c>
      <c r="BK91" t="s">
        <v>2004</v>
      </c>
      <c r="BL91" t="s">
        <v>2003</v>
      </c>
      <c r="BM91" t="s">
        <v>2005</v>
      </c>
      <c r="BN91" t="s">
        <v>74</v>
      </c>
      <c r="BO91" t="s">
        <v>941</v>
      </c>
      <c r="BP91" t="s">
        <v>74</v>
      </c>
      <c r="BQ91" t="s">
        <v>74</v>
      </c>
      <c r="BR91" t="s">
        <v>105</v>
      </c>
      <c r="BS91" t="s">
        <v>2006</v>
      </c>
      <c r="BT91" t="str">
        <f>HYPERLINK("https%3A%2F%2Fwww.webofscience.com%2Fwos%2Fwoscc%2Ffull-record%2FWOS:000398398000020","View Full Record in Web of Science")</f>
        <v>View Full Record in Web of Science</v>
      </c>
    </row>
    <row r="92" spans="1:72" x14ac:dyDescent="0.15">
      <c r="A92" t="s">
        <v>72</v>
      </c>
      <c r="B92" t="s">
        <v>2007</v>
      </c>
      <c r="C92" t="s">
        <v>74</v>
      </c>
      <c r="D92" t="s">
        <v>74</v>
      </c>
      <c r="E92" t="s">
        <v>74</v>
      </c>
      <c r="F92" t="s">
        <v>2008</v>
      </c>
      <c r="G92" t="s">
        <v>74</v>
      </c>
      <c r="H92" t="s">
        <v>74</v>
      </c>
      <c r="I92" t="s">
        <v>2009</v>
      </c>
      <c r="J92" t="s">
        <v>2010</v>
      </c>
      <c r="K92" t="s">
        <v>74</v>
      </c>
      <c r="L92" t="s">
        <v>74</v>
      </c>
      <c r="M92" t="s">
        <v>78</v>
      </c>
      <c r="N92" t="s">
        <v>79</v>
      </c>
      <c r="O92" t="s">
        <v>74</v>
      </c>
      <c r="P92" t="s">
        <v>74</v>
      </c>
      <c r="Q92" t="s">
        <v>74</v>
      </c>
      <c r="R92" t="s">
        <v>74</v>
      </c>
      <c r="S92" t="s">
        <v>74</v>
      </c>
      <c r="T92" t="s">
        <v>2011</v>
      </c>
      <c r="U92" t="s">
        <v>2012</v>
      </c>
      <c r="V92" t="s">
        <v>2013</v>
      </c>
      <c r="W92" t="s">
        <v>2014</v>
      </c>
      <c r="X92" t="s">
        <v>2015</v>
      </c>
      <c r="Y92" t="s">
        <v>2016</v>
      </c>
      <c r="Z92" t="s">
        <v>2017</v>
      </c>
      <c r="AA92" t="s">
        <v>2018</v>
      </c>
      <c r="AB92" t="s">
        <v>2019</v>
      </c>
      <c r="AC92" t="s">
        <v>74</v>
      </c>
      <c r="AD92" t="s">
        <v>74</v>
      </c>
      <c r="AE92" t="s">
        <v>74</v>
      </c>
      <c r="AF92" t="s">
        <v>74</v>
      </c>
      <c r="AG92">
        <v>48</v>
      </c>
      <c r="AH92">
        <v>20</v>
      </c>
      <c r="AI92">
        <v>21</v>
      </c>
      <c r="AJ92">
        <v>0</v>
      </c>
      <c r="AK92">
        <v>11</v>
      </c>
      <c r="AL92" t="s">
        <v>211</v>
      </c>
      <c r="AM92" t="s">
        <v>187</v>
      </c>
      <c r="AN92" t="s">
        <v>933</v>
      </c>
      <c r="AO92" t="s">
        <v>2020</v>
      </c>
      <c r="AP92" t="s">
        <v>2021</v>
      </c>
      <c r="AQ92" t="s">
        <v>74</v>
      </c>
      <c r="AR92" t="s">
        <v>2022</v>
      </c>
      <c r="AS92" t="s">
        <v>2023</v>
      </c>
      <c r="AT92" t="s">
        <v>2024</v>
      </c>
      <c r="AU92">
        <v>2017</v>
      </c>
      <c r="AV92">
        <v>48</v>
      </c>
      <c r="AW92">
        <v>1</v>
      </c>
      <c r="AX92" t="s">
        <v>74</v>
      </c>
      <c r="AY92" t="s">
        <v>74</v>
      </c>
      <c r="AZ92" t="s">
        <v>74</v>
      </c>
      <c r="BA92" t="s">
        <v>74</v>
      </c>
      <c r="BB92">
        <v>51</v>
      </c>
      <c r="BC92">
        <v>61</v>
      </c>
      <c r="BD92" t="s">
        <v>74</v>
      </c>
      <c r="BE92" t="s">
        <v>2025</v>
      </c>
      <c r="BF92" t="str">
        <f>HYPERLINK("http://dx.doi.org/10.1016/j.bjm.2016.09.011","http://dx.doi.org/10.1016/j.bjm.2016.09.011")</f>
        <v>http://dx.doi.org/10.1016/j.bjm.2016.09.011</v>
      </c>
      <c r="BG92" t="s">
        <v>74</v>
      </c>
      <c r="BH92" t="s">
        <v>74</v>
      </c>
      <c r="BI92">
        <v>11</v>
      </c>
      <c r="BJ92" t="s">
        <v>2026</v>
      </c>
      <c r="BK92" t="s">
        <v>101</v>
      </c>
      <c r="BL92" t="s">
        <v>2026</v>
      </c>
      <c r="BM92" t="s">
        <v>2027</v>
      </c>
      <c r="BN92">
        <v>28029589</v>
      </c>
      <c r="BO92" t="s">
        <v>2028</v>
      </c>
      <c r="BP92" t="s">
        <v>74</v>
      </c>
      <c r="BQ92" t="s">
        <v>74</v>
      </c>
      <c r="BR92" t="s">
        <v>105</v>
      </c>
      <c r="BS92" t="s">
        <v>2029</v>
      </c>
      <c r="BT92" t="str">
        <f>HYPERLINK("https%3A%2F%2Fwww.webofscience.com%2Fwos%2Fwoscc%2Ffull-record%2FWOS:000394144100012","View Full Record in Web of Science")</f>
        <v>View Full Record in Web of Science</v>
      </c>
    </row>
    <row r="93" spans="1:72" x14ac:dyDescent="0.15">
      <c r="A93" t="s">
        <v>72</v>
      </c>
      <c r="B93" t="s">
        <v>2030</v>
      </c>
      <c r="C93" t="s">
        <v>74</v>
      </c>
      <c r="D93" t="s">
        <v>74</v>
      </c>
      <c r="E93" t="s">
        <v>74</v>
      </c>
      <c r="F93" t="s">
        <v>2031</v>
      </c>
      <c r="G93" t="s">
        <v>74</v>
      </c>
      <c r="H93" t="s">
        <v>74</v>
      </c>
      <c r="I93" t="s">
        <v>2032</v>
      </c>
      <c r="J93" t="s">
        <v>2033</v>
      </c>
      <c r="K93" t="s">
        <v>74</v>
      </c>
      <c r="L93" t="s">
        <v>74</v>
      </c>
      <c r="M93" t="s">
        <v>78</v>
      </c>
      <c r="N93" t="s">
        <v>2034</v>
      </c>
      <c r="O93" t="s">
        <v>74</v>
      </c>
      <c r="P93" t="s">
        <v>74</v>
      </c>
      <c r="Q93" t="s">
        <v>74</v>
      </c>
      <c r="R93" t="s">
        <v>74</v>
      </c>
      <c r="S93" t="s">
        <v>74</v>
      </c>
      <c r="T93" t="s">
        <v>2035</v>
      </c>
      <c r="U93" t="s">
        <v>2036</v>
      </c>
      <c r="V93" t="s">
        <v>2037</v>
      </c>
      <c r="W93" t="s">
        <v>2038</v>
      </c>
      <c r="X93" t="s">
        <v>2039</v>
      </c>
      <c r="Y93" t="s">
        <v>2040</v>
      </c>
      <c r="Z93" t="s">
        <v>2041</v>
      </c>
      <c r="AA93" t="s">
        <v>2042</v>
      </c>
      <c r="AB93" t="s">
        <v>2043</v>
      </c>
      <c r="AC93" t="s">
        <v>2044</v>
      </c>
      <c r="AD93" t="s">
        <v>2045</v>
      </c>
      <c r="AE93" t="s">
        <v>2046</v>
      </c>
      <c r="AF93" t="s">
        <v>74</v>
      </c>
      <c r="AG93">
        <v>162</v>
      </c>
      <c r="AH93">
        <v>4</v>
      </c>
      <c r="AI93">
        <v>4</v>
      </c>
      <c r="AJ93">
        <v>0</v>
      </c>
      <c r="AK93">
        <v>10</v>
      </c>
      <c r="AL93" t="s">
        <v>2047</v>
      </c>
      <c r="AM93" t="s">
        <v>2048</v>
      </c>
      <c r="AN93" t="s">
        <v>2049</v>
      </c>
      <c r="AO93" t="s">
        <v>2050</v>
      </c>
      <c r="AP93" t="s">
        <v>2051</v>
      </c>
      <c r="AQ93" t="s">
        <v>74</v>
      </c>
      <c r="AR93" t="s">
        <v>2052</v>
      </c>
      <c r="AS93" t="s">
        <v>2053</v>
      </c>
      <c r="AT93" t="s">
        <v>2054</v>
      </c>
      <c r="AU93">
        <v>2017</v>
      </c>
      <c r="AV93" t="s">
        <v>74</v>
      </c>
      <c r="AW93">
        <v>1</v>
      </c>
      <c r="AX93" t="s">
        <v>74</v>
      </c>
      <c r="AY93" t="s">
        <v>74</v>
      </c>
      <c r="AZ93" t="s">
        <v>74</v>
      </c>
      <c r="BA93" t="s">
        <v>74</v>
      </c>
      <c r="BB93">
        <v>5</v>
      </c>
      <c r="BC93">
        <v>23</v>
      </c>
      <c r="BD93" t="s">
        <v>74</v>
      </c>
      <c r="BE93" t="s">
        <v>2055</v>
      </c>
      <c r="BF93" t="str">
        <f>HYPERLINK("http://dx.doi.org/10.24075/brsmu.2017-01-01","http://dx.doi.org/10.24075/brsmu.2017-01-01")</f>
        <v>http://dx.doi.org/10.24075/brsmu.2017-01-01</v>
      </c>
      <c r="BG93" t="s">
        <v>74</v>
      </c>
      <c r="BH93" t="s">
        <v>74</v>
      </c>
      <c r="BI93">
        <v>19</v>
      </c>
      <c r="BJ93" t="s">
        <v>2056</v>
      </c>
      <c r="BK93" t="s">
        <v>2057</v>
      </c>
      <c r="BL93" t="s">
        <v>2058</v>
      </c>
      <c r="BM93" t="s">
        <v>2059</v>
      </c>
      <c r="BN93" t="s">
        <v>74</v>
      </c>
      <c r="BO93" t="s">
        <v>301</v>
      </c>
      <c r="BP93" t="s">
        <v>74</v>
      </c>
      <c r="BQ93" t="s">
        <v>74</v>
      </c>
      <c r="BR93" t="s">
        <v>105</v>
      </c>
      <c r="BS93" t="s">
        <v>2060</v>
      </c>
      <c r="BT93" t="str">
        <f>HYPERLINK("https%3A%2F%2Fwww.webofscience.com%2Fwos%2Fwoscc%2Ffull-record%2FWOS:000453123600001","View Full Record in Web of Science")</f>
        <v>View Full Record in Web of Science</v>
      </c>
    </row>
    <row r="94" spans="1:72" x14ac:dyDescent="0.15">
      <c r="A94" t="s">
        <v>1921</v>
      </c>
      <c r="B94" t="s">
        <v>2061</v>
      </c>
      <c r="C94" t="s">
        <v>74</v>
      </c>
      <c r="D94" t="s">
        <v>2062</v>
      </c>
      <c r="E94" t="s">
        <v>74</v>
      </c>
      <c r="F94" t="s">
        <v>2063</v>
      </c>
      <c r="G94" t="s">
        <v>74</v>
      </c>
      <c r="H94" t="s">
        <v>74</v>
      </c>
      <c r="I94" t="s">
        <v>2064</v>
      </c>
      <c r="J94" t="s">
        <v>2065</v>
      </c>
      <c r="K94" t="s">
        <v>2066</v>
      </c>
      <c r="L94" t="s">
        <v>74</v>
      </c>
      <c r="M94" t="s">
        <v>78</v>
      </c>
      <c r="N94" t="s">
        <v>2067</v>
      </c>
      <c r="O94" t="s">
        <v>74</v>
      </c>
      <c r="P94" t="s">
        <v>74</v>
      </c>
      <c r="Q94" t="s">
        <v>74</v>
      </c>
      <c r="R94" t="s">
        <v>74</v>
      </c>
      <c r="S94" t="s">
        <v>74</v>
      </c>
      <c r="T94" t="s">
        <v>74</v>
      </c>
      <c r="U94" t="s">
        <v>2068</v>
      </c>
      <c r="V94" t="s">
        <v>2069</v>
      </c>
      <c r="W94" t="s">
        <v>2070</v>
      </c>
      <c r="X94" t="s">
        <v>2071</v>
      </c>
      <c r="Y94" t="s">
        <v>2072</v>
      </c>
      <c r="Z94" t="s">
        <v>2073</v>
      </c>
      <c r="AA94" t="s">
        <v>2074</v>
      </c>
      <c r="AB94" t="s">
        <v>2075</v>
      </c>
      <c r="AC94" t="s">
        <v>74</v>
      </c>
      <c r="AD94" t="s">
        <v>74</v>
      </c>
      <c r="AE94" t="s">
        <v>74</v>
      </c>
      <c r="AF94" t="s">
        <v>74</v>
      </c>
      <c r="AG94">
        <v>142</v>
      </c>
      <c r="AH94">
        <v>33</v>
      </c>
      <c r="AI94">
        <v>35</v>
      </c>
      <c r="AJ94">
        <v>0</v>
      </c>
      <c r="AK94">
        <v>15</v>
      </c>
      <c r="AL94" t="s">
        <v>2076</v>
      </c>
      <c r="AM94" t="s">
        <v>93</v>
      </c>
      <c r="AN94" t="s">
        <v>2077</v>
      </c>
      <c r="AO94" t="s">
        <v>2078</v>
      </c>
      <c r="AP94" t="s">
        <v>74</v>
      </c>
      <c r="AQ94" t="s">
        <v>2079</v>
      </c>
      <c r="AR94" t="s">
        <v>2080</v>
      </c>
      <c r="AS94" t="s">
        <v>2066</v>
      </c>
      <c r="AT94" t="s">
        <v>74</v>
      </c>
      <c r="AU94">
        <v>2017</v>
      </c>
      <c r="AV94">
        <v>36</v>
      </c>
      <c r="AW94" t="s">
        <v>74</v>
      </c>
      <c r="AX94" t="s">
        <v>2081</v>
      </c>
      <c r="AY94" t="s">
        <v>74</v>
      </c>
      <c r="AZ94" t="s">
        <v>74</v>
      </c>
      <c r="BA94" t="s">
        <v>74</v>
      </c>
      <c r="BB94">
        <v>1</v>
      </c>
      <c r="BC94">
        <v>54</v>
      </c>
      <c r="BD94" t="s">
        <v>74</v>
      </c>
      <c r="BE94" t="s">
        <v>2082</v>
      </c>
      <c r="BF94" t="str">
        <f>HYPERLINK("http://dx.doi.org/10.1016/bs.fp.2017.05.002","http://dx.doi.org/10.1016/bs.fp.2017.05.002")</f>
        <v>http://dx.doi.org/10.1016/bs.fp.2017.05.002</v>
      </c>
      <c r="BG94" t="s">
        <v>74</v>
      </c>
      <c r="BH94" t="s">
        <v>74</v>
      </c>
      <c r="BI94">
        <v>54</v>
      </c>
      <c r="BJ94" t="s">
        <v>2083</v>
      </c>
      <c r="BK94" t="s">
        <v>2084</v>
      </c>
      <c r="BL94" t="s">
        <v>2083</v>
      </c>
      <c r="BM94" t="s">
        <v>2085</v>
      </c>
      <c r="BN94" t="s">
        <v>74</v>
      </c>
      <c r="BO94" t="s">
        <v>74</v>
      </c>
      <c r="BP94" t="s">
        <v>74</v>
      </c>
      <c r="BQ94" t="s">
        <v>74</v>
      </c>
      <c r="BR94" t="s">
        <v>105</v>
      </c>
      <c r="BS94" t="s">
        <v>2086</v>
      </c>
      <c r="BT94" t="str">
        <f>HYPERLINK("https%3A%2F%2Fwww.webofscience.com%2Fwos%2Fwoscc%2Ffull-record%2FWOS:000417101800002","View Full Record in Web of Science")</f>
        <v>View Full Record in Web of Science</v>
      </c>
    </row>
    <row r="95" spans="1:72" x14ac:dyDescent="0.15">
      <c r="A95" t="s">
        <v>72</v>
      </c>
      <c r="B95" t="s">
        <v>2087</v>
      </c>
      <c r="C95" t="s">
        <v>74</v>
      </c>
      <c r="D95" t="s">
        <v>74</v>
      </c>
      <c r="E95" t="s">
        <v>74</v>
      </c>
      <c r="F95" t="s">
        <v>2088</v>
      </c>
      <c r="G95" t="s">
        <v>74</v>
      </c>
      <c r="H95" t="s">
        <v>74</v>
      </c>
      <c r="I95" t="s">
        <v>2089</v>
      </c>
      <c r="J95" t="s">
        <v>2090</v>
      </c>
      <c r="K95" t="s">
        <v>74</v>
      </c>
      <c r="L95" t="s">
        <v>74</v>
      </c>
      <c r="M95" t="s">
        <v>78</v>
      </c>
      <c r="N95" t="s">
        <v>79</v>
      </c>
      <c r="O95" t="s">
        <v>74</v>
      </c>
      <c r="P95" t="s">
        <v>74</v>
      </c>
      <c r="Q95" t="s">
        <v>74</v>
      </c>
      <c r="R95" t="s">
        <v>74</v>
      </c>
      <c r="S95" t="s">
        <v>74</v>
      </c>
      <c r="T95" t="s">
        <v>2091</v>
      </c>
      <c r="U95" t="s">
        <v>2092</v>
      </c>
      <c r="V95" t="s">
        <v>2093</v>
      </c>
      <c r="W95" t="s">
        <v>2094</v>
      </c>
      <c r="X95" t="s">
        <v>2095</v>
      </c>
      <c r="Y95" t="s">
        <v>2096</v>
      </c>
      <c r="Z95" t="s">
        <v>2097</v>
      </c>
      <c r="AA95" t="s">
        <v>2098</v>
      </c>
      <c r="AB95" t="s">
        <v>2099</v>
      </c>
      <c r="AC95" t="s">
        <v>2100</v>
      </c>
      <c r="AD95" t="s">
        <v>2101</v>
      </c>
      <c r="AE95" t="s">
        <v>2102</v>
      </c>
      <c r="AF95" t="s">
        <v>74</v>
      </c>
      <c r="AG95">
        <v>31</v>
      </c>
      <c r="AH95">
        <v>21</v>
      </c>
      <c r="AI95">
        <v>24</v>
      </c>
      <c r="AJ95">
        <v>0</v>
      </c>
      <c r="AK95">
        <v>15</v>
      </c>
      <c r="AL95" t="s">
        <v>2103</v>
      </c>
      <c r="AM95" t="s">
        <v>2104</v>
      </c>
      <c r="AN95" t="s">
        <v>2105</v>
      </c>
      <c r="AO95" t="s">
        <v>2106</v>
      </c>
      <c r="AP95" t="s">
        <v>2107</v>
      </c>
      <c r="AQ95" t="s">
        <v>74</v>
      </c>
      <c r="AR95" t="s">
        <v>2108</v>
      </c>
      <c r="AS95" t="s">
        <v>2109</v>
      </c>
      <c r="AT95" t="s">
        <v>74</v>
      </c>
      <c r="AU95">
        <v>2017</v>
      </c>
      <c r="AV95">
        <v>34</v>
      </c>
      <c r="AW95">
        <v>3</v>
      </c>
      <c r="AX95" t="s">
        <v>74</v>
      </c>
      <c r="AY95" t="s">
        <v>74</v>
      </c>
      <c r="AZ95" t="s">
        <v>74</v>
      </c>
      <c r="BA95" t="s">
        <v>74</v>
      </c>
      <c r="BB95">
        <v>373</v>
      </c>
      <c r="BC95">
        <v>381</v>
      </c>
      <c r="BD95" t="s">
        <v>74</v>
      </c>
      <c r="BE95" t="s">
        <v>2110</v>
      </c>
      <c r="BF95" t="str">
        <f>HYPERLINK("http://dx.doi.org/10.1080/07420528.2016.1277735","http://dx.doi.org/10.1080/07420528.2016.1277735")</f>
        <v>http://dx.doi.org/10.1080/07420528.2016.1277735</v>
      </c>
      <c r="BG95" t="s">
        <v>74</v>
      </c>
      <c r="BH95" t="s">
        <v>74</v>
      </c>
      <c r="BI95">
        <v>9</v>
      </c>
      <c r="BJ95" t="s">
        <v>2111</v>
      </c>
      <c r="BK95" t="s">
        <v>101</v>
      </c>
      <c r="BL95" t="s">
        <v>2112</v>
      </c>
      <c r="BM95" t="s">
        <v>2113</v>
      </c>
      <c r="BN95">
        <v>28128998</v>
      </c>
      <c r="BO95" t="s">
        <v>74</v>
      </c>
      <c r="BP95" t="s">
        <v>74</v>
      </c>
      <c r="BQ95" t="s">
        <v>74</v>
      </c>
      <c r="BR95" t="s">
        <v>105</v>
      </c>
      <c r="BS95" t="s">
        <v>2114</v>
      </c>
      <c r="BT95" t="str">
        <f>HYPERLINK("https%3A%2F%2Fwww.webofscience.com%2Fwos%2Fwoscc%2Ffull-record%2FWOS:000396733100008","View Full Record in Web of Science")</f>
        <v>View Full Record in Web of Science</v>
      </c>
    </row>
    <row r="96" spans="1:72" x14ac:dyDescent="0.15">
      <c r="A96" t="s">
        <v>72</v>
      </c>
      <c r="B96" t="s">
        <v>2115</v>
      </c>
      <c r="C96" t="s">
        <v>74</v>
      </c>
      <c r="D96" t="s">
        <v>74</v>
      </c>
      <c r="E96" t="s">
        <v>74</v>
      </c>
      <c r="F96" t="s">
        <v>2116</v>
      </c>
      <c r="G96" t="s">
        <v>74</v>
      </c>
      <c r="H96" t="s">
        <v>74</v>
      </c>
      <c r="I96" t="s">
        <v>2117</v>
      </c>
      <c r="J96" t="s">
        <v>2118</v>
      </c>
      <c r="K96" t="s">
        <v>74</v>
      </c>
      <c r="L96" t="s">
        <v>74</v>
      </c>
      <c r="M96" t="s">
        <v>78</v>
      </c>
      <c r="N96" t="s">
        <v>79</v>
      </c>
      <c r="O96" t="s">
        <v>74</v>
      </c>
      <c r="P96" t="s">
        <v>74</v>
      </c>
      <c r="Q96" t="s">
        <v>74</v>
      </c>
      <c r="R96" t="s">
        <v>74</v>
      </c>
      <c r="S96" t="s">
        <v>74</v>
      </c>
      <c r="T96" t="s">
        <v>2119</v>
      </c>
      <c r="U96" t="s">
        <v>2120</v>
      </c>
      <c r="V96" t="s">
        <v>2121</v>
      </c>
      <c r="W96" t="s">
        <v>2122</v>
      </c>
      <c r="X96" t="s">
        <v>2123</v>
      </c>
      <c r="Y96" t="s">
        <v>2124</v>
      </c>
      <c r="Z96" t="s">
        <v>2125</v>
      </c>
      <c r="AA96" t="s">
        <v>2126</v>
      </c>
      <c r="AB96" t="s">
        <v>2127</v>
      </c>
      <c r="AC96" t="s">
        <v>2128</v>
      </c>
      <c r="AD96" t="s">
        <v>2129</v>
      </c>
      <c r="AE96" t="s">
        <v>2130</v>
      </c>
      <c r="AF96" t="s">
        <v>74</v>
      </c>
      <c r="AG96">
        <v>40</v>
      </c>
      <c r="AH96">
        <v>122</v>
      </c>
      <c r="AI96">
        <v>127</v>
      </c>
      <c r="AJ96">
        <v>6</v>
      </c>
      <c r="AK96">
        <v>55</v>
      </c>
      <c r="AL96" t="s">
        <v>211</v>
      </c>
      <c r="AM96" t="s">
        <v>187</v>
      </c>
      <c r="AN96" t="s">
        <v>2131</v>
      </c>
      <c r="AO96" t="s">
        <v>2132</v>
      </c>
      <c r="AP96" t="s">
        <v>2133</v>
      </c>
      <c r="AQ96" t="s">
        <v>74</v>
      </c>
      <c r="AR96" t="s">
        <v>2134</v>
      </c>
      <c r="AS96" t="s">
        <v>2135</v>
      </c>
      <c r="AT96" t="s">
        <v>2136</v>
      </c>
      <c r="AU96">
        <v>2017</v>
      </c>
      <c r="AV96">
        <v>48</v>
      </c>
      <c r="AW96" t="s">
        <v>2137</v>
      </c>
      <c r="AX96" t="s">
        <v>74</v>
      </c>
      <c r="AY96" t="s">
        <v>74</v>
      </c>
      <c r="AZ96" t="s">
        <v>74</v>
      </c>
      <c r="BA96" t="s">
        <v>74</v>
      </c>
      <c r="BB96">
        <v>225</v>
      </c>
      <c r="BC96">
        <v>239</v>
      </c>
      <c r="BD96" t="s">
        <v>74</v>
      </c>
      <c r="BE96" t="s">
        <v>2138</v>
      </c>
      <c r="BF96" t="str">
        <f>HYPERLINK("http://dx.doi.org/10.1007/s00382-016-3071-1","http://dx.doi.org/10.1007/s00382-016-3071-1")</f>
        <v>http://dx.doi.org/10.1007/s00382-016-3071-1</v>
      </c>
      <c r="BG96" t="s">
        <v>74</v>
      </c>
      <c r="BH96" t="s">
        <v>74</v>
      </c>
      <c r="BI96">
        <v>15</v>
      </c>
      <c r="BJ96" t="s">
        <v>747</v>
      </c>
      <c r="BK96" t="s">
        <v>101</v>
      </c>
      <c r="BL96" t="s">
        <v>747</v>
      </c>
      <c r="BM96" t="s">
        <v>2139</v>
      </c>
      <c r="BN96" t="s">
        <v>74</v>
      </c>
      <c r="BO96" t="s">
        <v>2140</v>
      </c>
      <c r="BP96" t="s">
        <v>74</v>
      </c>
      <c r="BQ96" t="s">
        <v>74</v>
      </c>
      <c r="BR96" t="s">
        <v>105</v>
      </c>
      <c r="BS96" t="s">
        <v>2141</v>
      </c>
      <c r="BT96" t="str">
        <f>HYPERLINK("https%3A%2F%2Fwww.webofscience.com%2Fwos%2Fwoscc%2Ffull-record%2FWOS:000392307300013","View Full Record in Web of Science")</f>
        <v>View Full Record in Web of Science</v>
      </c>
    </row>
    <row r="97" spans="1:72" x14ac:dyDescent="0.15">
      <c r="A97" t="s">
        <v>72</v>
      </c>
      <c r="B97" t="s">
        <v>2142</v>
      </c>
      <c r="C97" t="s">
        <v>74</v>
      </c>
      <c r="D97" t="s">
        <v>74</v>
      </c>
      <c r="E97" t="s">
        <v>74</v>
      </c>
      <c r="F97" t="s">
        <v>2143</v>
      </c>
      <c r="G97" t="s">
        <v>74</v>
      </c>
      <c r="H97" t="s">
        <v>74</v>
      </c>
      <c r="I97" t="s">
        <v>2144</v>
      </c>
      <c r="J97" t="s">
        <v>2145</v>
      </c>
      <c r="K97" t="s">
        <v>74</v>
      </c>
      <c r="L97" t="s">
        <v>74</v>
      </c>
      <c r="M97" t="s">
        <v>78</v>
      </c>
      <c r="N97" t="s">
        <v>79</v>
      </c>
      <c r="O97" t="s">
        <v>74</v>
      </c>
      <c r="P97" t="s">
        <v>74</v>
      </c>
      <c r="Q97" t="s">
        <v>74</v>
      </c>
      <c r="R97" t="s">
        <v>74</v>
      </c>
      <c r="S97" t="s">
        <v>74</v>
      </c>
      <c r="T97" t="s">
        <v>2146</v>
      </c>
      <c r="U97" t="s">
        <v>2147</v>
      </c>
      <c r="V97" t="s">
        <v>2148</v>
      </c>
      <c r="W97" t="s">
        <v>2149</v>
      </c>
      <c r="X97" t="s">
        <v>2150</v>
      </c>
      <c r="Y97" t="s">
        <v>2151</v>
      </c>
      <c r="Z97" t="s">
        <v>2152</v>
      </c>
      <c r="AA97" t="s">
        <v>2153</v>
      </c>
      <c r="AB97" t="s">
        <v>2154</v>
      </c>
      <c r="AC97" t="s">
        <v>2155</v>
      </c>
      <c r="AD97" t="s">
        <v>2156</v>
      </c>
      <c r="AE97" t="s">
        <v>2157</v>
      </c>
      <c r="AF97" t="s">
        <v>74</v>
      </c>
      <c r="AG97">
        <v>52</v>
      </c>
      <c r="AH97">
        <v>45</v>
      </c>
      <c r="AI97">
        <v>52</v>
      </c>
      <c r="AJ97">
        <v>1</v>
      </c>
      <c r="AK97">
        <v>19</v>
      </c>
      <c r="AL97" t="s">
        <v>291</v>
      </c>
      <c r="AM97" t="s">
        <v>292</v>
      </c>
      <c r="AN97" t="s">
        <v>293</v>
      </c>
      <c r="AO97" t="s">
        <v>2158</v>
      </c>
      <c r="AP97" t="s">
        <v>2159</v>
      </c>
      <c r="AQ97" t="s">
        <v>74</v>
      </c>
      <c r="AR97" t="s">
        <v>2160</v>
      </c>
      <c r="AS97" t="s">
        <v>2161</v>
      </c>
      <c r="AT97" t="s">
        <v>2162</v>
      </c>
      <c r="AU97">
        <v>2017</v>
      </c>
      <c r="AV97">
        <v>132</v>
      </c>
      <c r="AW97" t="s">
        <v>74</v>
      </c>
      <c r="AX97" t="s">
        <v>74</v>
      </c>
      <c r="AY97" t="s">
        <v>74</v>
      </c>
      <c r="AZ97" t="s">
        <v>74</v>
      </c>
      <c r="BA97" t="s">
        <v>74</v>
      </c>
      <c r="BB97">
        <v>38</v>
      </c>
      <c r="BC97">
        <v>48</v>
      </c>
      <c r="BD97" t="s">
        <v>74</v>
      </c>
      <c r="BE97" t="s">
        <v>2163</v>
      </c>
      <c r="BF97" t="str">
        <f>HYPERLINK("http://dx.doi.org/10.1016/j.csr.2016.09.005","http://dx.doi.org/10.1016/j.csr.2016.09.005")</f>
        <v>http://dx.doi.org/10.1016/j.csr.2016.09.005</v>
      </c>
      <c r="BG97" t="s">
        <v>74</v>
      </c>
      <c r="BH97" t="s">
        <v>74</v>
      </c>
      <c r="BI97">
        <v>11</v>
      </c>
      <c r="BJ97" t="s">
        <v>2164</v>
      </c>
      <c r="BK97" t="s">
        <v>101</v>
      </c>
      <c r="BL97" t="s">
        <v>2164</v>
      </c>
      <c r="BM97" t="s">
        <v>2165</v>
      </c>
      <c r="BN97" t="s">
        <v>74</v>
      </c>
      <c r="BO97" t="s">
        <v>301</v>
      </c>
      <c r="BP97" t="s">
        <v>74</v>
      </c>
      <c r="BQ97" t="s">
        <v>74</v>
      </c>
      <c r="BR97" t="s">
        <v>105</v>
      </c>
      <c r="BS97" t="s">
        <v>2166</v>
      </c>
      <c r="BT97" t="str">
        <f>HYPERLINK("https%3A%2F%2Fwww.webofscience.com%2Fwos%2Fwoscc%2Ffull-record%2FWOS:000393005500005","View Full Record in Web of Science")</f>
        <v>View Full Record in Web of Science</v>
      </c>
    </row>
    <row r="98" spans="1:72" x14ac:dyDescent="0.15">
      <c r="A98" t="s">
        <v>72</v>
      </c>
      <c r="B98" t="s">
        <v>2167</v>
      </c>
      <c r="C98" t="s">
        <v>74</v>
      </c>
      <c r="D98" t="s">
        <v>74</v>
      </c>
      <c r="E98" t="s">
        <v>74</v>
      </c>
      <c r="F98" t="s">
        <v>2168</v>
      </c>
      <c r="G98" t="s">
        <v>74</v>
      </c>
      <c r="H98" t="s">
        <v>74</v>
      </c>
      <c r="I98" t="s">
        <v>2169</v>
      </c>
      <c r="J98" t="s">
        <v>2170</v>
      </c>
      <c r="K98" t="s">
        <v>74</v>
      </c>
      <c r="L98" t="s">
        <v>74</v>
      </c>
      <c r="M98" t="s">
        <v>78</v>
      </c>
      <c r="N98" t="s">
        <v>79</v>
      </c>
      <c r="O98" t="s">
        <v>74</v>
      </c>
      <c r="P98" t="s">
        <v>74</v>
      </c>
      <c r="Q98" t="s">
        <v>74</v>
      </c>
      <c r="R98" t="s">
        <v>74</v>
      </c>
      <c r="S98" t="s">
        <v>74</v>
      </c>
      <c r="T98" t="s">
        <v>2171</v>
      </c>
      <c r="U98" t="s">
        <v>2172</v>
      </c>
      <c r="V98" t="s">
        <v>2173</v>
      </c>
      <c r="W98" t="s">
        <v>2174</v>
      </c>
      <c r="X98" t="s">
        <v>2175</v>
      </c>
      <c r="Y98" t="s">
        <v>2176</v>
      </c>
      <c r="Z98" t="s">
        <v>2177</v>
      </c>
      <c r="AA98" t="s">
        <v>2178</v>
      </c>
      <c r="AB98" t="s">
        <v>2179</v>
      </c>
      <c r="AC98" t="s">
        <v>2180</v>
      </c>
      <c r="AD98" t="s">
        <v>2181</v>
      </c>
      <c r="AE98" t="s">
        <v>2182</v>
      </c>
      <c r="AF98" t="s">
        <v>74</v>
      </c>
      <c r="AG98">
        <v>116</v>
      </c>
      <c r="AH98">
        <v>13</v>
      </c>
      <c r="AI98">
        <v>13</v>
      </c>
      <c r="AJ98">
        <v>1</v>
      </c>
      <c r="AK98">
        <v>10</v>
      </c>
      <c r="AL98" t="s">
        <v>2183</v>
      </c>
      <c r="AM98" t="s">
        <v>2184</v>
      </c>
      <c r="AN98" t="s">
        <v>2185</v>
      </c>
      <c r="AO98" t="s">
        <v>2186</v>
      </c>
      <c r="AP98" t="s">
        <v>2187</v>
      </c>
      <c r="AQ98" t="s">
        <v>74</v>
      </c>
      <c r="AR98" t="s">
        <v>2188</v>
      </c>
      <c r="AS98" t="s">
        <v>2189</v>
      </c>
      <c r="AT98" t="s">
        <v>74</v>
      </c>
      <c r="AU98">
        <v>2017</v>
      </c>
      <c r="AV98">
        <v>43</v>
      </c>
      <c r="AW98">
        <v>2</v>
      </c>
      <c r="AX98" t="s">
        <v>74</v>
      </c>
      <c r="AY98" t="s">
        <v>74</v>
      </c>
      <c r="AZ98" t="s">
        <v>74</v>
      </c>
      <c r="BA98" t="s">
        <v>74</v>
      </c>
      <c r="BB98">
        <v>719</v>
      </c>
      <c r="BC98">
        <v>750</v>
      </c>
      <c r="BD98" t="s">
        <v>74</v>
      </c>
      <c r="BE98" t="s">
        <v>2190</v>
      </c>
      <c r="BF98" t="str">
        <f>HYPERLINK("http://dx.doi.org/10.18172/cig.3263","http://dx.doi.org/10.18172/cig.3263")</f>
        <v>http://dx.doi.org/10.18172/cig.3263</v>
      </c>
      <c r="BG98" t="s">
        <v>74</v>
      </c>
      <c r="BH98" t="s">
        <v>74</v>
      </c>
      <c r="BI98">
        <v>32</v>
      </c>
      <c r="BJ98" t="s">
        <v>2191</v>
      </c>
      <c r="BK98" t="s">
        <v>2057</v>
      </c>
      <c r="BL98" t="s">
        <v>2192</v>
      </c>
      <c r="BM98" t="s">
        <v>2193</v>
      </c>
      <c r="BN98" t="s">
        <v>74</v>
      </c>
      <c r="BO98" t="s">
        <v>1298</v>
      </c>
      <c r="BP98" t="s">
        <v>74</v>
      </c>
      <c r="BQ98" t="s">
        <v>74</v>
      </c>
      <c r="BR98" t="s">
        <v>105</v>
      </c>
      <c r="BS98" t="s">
        <v>2194</v>
      </c>
      <c r="BT98" t="str">
        <f>HYPERLINK("https%3A%2F%2Fwww.webofscience.com%2Fwos%2Fwoscc%2Ffull-record%2FWOS:000418809200016","View Full Record in Web of Science")</f>
        <v>View Full Record in Web of Science</v>
      </c>
    </row>
    <row r="99" spans="1:72" x14ac:dyDescent="0.15">
      <c r="A99" t="s">
        <v>72</v>
      </c>
      <c r="B99" t="s">
        <v>2195</v>
      </c>
      <c r="C99" t="s">
        <v>74</v>
      </c>
      <c r="D99" t="s">
        <v>74</v>
      </c>
      <c r="E99" t="s">
        <v>74</v>
      </c>
      <c r="F99" t="s">
        <v>2196</v>
      </c>
      <c r="G99" t="s">
        <v>74</v>
      </c>
      <c r="H99" t="s">
        <v>74</v>
      </c>
      <c r="I99" t="s">
        <v>2197</v>
      </c>
      <c r="J99" t="s">
        <v>2198</v>
      </c>
      <c r="K99" t="s">
        <v>74</v>
      </c>
      <c r="L99" t="s">
        <v>74</v>
      </c>
      <c r="M99" t="s">
        <v>78</v>
      </c>
      <c r="N99" t="s">
        <v>79</v>
      </c>
      <c r="O99" t="s">
        <v>74</v>
      </c>
      <c r="P99" t="s">
        <v>74</v>
      </c>
      <c r="Q99" t="s">
        <v>74</v>
      </c>
      <c r="R99" t="s">
        <v>74</v>
      </c>
      <c r="S99" t="s">
        <v>74</v>
      </c>
      <c r="T99" t="s">
        <v>2199</v>
      </c>
      <c r="U99" t="s">
        <v>2200</v>
      </c>
      <c r="V99" t="s">
        <v>2201</v>
      </c>
      <c r="W99" t="s">
        <v>2202</v>
      </c>
      <c r="X99" t="s">
        <v>2203</v>
      </c>
      <c r="Y99" t="s">
        <v>2204</v>
      </c>
      <c r="Z99" t="s">
        <v>2205</v>
      </c>
      <c r="AA99" t="s">
        <v>2206</v>
      </c>
      <c r="AB99" t="s">
        <v>2207</v>
      </c>
      <c r="AC99" t="s">
        <v>2208</v>
      </c>
      <c r="AD99" t="s">
        <v>2209</v>
      </c>
      <c r="AE99" t="s">
        <v>2210</v>
      </c>
      <c r="AF99" t="s">
        <v>74</v>
      </c>
      <c r="AG99">
        <v>52</v>
      </c>
      <c r="AH99">
        <v>34</v>
      </c>
      <c r="AI99">
        <v>35</v>
      </c>
      <c r="AJ99">
        <v>2</v>
      </c>
      <c r="AK99">
        <v>16</v>
      </c>
      <c r="AL99" t="s">
        <v>291</v>
      </c>
      <c r="AM99" t="s">
        <v>292</v>
      </c>
      <c r="AN99" t="s">
        <v>293</v>
      </c>
      <c r="AO99" t="s">
        <v>2211</v>
      </c>
      <c r="AP99" t="s">
        <v>2212</v>
      </c>
      <c r="AQ99" t="s">
        <v>74</v>
      </c>
      <c r="AR99" t="s">
        <v>2213</v>
      </c>
      <c r="AS99" t="s">
        <v>2214</v>
      </c>
      <c r="AT99" t="s">
        <v>2136</v>
      </c>
      <c r="AU99">
        <v>2017</v>
      </c>
      <c r="AV99">
        <v>119</v>
      </c>
      <c r="AW99" t="s">
        <v>74</v>
      </c>
      <c r="AX99" t="s">
        <v>74</v>
      </c>
      <c r="AY99" t="s">
        <v>74</v>
      </c>
      <c r="AZ99" t="s">
        <v>74</v>
      </c>
      <c r="BA99" t="s">
        <v>74</v>
      </c>
      <c r="BB99">
        <v>1</v>
      </c>
      <c r="BC99">
        <v>15</v>
      </c>
      <c r="BD99" t="s">
        <v>74</v>
      </c>
      <c r="BE99" t="s">
        <v>2215</v>
      </c>
      <c r="BF99" t="str">
        <f>HYPERLINK("http://dx.doi.org/10.1016/j.dsr.2016.11.003","http://dx.doi.org/10.1016/j.dsr.2016.11.003")</f>
        <v>http://dx.doi.org/10.1016/j.dsr.2016.11.003</v>
      </c>
      <c r="BG99" t="s">
        <v>74</v>
      </c>
      <c r="BH99" t="s">
        <v>74</v>
      </c>
      <c r="BI99">
        <v>15</v>
      </c>
      <c r="BJ99" t="s">
        <v>2164</v>
      </c>
      <c r="BK99" t="s">
        <v>101</v>
      </c>
      <c r="BL99" t="s">
        <v>2164</v>
      </c>
      <c r="BM99" t="s">
        <v>2216</v>
      </c>
      <c r="BN99" t="s">
        <v>74</v>
      </c>
      <c r="BO99" t="s">
        <v>74</v>
      </c>
      <c r="BP99" t="s">
        <v>74</v>
      </c>
      <c r="BQ99" t="s">
        <v>74</v>
      </c>
      <c r="BR99" t="s">
        <v>105</v>
      </c>
      <c r="BS99" t="s">
        <v>2217</v>
      </c>
      <c r="BT99" t="str">
        <f>HYPERLINK("https%3A%2F%2Fwww.webofscience.com%2Fwos%2Fwoscc%2Ffull-record%2FWOS:000393256400001","View Full Record in Web of Science")</f>
        <v>View Full Record in Web of Science</v>
      </c>
    </row>
    <row r="100" spans="1:72" x14ac:dyDescent="0.15">
      <c r="A100" t="s">
        <v>72</v>
      </c>
      <c r="B100" t="s">
        <v>2218</v>
      </c>
      <c r="C100" t="s">
        <v>74</v>
      </c>
      <c r="D100" t="s">
        <v>74</v>
      </c>
      <c r="E100" t="s">
        <v>74</v>
      </c>
      <c r="F100" t="s">
        <v>2219</v>
      </c>
      <c r="G100" t="s">
        <v>74</v>
      </c>
      <c r="H100" t="s">
        <v>74</v>
      </c>
      <c r="I100" t="s">
        <v>2220</v>
      </c>
      <c r="J100" t="s">
        <v>1187</v>
      </c>
      <c r="K100" t="s">
        <v>74</v>
      </c>
      <c r="L100" t="s">
        <v>74</v>
      </c>
      <c r="M100" t="s">
        <v>78</v>
      </c>
      <c r="N100" t="s">
        <v>79</v>
      </c>
      <c r="O100" t="s">
        <v>74</v>
      </c>
      <c r="P100" t="s">
        <v>74</v>
      </c>
      <c r="Q100" t="s">
        <v>74</v>
      </c>
      <c r="R100" t="s">
        <v>74</v>
      </c>
      <c r="S100" t="s">
        <v>74</v>
      </c>
      <c r="T100" t="s">
        <v>2221</v>
      </c>
      <c r="U100" t="s">
        <v>2222</v>
      </c>
      <c r="V100" t="s">
        <v>2223</v>
      </c>
      <c r="W100" t="s">
        <v>2224</v>
      </c>
      <c r="X100" t="s">
        <v>2225</v>
      </c>
      <c r="Y100" t="s">
        <v>2226</v>
      </c>
      <c r="Z100" t="s">
        <v>2227</v>
      </c>
      <c r="AA100" t="s">
        <v>2228</v>
      </c>
      <c r="AB100" t="s">
        <v>2229</v>
      </c>
      <c r="AC100" t="s">
        <v>2230</v>
      </c>
      <c r="AD100" t="s">
        <v>2231</v>
      </c>
      <c r="AE100" t="s">
        <v>2232</v>
      </c>
      <c r="AF100" t="s">
        <v>74</v>
      </c>
      <c r="AG100">
        <v>49</v>
      </c>
      <c r="AH100">
        <v>22</v>
      </c>
      <c r="AI100">
        <v>23</v>
      </c>
      <c r="AJ100">
        <v>0</v>
      </c>
      <c r="AK100">
        <v>24</v>
      </c>
      <c r="AL100" t="s">
        <v>168</v>
      </c>
      <c r="AM100" t="s">
        <v>169</v>
      </c>
      <c r="AN100" t="s">
        <v>170</v>
      </c>
      <c r="AO100" t="s">
        <v>1200</v>
      </c>
      <c r="AP100" t="s">
        <v>1201</v>
      </c>
      <c r="AQ100" t="s">
        <v>74</v>
      </c>
      <c r="AR100" t="s">
        <v>1202</v>
      </c>
      <c r="AS100" t="s">
        <v>1203</v>
      </c>
      <c r="AT100" t="s">
        <v>2162</v>
      </c>
      <c r="AU100">
        <v>2017</v>
      </c>
      <c r="AV100">
        <v>457</v>
      </c>
      <c r="AW100" t="s">
        <v>74</v>
      </c>
      <c r="AX100" t="s">
        <v>74</v>
      </c>
      <c r="AY100" t="s">
        <v>74</v>
      </c>
      <c r="AZ100" t="s">
        <v>74</v>
      </c>
      <c r="BA100" t="s">
        <v>74</v>
      </c>
      <c r="BB100">
        <v>335</v>
      </c>
      <c r="BC100">
        <v>347</v>
      </c>
      <c r="BD100" t="s">
        <v>74</v>
      </c>
      <c r="BE100" t="s">
        <v>2233</v>
      </c>
      <c r="BF100" t="str">
        <f>HYPERLINK("http://dx.doi.org/10.1016/j.epsl.2016.10.004","http://dx.doi.org/10.1016/j.epsl.2016.10.004")</f>
        <v>http://dx.doi.org/10.1016/j.epsl.2016.10.004</v>
      </c>
      <c r="BG100" t="s">
        <v>74</v>
      </c>
      <c r="BH100" t="s">
        <v>74</v>
      </c>
      <c r="BI100">
        <v>13</v>
      </c>
      <c r="BJ100" t="s">
        <v>299</v>
      </c>
      <c r="BK100" t="s">
        <v>101</v>
      </c>
      <c r="BL100" t="s">
        <v>299</v>
      </c>
      <c r="BM100" t="s">
        <v>2234</v>
      </c>
      <c r="BN100" t="s">
        <v>74</v>
      </c>
      <c r="BO100" t="s">
        <v>463</v>
      </c>
      <c r="BP100" t="s">
        <v>74</v>
      </c>
      <c r="BQ100" t="s">
        <v>74</v>
      </c>
      <c r="BR100" t="s">
        <v>105</v>
      </c>
      <c r="BS100" t="s">
        <v>2235</v>
      </c>
      <c r="BT100" t="str">
        <f>HYPERLINK("https%3A%2F%2Fwww.webofscience.com%2Fwos%2Fwoscc%2Ffull-record%2FWOS:000389398000031","View Full Record in Web of Science")</f>
        <v>View Full Record in Web of Science</v>
      </c>
    </row>
    <row r="101" spans="1:72" x14ac:dyDescent="0.15">
      <c r="A101" t="s">
        <v>72</v>
      </c>
      <c r="B101" t="s">
        <v>2236</v>
      </c>
      <c r="C101" t="s">
        <v>74</v>
      </c>
      <c r="D101" t="s">
        <v>74</v>
      </c>
      <c r="E101" t="s">
        <v>74</v>
      </c>
      <c r="F101" t="s">
        <v>2237</v>
      </c>
      <c r="G101" t="s">
        <v>74</v>
      </c>
      <c r="H101" t="s">
        <v>74</v>
      </c>
      <c r="I101" t="s">
        <v>2238</v>
      </c>
      <c r="J101" t="s">
        <v>2239</v>
      </c>
      <c r="K101" t="s">
        <v>74</v>
      </c>
      <c r="L101" t="s">
        <v>74</v>
      </c>
      <c r="M101" t="s">
        <v>78</v>
      </c>
      <c r="N101" t="s">
        <v>79</v>
      </c>
      <c r="O101" t="s">
        <v>74</v>
      </c>
      <c r="P101" t="s">
        <v>74</v>
      </c>
      <c r="Q101" t="s">
        <v>74</v>
      </c>
      <c r="R101" t="s">
        <v>74</v>
      </c>
      <c r="S101" t="s">
        <v>74</v>
      </c>
      <c r="T101" t="s">
        <v>2240</v>
      </c>
      <c r="U101" t="s">
        <v>2241</v>
      </c>
      <c r="V101" t="s">
        <v>2242</v>
      </c>
      <c r="W101" t="s">
        <v>2243</v>
      </c>
      <c r="X101" t="s">
        <v>2244</v>
      </c>
      <c r="Y101" t="s">
        <v>2245</v>
      </c>
      <c r="Z101" t="s">
        <v>2246</v>
      </c>
      <c r="AA101" t="s">
        <v>2247</v>
      </c>
      <c r="AB101" t="s">
        <v>2248</v>
      </c>
      <c r="AC101" t="s">
        <v>2249</v>
      </c>
      <c r="AD101" t="s">
        <v>2249</v>
      </c>
      <c r="AE101" t="s">
        <v>2250</v>
      </c>
      <c r="AF101" t="s">
        <v>74</v>
      </c>
      <c r="AG101">
        <v>50</v>
      </c>
      <c r="AH101">
        <v>8</v>
      </c>
      <c r="AI101">
        <v>8</v>
      </c>
      <c r="AJ101">
        <v>3</v>
      </c>
      <c r="AK101">
        <v>25</v>
      </c>
      <c r="AL101" t="s">
        <v>168</v>
      </c>
      <c r="AM101" t="s">
        <v>169</v>
      </c>
      <c r="AN101" t="s">
        <v>170</v>
      </c>
      <c r="AO101" t="s">
        <v>2251</v>
      </c>
      <c r="AP101" t="s">
        <v>2252</v>
      </c>
      <c r="AQ101" t="s">
        <v>74</v>
      </c>
      <c r="AR101" t="s">
        <v>2253</v>
      </c>
      <c r="AS101" t="s">
        <v>2254</v>
      </c>
      <c r="AT101" t="s">
        <v>2136</v>
      </c>
      <c r="AU101">
        <v>2017</v>
      </c>
      <c r="AV101">
        <v>72</v>
      </c>
      <c r="AW101" t="s">
        <v>74</v>
      </c>
      <c r="AX101" t="s">
        <v>74</v>
      </c>
      <c r="AY101" t="s">
        <v>74</v>
      </c>
      <c r="AZ101" t="s">
        <v>74</v>
      </c>
      <c r="BA101" t="s">
        <v>74</v>
      </c>
      <c r="BB101">
        <v>360</v>
      </c>
      <c r="BC101">
        <v>364</v>
      </c>
      <c r="BD101" t="s">
        <v>74</v>
      </c>
      <c r="BE101" t="s">
        <v>2255</v>
      </c>
      <c r="BF101" t="str">
        <f>HYPERLINK("http://dx.doi.org/10.1016/j.ecolind.2016.08.028","http://dx.doi.org/10.1016/j.ecolind.2016.08.028")</f>
        <v>http://dx.doi.org/10.1016/j.ecolind.2016.08.028</v>
      </c>
      <c r="BG101" t="s">
        <v>74</v>
      </c>
      <c r="BH101" t="s">
        <v>74</v>
      </c>
      <c r="BI101">
        <v>5</v>
      </c>
      <c r="BJ101" t="s">
        <v>2256</v>
      </c>
      <c r="BK101" t="s">
        <v>101</v>
      </c>
      <c r="BL101" t="s">
        <v>2257</v>
      </c>
      <c r="BM101" t="s">
        <v>2258</v>
      </c>
      <c r="BN101" t="s">
        <v>74</v>
      </c>
      <c r="BO101" t="s">
        <v>74</v>
      </c>
      <c r="BP101" t="s">
        <v>74</v>
      </c>
      <c r="BQ101" t="s">
        <v>74</v>
      </c>
      <c r="BR101" t="s">
        <v>105</v>
      </c>
      <c r="BS101" t="s">
        <v>2259</v>
      </c>
      <c r="BT101" t="str">
        <f>HYPERLINK("https%3A%2F%2Fwww.webofscience.com%2Fwos%2Fwoscc%2Ffull-record%2FWOS:000398426200037","View Full Record in Web of Science")</f>
        <v>View Full Record in Web of Science</v>
      </c>
    </row>
    <row r="102" spans="1:72" x14ac:dyDescent="0.15">
      <c r="A102" t="s">
        <v>72</v>
      </c>
      <c r="B102" t="s">
        <v>2260</v>
      </c>
      <c r="C102" t="s">
        <v>74</v>
      </c>
      <c r="D102" t="s">
        <v>74</v>
      </c>
      <c r="E102" t="s">
        <v>74</v>
      </c>
      <c r="F102" t="s">
        <v>2261</v>
      </c>
      <c r="G102" t="s">
        <v>74</v>
      </c>
      <c r="H102" t="s">
        <v>74</v>
      </c>
      <c r="I102" t="s">
        <v>2262</v>
      </c>
      <c r="J102" t="s">
        <v>2263</v>
      </c>
      <c r="K102" t="s">
        <v>74</v>
      </c>
      <c r="L102" t="s">
        <v>74</v>
      </c>
      <c r="M102" t="s">
        <v>78</v>
      </c>
      <c r="N102" t="s">
        <v>79</v>
      </c>
      <c r="O102" t="s">
        <v>74</v>
      </c>
      <c r="P102" t="s">
        <v>74</v>
      </c>
      <c r="Q102" t="s">
        <v>74</v>
      </c>
      <c r="R102" t="s">
        <v>74</v>
      </c>
      <c r="S102" t="s">
        <v>74</v>
      </c>
      <c r="T102" t="s">
        <v>2264</v>
      </c>
      <c r="U102" t="s">
        <v>2265</v>
      </c>
      <c r="V102" t="s">
        <v>2266</v>
      </c>
      <c r="W102" t="s">
        <v>2267</v>
      </c>
      <c r="X102" t="s">
        <v>2268</v>
      </c>
      <c r="Y102" t="s">
        <v>2269</v>
      </c>
      <c r="Z102" t="s">
        <v>2270</v>
      </c>
      <c r="AA102" t="s">
        <v>2271</v>
      </c>
      <c r="AB102" t="s">
        <v>2272</v>
      </c>
      <c r="AC102" t="s">
        <v>2273</v>
      </c>
      <c r="AD102" t="s">
        <v>2274</v>
      </c>
      <c r="AE102" t="s">
        <v>2275</v>
      </c>
      <c r="AF102" t="s">
        <v>74</v>
      </c>
      <c r="AG102">
        <v>40</v>
      </c>
      <c r="AH102">
        <v>3</v>
      </c>
      <c r="AI102">
        <v>5</v>
      </c>
      <c r="AJ102">
        <v>0</v>
      </c>
      <c r="AK102">
        <v>9</v>
      </c>
      <c r="AL102" t="s">
        <v>2276</v>
      </c>
      <c r="AM102" t="s">
        <v>2277</v>
      </c>
      <c r="AN102" t="s">
        <v>2278</v>
      </c>
      <c r="AO102" t="s">
        <v>2279</v>
      </c>
      <c r="AP102" t="s">
        <v>2280</v>
      </c>
      <c r="AQ102" t="s">
        <v>74</v>
      </c>
      <c r="AR102" t="s">
        <v>2263</v>
      </c>
      <c r="AS102" t="s">
        <v>2281</v>
      </c>
      <c r="AT102" t="s">
        <v>74</v>
      </c>
      <c r="AU102">
        <v>2017</v>
      </c>
      <c r="AV102">
        <v>117</v>
      </c>
      <c r="AW102">
        <v>2</v>
      </c>
      <c r="AX102" t="s">
        <v>74</v>
      </c>
      <c r="AY102" t="s">
        <v>74</v>
      </c>
      <c r="AZ102" t="s">
        <v>74</v>
      </c>
      <c r="BA102" t="s">
        <v>74</v>
      </c>
      <c r="BB102">
        <v>151</v>
      </c>
      <c r="BC102">
        <v>159</v>
      </c>
      <c r="BD102" t="s">
        <v>74</v>
      </c>
      <c r="BE102" t="s">
        <v>2282</v>
      </c>
      <c r="BF102" t="str">
        <f>HYPERLINK("http://dx.doi.org/10.1080/01584197.2017.1292610","http://dx.doi.org/10.1080/01584197.2017.1292610")</f>
        <v>http://dx.doi.org/10.1080/01584197.2017.1292610</v>
      </c>
      <c r="BG102" t="s">
        <v>74</v>
      </c>
      <c r="BH102" t="s">
        <v>74</v>
      </c>
      <c r="BI102">
        <v>9</v>
      </c>
      <c r="BJ102" t="s">
        <v>2283</v>
      </c>
      <c r="BK102" t="s">
        <v>101</v>
      </c>
      <c r="BL102" t="s">
        <v>643</v>
      </c>
      <c r="BM102" t="s">
        <v>2284</v>
      </c>
      <c r="BN102" t="s">
        <v>74</v>
      </c>
      <c r="BO102" t="s">
        <v>74</v>
      </c>
      <c r="BP102" t="s">
        <v>74</v>
      </c>
      <c r="BQ102" t="s">
        <v>74</v>
      </c>
      <c r="BR102" t="s">
        <v>105</v>
      </c>
      <c r="BS102" t="s">
        <v>2285</v>
      </c>
      <c r="BT102" t="str">
        <f>HYPERLINK("https%3A%2F%2Fwww.webofscience.com%2Fwos%2Fwoscc%2Ffull-record%2FWOS:000410664600005","View Full Record in Web of Science")</f>
        <v>View Full Record in Web of Science</v>
      </c>
    </row>
    <row r="103" spans="1:72" x14ac:dyDescent="0.15">
      <c r="A103" t="s">
        <v>72</v>
      </c>
      <c r="B103" t="s">
        <v>2286</v>
      </c>
      <c r="C103" t="s">
        <v>74</v>
      </c>
      <c r="D103" t="s">
        <v>74</v>
      </c>
      <c r="E103" t="s">
        <v>74</v>
      </c>
      <c r="F103" t="s">
        <v>2287</v>
      </c>
      <c r="G103" t="s">
        <v>74</v>
      </c>
      <c r="H103" t="s">
        <v>74</v>
      </c>
      <c r="I103" t="s">
        <v>2288</v>
      </c>
      <c r="J103" t="s">
        <v>2289</v>
      </c>
      <c r="K103" t="s">
        <v>74</v>
      </c>
      <c r="L103" t="s">
        <v>74</v>
      </c>
      <c r="M103" t="s">
        <v>78</v>
      </c>
      <c r="N103" t="s">
        <v>79</v>
      </c>
      <c r="O103" t="s">
        <v>74</v>
      </c>
      <c r="P103" t="s">
        <v>74</v>
      </c>
      <c r="Q103" t="s">
        <v>74</v>
      </c>
      <c r="R103" t="s">
        <v>74</v>
      </c>
      <c r="S103" t="s">
        <v>74</v>
      </c>
      <c r="T103" t="s">
        <v>2290</v>
      </c>
      <c r="U103" t="s">
        <v>2291</v>
      </c>
      <c r="V103" t="s">
        <v>2292</v>
      </c>
      <c r="W103" t="s">
        <v>2293</v>
      </c>
      <c r="X103" t="s">
        <v>2294</v>
      </c>
      <c r="Y103" t="s">
        <v>2295</v>
      </c>
      <c r="Z103" t="s">
        <v>2296</v>
      </c>
      <c r="AA103" t="s">
        <v>2297</v>
      </c>
      <c r="AB103" t="s">
        <v>2298</v>
      </c>
      <c r="AC103" t="s">
        <v>74</v>
      </c>
      <c r="AD103" t="s">
        <v>74</v>
      </c>
      <c r="AE103" t="s">
        <v>74</v>
      </c>
      <c r="AF103" t="s">
        <v>74</v>
      </c>
      <c r="AG103">
        <v>83</v>
      </c>
      <c r="AH103">
        <v>30</v>
      </c>
      <c r="AI103">
        <v>31</v>
      </c>
      <c r="AJ103">
        <v>7</v>
      </c>
      <c r="AK103">
        <v>52</v>
      </c>
      <c r="AL103" t="s">
        <v>2299</v>
      </c>
      <c r="AM103" t="s">
        <v>782</v>
      </c>
      <c r="AN103" t="s">
        <v>2300</v>
      </c>
      <c r="AO103" t="s">
        <v>2301</v>
      </c>
      <c r="AP103" t="s">
        <v>2302</v>
      </c>
      <c r="AQ103" t="s">
        <v>74</v>
      </c>
      <c r="AR103" t="s">
        <v>2303</v>
      </c>
      <c r="AS103" t="s">
        <v>2304</v>
      </c>
      <c r="AT103" t="s">
        <v>2054</v>
      </c>
      <c r="AU103">
        <v>2017</v>
      </c>
      <c r="AV103">
        <v>27</v>
      </c>
      <c r="AW103">
        <v>1</v>
      </c>
      <c r="AX103" t="s">
        <v>74</v>
      </c>
      <c r="AY103" t="s">
        <v>74</v>
      </c>
      <c r="AZ103" t="s">
        <v>74</v>
      </c>
      <c r="BA103" t="s">
        <v>74</v>
      </c>
      <c r="BB103">
        <v>3</v>
      </c>
      <c r="BC103">
        <v>13</v>
      </c>
      <c r="BD103" t="s">
        <v>74</v>
      </c>
      <c r="BE103" t="s">
        <v>2305</v>
      </c>
      <c r="BF103" t="str">
        <f>HYPERLINK("http://dx.doi.org/10.1002/eet.1743","http://dx.doi.org/10.1002/eet.1743")</f>
        <v>http://dx.doi.org/10.1002/eet.1743</v>
      </c>
      <c r="BG103" t="s">
        <v>74</v>
      </c>
      <c r="BH103" t="s">
        <v>74</v>
      </c>
      <c r="BI103">
        <v>11</v>
      </c>
      <c r="BJ103" t="s">
        <v>2306</v>
      </c>
      <c r="BK103" t="s">
        <v>1918</v>
      </c>
      <c r="BL103" t="s">
        <v>178</v>
      </c>
      <c r="BM103" t="s">
        <v>2307</v>
      </c>
      <c r="BN103" t="s">
        <v>74</v>
      </c>
      <c r="BO103" t="s">
        <v>1695</v>
      </c>
      <c r="BP103" t="s">
        <v>74</v>
      </c>
      <c r="BQ103" t="s">
        <v>74</v>
      </c>
      <c r="BR103" t="s">
        <v>105</v>
      </c>
      <c r="BS103" t="s">
        <v>2308</v>
      </c>
      <c r="BT103" t="str">
        <f>HYPERLINK("https%3A%2F%2Fwww.webofscience.com%2Fwos%2Fwoscc%2Ffull-record%2FWOS:000394781900001","View Full Record in Web of Science")</f>
        <v>View Full Record in Web of Science</v>
      </c>
    </row>
    <row r="104" spans="1:72" x14ac:dyDescent="0.15">
      <c r="A104" t="s">
        <v>72</v>
      </c>
      <c r="B104" t="s">
        <v>2309</v>
      </c>
      <c r="C104" t="s">
        <v>74</v>
      </c>
      <c r="D104" t="s">
        <v>74</v>
      </c>
      <c r="E104" t="s">
        <v>74</v>
      </c>
      <c r="F104" t="s">
        <v>2310</v>
      </c>
      <c r="G104" t="s">
        <v>74</v>
      </c>
      <c r="H104" t="s">
        <v>74</v>
      </c>
      <c r="I104" t="s">
        <v>2311</v>
      </c>
      <c r="J104" t="s">
        <v>2312</v>
      </c>
      <c r="K104" t="s">
        <v>74</v>
      </c>
      <c r="L104" t="s">
        <v>74</v>
      </c>
      <c r="M104" t="s">
        <v>78</v>
      </c>
      <c r="N104" t="s">
        <v>79</v>
      </c>
      <c r="O104" t="s">
        <v>74</v>
      </c>
      <c r="P104" t="s">
        <v>74</v>
      </c>
      <c r="Q104" t="s">
        <v>74</v>
      </c>
      <c r="R104" t="s">
        <v>74</v>
      </c>
      <c r="S104" t="s">
        <v>74</v>
      </c>
      <c r="T104" t="s">
        <v>2313</v>
      </c>
      <c r="U104" t="s">
        <v>2314</v>
      </c>
      <c r="V104" t="s">
        <v>2315</v>
      </c>
      <c r="W104" t="s">
        <v>2316</v>
      </c>
      <c r="X104" t="s">
        <v>2317</v>
      </c>
      <c r="Y104" t="s">
        <v>2318</v>
      </c>
      <c r="Z104" t="s">
        <v>2319</v>
      </c>
      <c r="AA104" t="s">
        <v>2320</v>
      </c>
      <c r="AB104" t="s">
        <v>2321</v>
      </c>
      <c r="AC104" t="s">
        <v>2322</v>
      </c>
      <c r="AD104" t="s">
        <v>2323</v>
      </c>
      <c r="AE104" t="s">
        <v>2324</v>
      </c>
      <c r="AF104" t="s">
        <v>74</v>
      </c>
      <c r="AG104">
        <v>81</v>
      </c>
      <c r="AH104">
        <v>22</v>
      </c>
      <c r="AI104">
        <v>23</v>
      </c>
      <c r="AJ104">
        <v>1</v>
      </c>
      <c r="AK104">
        <v>89</v>
      </c>
      <c r="AL104" t="s">
        <v>2325</v>
      </c>
      <c r="AM104" t="s">
        <v>292</v>
      </c>
      <c r="AN104" t="s">
        <v>2326</v>
      </c>
      <c r="AO104" t="s">
        <v>2327</v>
      </c>
      <c r="AP104" t="s">
        <v>2328</v>
      </c>
      <c r="AQ104" t="s">
        <v>74</v>
      </c>
      <c r="AR104" t="s">
        <v>2329</v>
      </c>
      <c r="AS104" t="s">
        <v>2330</v>
      </c>
      <c r="AT104" t="s">
        <v>2136</v>
      </c>
      <c r="AU104">
        <v>2017</v>
      </c>
      <c r="AV104">
        <v>220</v>
      </c>
      <c r="AW104" t="s">
        <v>74</v>
      </c>
      <c r="AX104" t="s">
        <v>2331</v>
      </c>
      <c r="AY104" t="s">
        <v>74</v>
      </c>
      <c r="AZ104" t="s">
        <v>74</v>
      </c>
      <c r="BA104" t="s">
        <v>74</v>
      </c>
      <c r="BB104">
        <v>1090</v>
      </c>
      <c r="BC104">
        <v>1099</v>
      </c>
      <c r="BD104" t="s">
        <v>74</v>
      </c>
      <c r="BE104" t="s">
        <v>2332</v>
      </c>
      <c r="BF104" t="str">
        <f>HYPERLINK("http://dx.doi.org/10.1016/j.envpol.2016.11.032","http://dx.doi.org/10.1016/j.envpol.2016.11.032")</f>
        <v>http://dx.doi.org/10.1016/j.envpol.2016.11.032</v>
      </c>
      <c r="BG104" t="s">
        <v>74</v>
      </c>
      <c r="BH104" t="s">
        <v>74</v>
      </c>
      <c r="BI104">
        <v>10</v>
      </c>
      <c r="BJ104" t="s">
        <v>177</v>
      </c>
      <c r="BK104" t="s">
        <v>101</v>
      </c>
      <c r="BL104" t="s">
        <v>178</v>
      </c>
      <c r="BM104" t="s">
        <v>2333</v>
      </c>
      <c r="BN104">
        <v>27884466</v>
      </c>
      <c r="BO104" t="s">
        <v>506</v>
      </c>
      <c r="BP104" t="s">
        <v>74</v>
      </c>
      <c r="BQ104" t="s">
        <v>74</v>
      </c>
      <c r="BR104" t="s">
        <v>105</v>
      </c>
      <c r="BS104" t="s">
        <v>2334</v>
      </c>
      <c r="BT104" t="str">
        <f>HYPERLINK("https%3A%2F%2Fwww.webofscience.com%2Fwos%2Fwoscc%2Ffull-record%2FWOS:000390732300037","View Full Record in Web of Science")</f>
        <v>View Full Record in Web of Science</v>
      </c>
    </row>
    <row r="105" spans="1:72" x14ac:dyDescent="0.15">
      <c r="A105" t="s">
        <v>72</v>
      </c>
      <c r="B105" t="s">
        <v>2335</v>
      </c>
      <c r="C105" t="s">
        <v>74</v>
      </c>
      <c r="D105" t="s">
        <v>74</v>
      </c>
      <c r="E105" t="s">
        <v>74</v>
      </c>
      <c r="F105" t="s">
        <v>2336</v>
      </c>
      <c r="G105" t="s">
        <v>74</v>
      </c>
      <c r="H105" t="s">
        <v>74</v>
      </c>
      <c r="I105" t="s">
        <v>2337</v>
      </c>
      <c r="J105" t="s">
        <v>2338</v>
      </c>
      <c r="K105" t="s">
        <v>74</v>
      </c>
      <c r="L105" t="s">
        <v>74</v>
      </c>
      <c r="M105" t="s">
        <v>78</v>
      </c>
      <c r="N105" t="s">
        <v>79</v>
      </c>
      <c r="O105" t="s">
        <v>74</v>
      </c>
      <c r="P105" t="s">
        <v>74</v>
      </c>
      <c r="Q105" t="s">
        <v>74</v>
      </c>
      <c r="R105" t="s">
        <v>74</v>
      </c>
      <c r="S105" t="s">
        <v>74</v>
      </c>
      <c r="T105" t="s">
        <v>2339</v>
      </c>
      <c r="U105" t="s">
        <v>2340</v>
      </c>
      <c r="V105" t="s">
        <v>2341</v>
      </c>
      <c r="W105" t="s">
        <v>2342</v>
      </c>
      <c r="X105" t="s">
        <v>2343</v>
      </c>
      <c r="Y105" t="s">
        <v>2344</v>
      </c>
      <c r="Z105" t="s">
        <v>2345</v>
      </c>
      <c r="AA105" t="s">
        <v>2346</v>
      </c>
      <c r="AB105" t="s">
        <v>2347</v>
      </c>
      <c r="AC105" t="s">
        <v>2348</v>
      </c>
      <c r="AD105" t="s">
        <v>2349</v>
      </c>
      <c r="AE105" t="s">
        <v>2350</v>
      </c>
      <c r="AF105" t="s">
        <v>74</v>
      </c>
      <c r="AG105">
        <v>55</v>
      </c>
      <c r="AH105">
        <v>26</v>
      </c>
      <c r="AI105">
        <v>28</v>
      </c>
      <c r="AJ105">
        <v>5</v>
      </c>
      <c r="AK105">
        <v>53</v>
      </c>
      <c r="AL105" t="s">
        <v>2351</v>
      </c>
      <c r="AM105" t="s">
        <v>2352</v>
      </c>
      <c r="AN105" t="s">
        <v>2353</v>
      </c>
      <c r="AO105" t="s">
        <v>2354</v>
      </c>
      <c r="AP105" t="s">
        <v>2355</v>
      </c>
      <c r="AQ105" t="s">
        <v>74</v>
      </c>
      <c r="AR105" t="s">
        <v>2356</v>
      </c>
      <c r="AS105" t="s">
        <v>2357</v>
      </c>
      <c r="AT105" t="s">
        <v>2136</v>
      </c>
      <c r="AU105">
        <v>2017</v>
      </c>
      <c r="AV105">
        <v>24</v>
      </c>
      <c r="AW105">
        <v>3</v>
      </c>
      <c r="AX105" t="s">
        <v>74</v>
      </c>
      <c r="AY105" t="s">
        <v>74</v>
      </c>
      <c r="AZ105" t="s">
        <v>74</v>
      </c>
      <c r="BA105" t="s">
        <v>74</v>
      </c>
      <c r="BB105">
        <v>2724</v>
      </c>
      <c r="BC105">
        <v>2733</v>
      </c>
      <c r="BD105" t="s">
        <v>74</v>
      </c>
      <c r="BE105" t="s">
        <v>2358</v>
      </c>
      <c r="BF105" t="str">
        <f>HYPERLINK("http://dx.doi.org/10.1007/s11356-016-8042-x","http://dx.doi.org/10.1007/s11356-016-8042-x")</f>
        <v>http://dx.doi.org/10.1007/s11356-016-8042-x</v>
      </c>
      <c r="BG105" t="s">
        <v>74</v>
      </c>
      <c r="BH105" t="s">
        <v>74</v>
      </c>
      <c r="BI105">
        <v>10</v>
      </c>
      <c r="BJ105" t="s">
        <v>177</v>
      </c>
      <c r="BK105" t="s">
        <v>101</v>
      </c>
      <c r="BL105" t="s">
        <v>178</v>
      </c>
      <c r="BM105" t="s">
        <v>2359</v>
      </c>
      <c r="BN105">
        <v>27834051</v>
      </c>
      <c r="BO105" t="s">
        <v>378</v>
      </c>
      <c r="BP105" t="s">
        <v>74</v>
      </c>
      <c r="BQ105" t="s">
        <v>74</v>
      </c>
      <c r="BR105" t="s">
        <v>105</v>
      </c>
      <c r="BS105" t="s">
        <v>2360</v>
      </c>
      <c r="BT105" t="str">
        <f>HYPERLINK("https%3A%2F%2Fwww.webofscience.com%2Fwos%2Fwoscc%2Ffull-record%2FWOS:000396138800051","View Full Record in Web of Science")</f>
        <v>View Full Record in Web of Science</v>
      </c>
    </row>
    <row r="106" spans="1:72" x14ac:dyDescent="0.15">
      <c r="A106" t="s">
        <v>72</v>
      </c>
      <c r="B106" t="s">
        <v>2361</v>
      </c>
      <c r="C106" t="s">
        <v>74</v>
      </c>
      <c r="D106" t="s">
        <v>74</v>
      </c>
      <c r="E106" t="s">
        <v>74</v>
      </c>
      <c r="F106" t="s">
        <v>2362</v>
      </c>
      <c r="G106" t="s">
        <v>74</v>
      </c>
      <c r="H106" t="s">
        <v>74</v>
      </c>
      <c r="I106" t="s">
        <v>2363</v>
      </c>
      <c r="J106" t="s">
        <v>2364</v>
      </c>
      <c r="K106" t="s">
        <v>74</v>
      </c>
      <c r="L106" t="s">
        <v>74</v>
      </c>
      <c r="M106" t="s">
        <v>78</v>
      </c>
      <c r="N106" t="s">
        <v>79</v>
      </c>
      <c r="O106" t="s">
        <v>74</v>
      </c>
      <c r="P106" t="s">
        <v>74</v>
      </c>
      <c r="Q106" t="s">
        <v>74</v>
      </c>
      <c r="R106" t="s">
        <v>74</v>
      </c>
      <c r="S106" t="s">
        <v>74</v>
      </c>
      <c r="T106" t="s">
        <v>2365</v>
      </c>
      <c r="U106" t="s">
        <v>2366</v>
      </c>
      <c r="V106" t="s">
        <v>2367</v>
      </c>
      <c r="W106" t="s">
        <v>2368</v>
      </c>
      <c r="X106" t="s">
        <v>2369</v>
      </c>
      <c r="Y106" t="s">
        <v>2370</v>
      </c>
      <c r="Z106" t="s">
        <v>2371</v>
      </c>
      <c r="AA106" t="s">
        <v>2372</v>
      </c>
      <c r="AB106" t="s">
        <v>2373</v>
      </c>
      <c r="AC106" t="s">
        <v>2374</v>
      </c>
      <c r="AD106" t="s">
        <v>2375</v>
      </c>
      <c r="AE106" t="s">
        <v>2376</v>
      </c>
      <c r="AF106" t="s">
        <v>74</v>
      </c>
      <c r="AG106">
        <v>51</v>
      </c>
      <c r="AH106">
        <v>47</v>
      </c>
      <c r="AI106">
        <v>50</v>
      </c>
      <c r="AJ106">
        <v>2</v>
      </c>
      <c r="AK106">
        <v>41</v>
      </c>
      <c r="AL106" t="s">
        <v>2377</v>
      </c>
      <c r="AM106" t="s">
        <v>2378</v>
      </c>
      <c r="AN106" t="s">
        <v>2379</v>
      </c>
      <c r="AO106" t="s">
        <v>2380</v>
      </c>
      <c r="AP106" t="s">
        <v>2381</v>
      </c>
      <c r="AQ106" t="s">
        <v>74</v>
      </c>
      <c r="AR106" t="s">
        <v>2382</v>
      </c>
      <c r="AS106" t="s">
        <v>2383</v>
      </c>
      <c r="AT106" t="s">
        <v>2136</v>
      </c>
      <c r="AU106">
        <v>2017</v>
      </c>
      <c r="AV106">
        <v>284</v>
      </c>
      <c r="AW106">
        <v>1</v>
      </c>
      <c r="AX106" t="s">
        <v>74</v>
      </c>
      <c r="AY106" t="s">
        <v>74</v>
      </c>
      <c r="AZ106" t="s">
        <v>74</v>
      </c>
      <c r="BA106" t="s">
        <v>74</v>
      </c>
      <c r="BB106">
        <v>163</v>
      </c>
      <c r="BC106">
        <v>177</v>
      </c>
      <c r="BD106" t="s">
        <v>74</v>
      </c>
      <c r="BE106" t="s">
        <v>2384</v>
      </c>
      <c r="BF106" t="str">
        <f>HYPERLINK("http://dx.doi.org/10.1111/febs.13965","http://dx.doi.org/10.1111/febs.13965")</f>
        <v>http://dx.doi.org/10.1111/febs.13965</v>
      </c>
      <c r="BG106" t="s">
        <v>74</v>
      </c>
      <c r="BH106" t="s">
        <v>74</v>
      </c>
      <c r="BI106">
        <v>15</v>
      </c>
      <c r="BJ106" t="s">
        <v>1107</v>
      </c>
      <c r="BK106" t="s">
        <v>101</v>
      </c>
      <c r="BL106" t="s">
        <v>1107</v>
      </c>
      <c r="BM106" t="s">
        <v>2385</v>
      </c>
      <c r="BN106">
        <v>27860412</v>
      </c>
      <c r="BO106" t="s">
        <v>672</v>
      </c>
      <c r="BP106" t="s">
        <v>74</v>
      </c>
      <c r="BQ106" t="s">
        <v>74</v>
      </c>
      <c r="BR106" t="s">
        <v>105</v>
      </c>
      <c r="BS106" t="s">
        <v>2386</v>
      </c>
      <c r="BT106" t="str">
        <f>HYPERLINK("https%3A%2F%2Fwww.webofscience.com%2Fwos%2Fwoscc%2Ffull-record%2FWOS:000393601200012","View Full Record in Web of Science")</f>
        <v>View Full Record in Web of Science</v>
      </c>
    </row>
    <row r="107" spans="1:72" x14ac:dyDescent="0.15">
      <c r="A107" t="s">
        <v>72</v>
      </c>
      <c r="B107" t="s">
        <v>2387</v>
      </c>
      <c r="C107" t="s">
        <v>74</v>
      </c>
      <c r="D107" t="s">
        <v>74</v>
      </c>
      <c r="E107" t="s">
        <v>74</v>
      </c>
      <c r="F107" t="s">
        <v>2388</v>
      </c>
      <c r="G107" t="s">
        <v>74</v>
      </c>
      <c r="H107" t="s">
        <v>74</v>
      </c>
      <c r="I107" t="s">
        <v>2389</v>
      </c>
      <c r="J107" t="s">
        <v>2390</v>
      </c>
      <c r="K107" t="s">
        <v>74</v>
      </c>
      <c r="L107" t="s">
        <v>74</v>
      </c>
      <c r="M107" t="s">
        <v>78</v>
      </c>
      <c r="N107" t="s">
        <v>79</v>
      </c>
      <c r="O107" t="s">
        <v>74</v>
      </c>
      <c r="P107" t="s">
        <v>74</v>
      </c>
      <c r="Q107" t="s">
        <v>74</v>
      </c>
      <c r="R107" t="s">
        <v>74</v>
      </c>
      <c r="S107" t="s">
        <v>74</v>
      </c>
      <c r="T107" t="s">
        <v>2391</v>
      </c>
      <c r="U107" t="s">
        <v>2392</v>
      </c>
      <c r="V107" t="s">
        <v>2393</v>
      </c>
      <c r="W107" t="s">
        <v>2394</v>
      </c>
      <c r="X107" t="s">
        <v>2395</v>
      </c>
      <c r="Y107" t="s">
        <v>2396</v>
      </c>
      <c r="Z107" t="s">
        <v>2397</v>
      </c>
      <c r="AA107" t="s">
        <v>2398</v>
      </c>
      <c r="AB107" t="s">
        <v>2399</v>
      </c>
      <c r="AC107" t="s">
        <v>74</v>
      </c>
      <c r="AD107" t="s">
        <v>74</v>
      </c>
      <c r="AE107" t="s">
        <v>74</v>
      </c>
      <c r="AF107" t="s">
        <v>74</v>
      </c>
      <c r="AG107">
        <v>13</v>
      </c>
      <c r="AH107">
        <v>5</v>
      </c>
      <c r="AI107">
        <v>5</v>
      </c>
      <c r="AJ107">
        <v>0</v>
      </c>
      <c r="AK107">
        <v>1</v>
      </c>
      <c r="AL107" t="s">
        <v>2400</v>
      </c>
      <c r="AM107" t="s">
        <v>2401</v>
      </c>
      <c r="AN107" t="s">
        <v>2402</v>
      </c>
      <c r="AO107" t="s">
        <v>2403</v>
      </c>
      <c r="AP107" t="s">
        <v>74</v>
      </c>
      <c r="AQ107" t="s">
        <v>74</v>
      </c>
      <c r="AR107" t="s">
        <v>2390</v>
      </c>
      <c r="AS107" t="s">
        <v>2404</v>
      </c>
      <c r="AT107" t="s">
        <v>74</v>
      </c>
      <c r="AU107">
        <v>2017</v>
      </c>
      <c r="AV107">
        <v>17</v>
      </c>
      <c r="AW107">
        <v>2</v>
      </c>
      <c r="AX107" t="s">
        <v>74</v>
      </c>
      <c r="AY107" t="s">
        <v>74</v>
      </c>
      <c r="AZ107" t="s">
        <v>74</v>
      </c>
      <c r="BA107" t="s">
        <v>74</v>
      </c>
      <c r="BB107">
        <v>264</v>
      </c>
      <c r="BC107">
        <v>268</v>
      </c>
      <c r="BD107" t="s">
        <v>74</v>
      </c>
      <c r="BE107" t="s">
        <v>2405</v>
      </c>
      <c r="BF107" t="str">
        <f>HYPERLINK("http://dx.doi.org/10.5507/fot.2017.003","http://dx.doi.org/10.5507/fot.2017.003")</f>
        <v>http://dx.doi.org/10.5507/fot.2017.003</v>
      </c>
      <c r="BG107" t="s">
        <v>74</v>
      </c>
      <c r="BH107" t="s">
        <v>74</v>
      </c>
      <c r="BI107">
        <v>5</v>
      </c>
      <c r="BJ107" t="s">
        <v>2003</v>
      </c>
      <c r="BK107" t="s">
        <v>101</v>
      </c>
      <c r="BL107" t="s">
        <v>2003</v>
      </c>
      <c r="BM107" t="s">
        <v>2406</v>
      </c>
      <c r="BN107" t="s">
        <v>74</v>
      </c>
      <c r="BO107" t="s">
        <v>725</v>
      </c>
      <c r="BP107" t="s">
        <v>74</v>
      </c>
      <c r="BQ107" t="s">
        <v>74</v>
      </c>
      <c r="BR107" t="s">
        <v>105</v>
      </c>
      <c r="BS107" t="s">
        <v>2407</v>
      </c>
      <c r="BT107" t="str">
        <f>HYPERLINK("https%3A%2F%2Fwww.webofscience.com%2Fwos%2Fwoscc%2Ffull-record%2FWOS:000416485100009","View Full Record in Web of Science")</f>
        <v>View Full Record in Web of Science</v>
      </c>
    </row>
    <row r="108" spans="1:72" x14ac:dyDescent="0.15">
      <c r="A108" t="s">
        <v>72</v>
      </c>
      <c r="B108" t="s">
        <v>2408</v>
      </c>
      <c r="C108" t="s">
        <v>74</v>
      </c>
      <c r="D108" t="s">
        <v>74</v>
      </c>
      <c r="E108" t="s">
        <v>74</v>
      </c>
      <c r="F108" t="s">
        <v>2409</v>
      </c>
      <c r="G108" t="s">
        <v>74</v>
      </c>
      <c r="H108" t="s">
        <v>74</v>
      </c>
      <c r="I108" t="s">
        <v>2410</v>
      </c>
      <c r="J108" t="s">
        <v>2411</v>
      </c>
      <c r="K108" t="s">
        <v>74</v>
      </c>
      <c r="L108" t="s">
        <v>74</v>
      </c>
      <c r="M108" t="s">
        <v>78</v>
      </c>
      <c r="N108" t="s">
        <v>79</v>
      </c>
      <c r="O108" t="s">
        <v>74</v>
      </c>
      <c r="P108" t="s">
        <v>74</v>
      </c>
      <c r="Q108" t="s">
        <v>74</v>
      </c>
      <c r="R108" t="s">
        <v>74</v>
      </c>
      <c r="S108" t="s">
        <v>74</v>
      </c>
      <c r="T108" t="s">
        <v>2412</v>
      </c>
      <c r="U108" t="s">
        <v>2413</v>
      </c>
      <c r="V108" t="s">
        <v>2414</v>
      </c>
      <c r="W108" t="s">
        <v>2415</v>
      </c>
      <c r="X108" t="s">
        <v>2416</v>
      </c>
      <c r="Y108" t="s">
        <v>2417</v>
      </c>
      <c r="Z108" t="s">
        <v>2418</v>
      </c>
      <c r="AA108" t="s">
        <v>2419</v>
      </c>
      <c r="AB108" t="s">
        <v>2420</v>
      </c>
      <c r="AC108" t="s">
        <v>2421</v>
      </c>
      <c r="AD108" t="s">
        <v>2422</v>
      </c>
      <c r="AE108" t="s">
        <v>2423</v>
      </c>
      <c r="AF108" t="s">
        <v>74</v>
      </c>
      <c r="AG108">
        <v>82</v>
      </c>
      <c r="AH108">
        <v>79</v>
      </c>
      <c r="AI108">
        <v>88</v>
      </c>
      <c r="AJ108">
        <v>6</v>
      </c>
      <c r="AK108">
        <v>50</v>
      </c>
      <c r="AL108" t="s">
        <v>264</v>
      </c>
      <c r="AM108" t="s">
        <v>169</v>
      </c>
      <c r="AN108" t="s">
        <v>265</v>
      </c>
      <c r="AO108" t="s">
        <v>2424</v>
      </c>
      <c r="AP108" t="s">
        <v>2425</v>
      </c>
      <c r="AQ108" t="s">
        <v>74</v>
      </c>
      <c r="AR108" t="s">
        <v>2426</v>
      </c>
      <c r="AS108" t="s">
        <v>2427</v>
      </c>
      <c r="AT108" t="s">
        <v>2136</v>
      </c>
      <c r="AU108">
        <v>2017</v>
      </c>
      <c r="AV108">
        <v>41</v>
      </c>
      <c r="AW108" t="s">
        <v>74</v>
      </c>
      <c r="AX108" t="s">
        <v>74</v>
      </c>
      <c r="AY108" t="s">
        <v>74</v>
      </c>
      <c r="AZ108" t="s">
        <v>74</v>
      </c>
      <c r="BA108" t="s">
        <v>74</v>
      </c>
      <c r="BB108">
        <v>325</v>
      </c>
      <c r="BC108">
        <v>336</v>
      </c>
      <c r="BD108" t="s">
        <v>74</v>
      </c>
      <c r="BE108" t="s">
        <v>2428</v>
      </c>
      <c r="BF108" t="str">
        <f>HYPERLINK("http://dx.doi.org/10.1016/j.gr.2015.03.005","http://dx.doi.org/10.1016/j.gr.2015.03.005")</f>
        <v>http://dx.doi.org/10.1016/j.gr.2015.03.005</v>
      </c>
      <c r="BG108" t="s">
        <v>74</v>
      </c>
      <c r="BH108" t="s">
        <v>74</v>
      </c>
      <c r="BI108">
        <v>12</v>
      </c>
      <c r="BJ108" t="s">
        <v>669</v>
      </c>
      <c r="BK108" t="s">
        <v>101</v>
      </c>
      <c r="BL108" t="s">
        <v>670</v>
      </c>
      <c r="BM108" t="s">
        <v>2429</v>
      </c>
      <c r="BN108" t="s">
        <v>74</v>
      </c>
      <c r="BO108" t="s">
        <v>74</v>
      </c>
      <c r="BP108" t="s">
        <v>74</v>
      </c>
      <c r="BQ108" t="s">
        <v>74</v>
      </c>
      <c r="BR108" t="s">
        <v>105</v>
      </c>
      <c r="BS108" t="s">
        <v>2430</v>
      </c>
      <c r="BT108" t="str">
        <f>HYPERLINK("https%3A%2F%2Fwww.webofscience.com%2Fwos%2Fwoscc%2Ffull-record%2FWOS:000397873300021","View Full Record in Web of Science")</f>
        <v>View Full Record in Web of Science</v>
      </c>
    </row>
    <row r="109" spans="1:72" x14ac:dyDescent="0.15">
      <c r="A109" t="s">
        <v>72</v>
      </c>
      <c r="B109" t="s">
        <v>2431</v>
      </c>
      <c r="C109" t="s">
        <v>74</v>
      </c>
      <c r="D109" t="s">
        <v>74</v>
      </c>
      <c r="E109" t="s">
        <v>74</v>
      </c>
      <c r="F109" t="s">
        <v>2432</v>
      </c>
      <c r="G109" t="s">
        <v>74</v>
      </c>
      <c r="H109" t="s">
        <v>74</v>
      </c>
      <c r="I109" t="s">
        <v>2433</v>
      </c>
      <c r="J109" t="s">
        <v>2434</v>
      </c>
      <c r="K109" t="s">
        <v>74</v>
      </c>
      <c r="L109" t="s">
        <v>74</v>
      </c>
      <c r="M109" t="s">
        <v>78</v>
      </c>
      <c r="N109" t="s">
        <v>79</v>
      </c>
      <c r="O109" t="s">
        <v>74</v>
      </c>
      <c r="P109" t="s">
        <v>74</v>
      </c>
      <c r="Q109" t="s">
        <v>74</v>
      </c>
      <c r="R109" t="s">
        <v>74</v>
      </c>
      <c r="S109" t="s">
        <v>74</v>
      </c>
      <c r="T109" t="s">
        <v>2435</v>
      </c>
      <c r="U109" t="s">
        <v>2436</v>
      </c>
      <c r="V109" t="s">
        <v>2437</v>
      </c>
      <c r="W109" t="s">
        <v>2438</v>
      </c>
      <c r="X109" t="s">
        <v>2439</v>
      </c>
      <c r="Y109" t="s">
        <v>2440</v>
      </c>
      <c r="Z109" t="s">
        <v>2441</v>
      </c>
      <c r="AA109" t="s">
        <v>2442</v>
      </c>
      <c r="AB109" t="s">
        <v>2443</v>
      </c>
      <c r="AC109" t="s">
        <v>2444</v>
      </c>
      <c r="AD109" t="s">
        <v>2445</v>
      </c>
      <c r="AE109" t="s">
        <v>2446</v>
      </c>
      <c r="AF109" t="s">
        <v>74</v>
      </c>
      <c r="AG109">
        <v>73</v>
      </c>
      <c r="AH109">
        <v>3</v>
      </c>
      <c r="AI109">
        <v>3</v>
      </c>
      <c r="AJ109">
        <v>0</v>
      </c>
      <c r="AK109">
        <v>10</v>
      </c>
      <c r="AL109" t="s">
        <v>2447</v>
      </c>
      <c r="AM109" t="s">
        <v>2448</v>
      </c>
      <c r="AN109" t="s">
        <v>2449</v>
      </c>
      <c r="AO109" t="s">
        <v>2450</v>
      </c>
      <c r="AP109" t="s">
        <v>2451</v>
      </c>
      <c r="AQ109" t="s">
        <v>74</v>
      </c>
      <c r="AR109" t="s">
        <v>2434</v>
      </c>
      <c r="AS109" t="s">
        <v>2452</v>
      </c>
      <c r="AT109" t="s">
        <v>74</v>
      </c>
      <c r="AU109">
        <v>2017</v>
      </c>
      <c r="AV109">
        <v>56</v>
      </c>
      <c r="AW109">
        <v>2</v>
      </c>
      <c r="AX109" t="s">
        <v>74</v>
      </c>
      <c r="AY109" t="s">
        <v>74</v>
      </c>
      <c r="AZ109" t="s">
        <v>74</v>
      </c>
      <c r="BA109" t="s">
        <v>74</v>
      </c>
      <c r="BB109">
        <v>112</v>
      </c>
      <c r="BC109">
        <v>123</v>
      </c>
      <c r="BD109" t="s">
        <v>74</v>
      </c>
      <c r="BE109" t="s">
        <v>2453</v>
      </c>
      <c r="BF109" t="str">
        <f>HYPERLINK("http://dx.doi.org/10.1080/00173134.2016.1144784","http://dx.doi.org/10.1080/00173134.2016.1144784")</f>
        <v>http://dx.doi.org/10.1080/00173134.2016.1144784</v>
      </c>
      <c r="BG109" t="s">
        <v>74</v>
      </c>
      <c r="BH109" t="s">
        <v>74</v>
      </c>
      <c r="BI109">
        <v>12</v>
      </c>
      <c r="BJ109" t="s">
        <v>2003</v>
      </c>
      <c r="BK109" t="s">
        <v>101</v>
      </c>
      <c r="BL109" t="s">
        <v>2003</v>
      </c>
      <c r="BM109" t="s">
        <v>2454</v>
      </c>
      <c r="BN109" t="s">
        <v>74</v>
      </c>
      <c r="BO109" t="s">
        <v>74</v>
      </c>
      <c r="BP109" t="s">
        <v>74</v>
      </c>
      <c r="BQ109" t="s">
        <v>74</v>
      </c>
      <c r="BR109" t="s">
        <v>105</v>
      </c>
      <c r="BS109" t="s">
        <v>2455</v>
      </c>
      <c r="BT109" t="str">
        <f>HYPERLINK("https%3A%2F%2Fwww.webofscience.com%2Fwos%2Fwoscc%2Ffull-record%2FWOS:000394651300002","View Full Record in Web of Science")</f>
        <v>View Full Record in Web of Science</v>
      </c>
    </row>
    <row r="110" spans="1:72" x14ac:dyDescent="0.15">
      <c r="A110" t="s">
        <v>72</v>
      </c>
      <c r="B110" t="s">
        <v>2456</v>
      </c>
      <c r="C110" t="s">
        <v>74</v>
      </c>
      <c r="D110" t="s">
        <v>74</v>
      </c>
      <c r="E110" t="s">
        <v>74</v>
      </c>
      <c r="F110" t="s">
        <v>2457</v>
      </c>
      <c r="G110" t="s">
        <v>74</v>
      </c>
      <c r="H110" t="s">
        <v>74</v>
      </c>
      <c r="I110" t="s">
        <v>2458</v>
      </c>
      <c r="J110" t="s">
        <v>2459</v>
      </c>
      <c r="K110" t="s">
        <v>74</v>
      </c>
      <c r="L110" t="s">
        <v>74</v>
      </c>
      <c r="M110" t="s">
        <v>78</v>
      </c>
      <c r="N110" t="s">
        <v>79</v>
      </c>
      <c r="O110" t="s">
        <v>74</v>
      </c>
      <c r="P110" t="s">
        <v>74</v>
      </c>
      <c r="Q110" t="s">
        <v>74</v>
      </c>
      <c r="R110" t="s">
        <v>74</v>
      </c>
      <c r="S110" t="s">
        <v>74</v>
      </c>
      <c r="T110" t="s">
        <v>2460</v>
      </c>
      <c r="U110" t="s">
        <v>2461</v>
      </c>
      <c r="V110" t="s">
        <v>2462</v>
      </c>
      <c r="W110" t="s">
        <v>2463</v>
      </c>
      <c r="X110" t="s">
        <v>2464</v>
      </c>
      <c r="Y110" t="s">
        <v>2465</v>
      </c>
      <c r="Z110" t="s">
        <v>2466</v>
      </c>
      <c r="AA110" t="s">
        <v>1325</v>
      </c>
      <c r="AB110" t="s">
        <v>2467</v>
      </c>
      <c r="AC110" t="s">
        <v>2468</v>
      </c>
      <c r="AD110" t="s">
        <v>2468</v>
      </c>
      <c r="AE110" t="s">
        <v>2469</v>
      </c>
      <c r="AF110" t="s">
        <v>74</v>
      </c>
      <c r="AG110">
        <v>33</v>
      </c>
      <c r="AH110">
        <v>26</v>
      </c>
      <c r="AI110">
        <v>27</v>
      </c>
      <c r="AJ110">
        <v>4</v>
      </c>
      <c r="AK110">
        <v>25</v>
      </c>
      <c r="AL110" t="s">
        <v>168</v>
      </c>
      <c r="AM110" t="s">
        <v>169</v>
      </c>
      <c r="AN110" t="s">
        <v>170</v>
      </c>
      <c r="AO110" t="s">
        <v>2470</v>
      </c>
      <c r="AP110" t="s">
        <v>2471</v>
      </c>
      <c r="AQ110" t="s">
        <v>74</v>
      </c>
      <c r="AR110" t="s">
        <v>2459</v>
      </c>
      <c r="AS110" t="s">
        <v>2472</v>
      </c>
      <c r="AT110" t="s">
        <v>2136</v>
      </c>
      <c r="AU110">
        <v>2017</v>
      </c>
      <c r="AV110">
        <v>61</v>
      </c>
      <c r="AW110" t="s">
        <v>74</v>
      </c>
      <c r="AX110" t="s">
        <v>74</v>
      </c>
      <c r="AY110" t="s">
        <v>74</v>
      </c>
      <c r="AZ110" t="s">
        <v>74</v>
      </c>
      <c r="BA110" t="s">
        <v>74</v>
      </c>
      <c r="BB110">
        <v>80</v>
      </c>
      <c r="BC110">
        <v>86</v>
      </c>
      <c r="BD110" t="s">
        <v>74</v>
      </c>
      <c r="BE110" t="s">
        <v>2473</v>
      </c>
      <c r="BF110" t="str">
        <f>HYPERLINK("http://dx.doi.org/10.1016/j.hal.2016.11.019","http://dx.doi.org/10.1016/j.hal.2016.11.019")</f>
        <v>http://dx.doi.org/10.1016/j.hal.2016.11.019</v>
      </c>
      <c r="BG110" t="s">
        <v>74</v>
      </c>
      <c r="BH110" t="s">
        <v>74</v>
      </c>
      <c r="BI110">
        <v>7</v>
      </c>
      <c r="BJ110" t="s">
        <v>2474</v>
      </c>
      <c r="BK110" t="s">
        <v>101</v>
      </c>
      <c r="BL110" t="s">
        <v>2474</v>
      </c>
      <c r="BM110" t="s">
        <v>2475</v>
      </c>
      <c r="BN110" t="s">
        <v>74</v>
      </c>
      <c r="BO110" t="s">
        <v>74</v>
      </c>
      <c r="BP110" t="s">
        <v>74</v>
      </c>
      <c r="BQ110" t="s">
        <v>74</v>
      </c>
      <c r="BR110" t="s">
        <v>105</v>
      </c>
      <c r="BS110" t="s">
        <v>2476</v>
      </c>
      <c r="BT110" t="str">
        <f>HYPERLINK("https%3A%2F%2Fwww.webofscience.com%2Fwos%2Fwoscc%2Ffull-record%2FWOS:000392890000009","View Full Record in Web of Science")</f>
        <v>View Full Record in Web of Science</v>
      </c>
    </row>
    <row r="111" spans="1:72" x14ac:dyDescent="0.15">
      <c r="A111" t="s">
        <v>72</v>
      </c>
      <c r="B111" t="s">
        <v>2477</v>
      </c>
      <c r="C111" t="s">
        <v>74</v>
      </c>
      <c r="D111" t="s">
        <v>74</v>
      </c>
      <c r="E111" t="s">
        <v>74</v>
      </c>
      <c r="F111" t="s">
        <v>2478</v>
      </c>
      <c r="G111" t="s">
        <v>74</v>
      </c>
      <c r="H111" t="s">
        <v>74</v>
      </c>
      <c r="I111" t="s">
        <v>2479</v>
      </c>
      <c r="J111" t="s">
        <v>2480</v>
      </c>
      <c r="K111" t="s">
        <v>74</v>
      </c>
      <c r="L111" t="s">
        <v>74</v>
      </c>
      <c r="M111" t="s">
        <v>78</v>
      </c>
      <c r="N111" t="s">
        <v>79</v>
      </c>
      <c r="O111" t="s">
        <v>74</v>
      </c>
      <c r="P111" t="s">
        <v>74</v>
      </c>
      <c r="Q111" t="s">
        <v>74</v>
      </c>
      <c r="R111" t="s">
        <v>74</v>
      </c>
      <c r="S111" t="s">
        <v>74</v>
      </c>
      <c r="T111" t="s">
        <v>2481</v>
      </c>
      <c r="U111" t="s">
        <v>2482</v>
      </c>
      <c r="V111" t="s">
        <v>2483</v>
      </c>
      <c r="W111" t="s">
        <v>2484</v>
      </c>
      <c r="X111" t="s">
        <v>2485</v>
      </c>
      <c r="Y111" t="s">
        <v>2486</v>
      </c>
      <c r="Z111" t="s">
        <v>2487</v>
      </c>
      <c r="AA111" t="s">
        <v>2488</v>
      </c>
      <c r="AB111" t="s">
        <v>2489</v>
      </c>
      <c r="AC111" t="s">
        <v>2490</v>
      </c>
      <c r="AD111" t="s">
        <v>2491</v>
      </c>
      <c r="AE111" t="s">
        <v>2492</v>
      </c>
      <c r="AF111" t="s">
        <v>74</v>
      </c>
      <c r="AG111">
        <v>83</v>
      </c>
      <c r="AH111">
        <v>14</v>
      </c>
      <c r="AI111">
        <v>16</v>
      </c>
      <c r="AJ111">
        <v>0</v>
      </c>
      <c r="AK111">
        <v>6</v>
      </c>
      <c r="AL111" t="s">
        <v>1967</v>
      </c>
      <c r="AM111" t="s">
        <v>1910</v>
      </c>
      <c r="AN111" t="s">
        <v>1968</v>
      </c>
      <c r="AO111" t="s">
        <v>2493</v>
      </c>
      <c r="AP111" t="s">
        <v>2494</v>
      </c>
      <c r="AQ111" t="s">
        <v>74</v>
      </c>
      <c r="AR111" t="s">
        <v>2495</v>
      </c>
      <c r="AS111" t="s">
        <v>2496</v>
      </c>
      <c r="AT111" t="s">
        <v>74</v>
      </c>
      <c r="AU111">
        <v>2017</v>
      </c>
      <c r="AV111">
        <v>29</v>
      </c>
      <c r="AW111">
        <v>6</v>
      </c>
      <c r="AX111" t="s">
        <v>74</v>
      </c>
      <c r="AY111" t="s">
        <v>74</v>
      </c>
      <c r="AZ111" t="s">
        <v>74</v>
      </c>
      <c r="BA111" t="s">
        <v>74</v>
      </c>
      <c r="BB111">
        <v>841</v>
      </c>
      <c r="BC111">
        <v>853</v>
      </c>
      <c r="BD111" t="s">
        <v>74</v>
      </c>
      <c r="BE111" t="s">
        <v>2497</v>
      </c>
      <c r="BF111" t="str">
        <f>HYPERLINK("http://dx.doi.org/10.1080/08912963.2016.1252761","http://dx.doi.org/10.1080/08912963.2016.1252761")</f>
        <v>http://dx.doi.org/10.1080/08912963.2016.1252761</v>
      </c>
      <c r="BG111" t="s">
        <v>74</v>
      </c>
      <c r="BH111" t="s">
        <v>74</v>
      </c>
      <c r="BI111">
        <v>13</v>
      </c>
      <c r="BJ111" t="s">
        <v>2498</v>
      </c>
      <c r="BK111" t="s">
        <v>101</v>
      </c>
      <c r="BL111" t="s">
        <v>2499</v>
      </c>
      <c r="BM111" t="s">
        <v>2500</v>
      </c>
      <c r="BN111">
        <v>28579693</v>
      </c>
      <c r="BO111" t="s">
        <v>488</v>
      </c>
      <c r="BP111" t="s">
        <v>74</v>
      </c>
      <c r="BQ111" t="s">
        <v>74</v>
      </c>
      <c r="BR111" t="s">
        <v>105</v>
      </c>
      <c r="BS111" t="s">
        <v>2501</v>
      </c>
      <c r="BT111" t="str">
        <f>HYPERLINK("https%3A%2F%2Fwww.webofscience.com%2Fwos%2Fwoscc%2Ffull-record%2FWOS:000403096800011","View Full Record in Web of Science")</f>
        <v>View Full Record in Web of Science</v>
      </c>
    </row>
    <row r="112" spans="1:72" x14ac:dyDescent="0.15">
      <c r="A112" t="s">
        <v>72</v>
      </c>
      <c r="B112" t="s">
        <v>2502</v>
      </c>
      <c r="C112" t="s">
        <v>74</v>
      </c>
      <c r="D112" t="s">
        <v>74</v>
      </c>
      <c r="E112" t="s">
        <v>74</v>
      </c>
      <c r="F112" t="s">
        <v>2503</v>
      </c>
      <c r="G112" t="s">
        <v>74</v>
      </c>
      <c r="H112" t="s">
        <v>74</v>
      </c>
      <c r="I112" t="s">
        <v>2504</v>
      </c>
      <c r="J112" t="s">
        <v>2505</v>
      </c>
      <c r="K112" t="s">
        <v>74</v>
      </c>
      <c r="L112" t="s">
        <v>74</v>
      </c>
      <c r="M112" t="s">
        <v>78</v>
      </c>
      <c r="N112" t="s">
        <v>79</v>
      </c>
      <c r="O112" t="s">
        <v>74</v>
      </c>
      <c r="P112" t="s">
        <v>74</v>
      </c>
      <c r="Q112" t="s">
        <v>74</v>
      </c>
      <c r="R112" t="s">
        <v>74</v>
      </c>
      <c r="S112" t="s">
        <v>74</v>
      </c>
      <c r="T112" t="s">
        <v>2506</v>
      </c>
      <c r="U112" t="s">
        <v>2507</v>
      </c>
      <c r="V112" t="s">
        <v>2508</v>
      </c>
      <c r="W112" t="s">
        <v>2509</v>
      </c>
      <c r="X112" t="s">
        <v>2510</v>
      </c>
      <c r="Y112" t="s">
        <v>2511</v>
      </c>
      <c r="Z112" t="s">
        <v>2512</v>
      </c>
      <c r="AA112" t="s">
        <v>2513</v>
      </c>
      <c r="AB112" t="s">
        <v>2514</v>
      </c>
      <c r="AC112" t="s">
        <v>2515</v>
      </c>
      <c r="AD112" t="s">
        <v>2516</v>
      </c>
      <c r="AE112" t="s">
        <v>2517</v>
      </c>
      <c r="AF112" t="s">
        <v>74</v>
      </c>
      <c r="AG112">
        <v>33</v>
      </c>
      <c r="AH112">
        <v>13</v>
      </c>
      <c r="AI112">
        <v>14</v>
      </c>
      <c r="AJ112">
        <v>4</v>
      </c>
      <c r="AK112">
        <v>33</v>
      </c>
      <c r="AL112" t="s">
        <v>2325</v>
      </c>
      <c r="AM112" t="s">
        <v>292</v>
      </c>
      <c r="AN112" t="s">
        <v>2326</v>
      </c>
      <c r="AO112" t="s">
        <v>2518</v>
      </c>
      <c r="AP112" t="s">
        <v>2519</v>
      </c>
      <c r="AQ112" t="s">
        <v>74</v>
      </c>
      <c r="AR112" t="s">
        <v>2520</v>
      </c>
      <c r="AS112" t="s">
        <v>2521</v>
      </c>
      <c r="AT112" t="s">
        <v>2136</v>
      </c>
      <c r="AU112">
        <v>2017</v>
      </c>
      <c r="AV112">
        <v>116</v>
      </c>
      <c r="AW112" t="s">
        <v>74</v>
      </c>
      <c r="AX112" t="s">
        <v>74</v>
      </c>
      <c r="AY112" t="s">
        <v>74</v>
      </c>
      <c r="AZ112" t="s">
        <v>74</v>
      </c>
      <c r="BA112" t="s">
        <v>74</v>
      </c>
      <c r="BB112">
        <v>26</v>
      </c>
      <c r="BC112">
        <v>37</v>
      </c>
      <c r="BD112" t="s">
        <v>74</v>
      </c>
      <c r="BE112" t="s">
        <v>2522</v>
      </c>
      <c r="BF112" t="str">
        <f>HYPERLINK("http://dx.doi.org/10.1016/j.ibiod.2016.09.025","http://dx.doi.org/10.1016/j.ibiod.2016.09.025")</f>
        <v>http://dx.doi.org/10.1016/j.ibiod.2016.09.025</v>
      </c>
      <c r="BG112" t="s">
        <v>74</v>
      </c>
      <c r="BH112" t="s">
        <v>74</v>
      </c>
      <c r="BI112">
        <v>12</v>
      </c>
      <c r="BJ112" t="s">
        <v>2523</v>
      </c>
      <c r="BK112" t="s">
        <v>101</v>
      </c>
      <c r="BL112" t="s">
        <v>2524</v>
      </c>
      <c r="BM112" t="s">
        <v>2525</v>
      </c>
      <c r="BN112" t="s">
        <v>74</v>
      </c>
      <c r="BO112" t="s">
        <v>74</v>
      </c>
      <c r="BP112" t="s">
        <v>74</v>
      </c>
      <c r="BQ112" t="s">
        <v>74</v>
      </c>
      <c r="BR112" t="s">
        <v>105</v>
      </c>
      <c r="BS112" t="s">
        <v>2526</v>
      </c>
      <c r="BT112" t="str">
        <f>HYPERLINK("https%3A%2F%2Fwww.webofscience.com%2Fwos%2Fwoscc%2Ffull-record%2FWOS:000390498700004","View Full Record in Web of Science")</f>
        <v>View Full Record in Web of Science</v>
      </c>
    </row>
    <row r="113" spans="1:72" x14ac:dyDescent="0.15">
      <c r="A113" t="s">
        <v>72</v>
      </c>
      <c r="B113" t="s">
        <v>2527</v>
      </c>
      <c r="C113" t="s">
        <v>74</v>
      </c>
      <c r="D113" t="s">
        <v>74</v>
      </c>
      <c r="E113" t="s">
        <v>74</v>
      </c>
      <c r="F113" t="s">
        <v>2528</v>
      </c>
      <c r="G113" t="s">
        <v>74</v>
      </c>
      <c r="H113" t="s">
        <v>74</v>
      </c>
      <c r="I113" t="s">
        <v>2529</v>
      </c>
      <c r="J113" t="s">
        <v>2530</v>
      </c>
      <c r="K113" t="s">
        <v>74</v>
      </c>
      <c r="L113" t="s">
        <v>74</v>
      </c>
      <c r="M113" t="s">
        <v>78</v>
      </c>
      <c r="N113" t="s">
        <v>79</v>
      </c>
      <c r="O113" t="s">
        <v>74</v>
      </c>
      <c r="P113" t="s">
        <v>74</v>
      </c>
      <c r="Q113" t="s">
        <v>74</v>
      </c>
      <c r="R113" t="s">
        <v>74</v>
      </c>
      <c r="S113" t="s">
        <v>74</v>
      </c>
      <c r="T113" t="s">
        <v>74</v>
      </c>
      <c r="U113" t="s">
        <v>2531</v>
      </c>
      <c r="V113" t="s">
        <v>2532</v>
      </c>
      <c r="W113" t="s">
        <v>2533</v>
      </c>
      <c r="X113" t="s">
        <v>2534</v>
      </c>
      <c r="Y113" t="s">
        <v>2535</v>
      </c>
      <c r="Z113" t="s">
        <v>2536</v>
      </c>
      <c r="AA113" t="s">
        <v>2537</v>
      </c>
      <c r="AB113" t="s">
        <v>2538</v>
      </c>
      <c r="AC113" t="s">
        <v>2539</v>
      </c>
      <c r="AD113" t="s">
        <v>2540</v>
      </c>
      <c r="AE113" t="s">
        <v>2541</v>
      </c>
      <c r="AF113" t="s">
        <v>74</v>
      </c>
      <c r="AG113">
        <v>70</v>
      </c>
      <c r="AH113">
        <v>14</v>
      </c>
      <c r="AI113">
        <v>16</v>
      </c>
      <c r="AJ113">
        <v>0</v>
      </c>
      <c r="AK113">
        <v>9</v>
      </c>
      <c r="AL113" t="s">
        <v>1967</v>
      </c>
      <c r="AM113" t="s">
        <v>1910</v>
      </c>
      <c r="AN113" t="s">
        <v>1968</v>
      </c>
      <c r="AO113" t="s">
        <v>2542</v>
      </c>
      <c r="AP113" t="s">
        <v>2543</v>
      </c>
      <c r="AQ113" t="s">
        <v>74</v>
      </c>
      <c r="AR113" t="s">
        <v>2544</v>
      </c>
      <c r="AS113" t="s">
        <v>2545</v>
      </c>
      <c r="AT113" t="s">
        <v>74</v>
      </c>
      <c r="AU113">
        <v>2017</v>
      </c>
      <c r="AV113">
        <v>38</v>
      </c>
      <c r="AW113">
        <v>22</v>
      </c>
      <c r="AX113" t="s">
        <v>74</v>
      </c>
      <c r="AY113" t="s">
        <v>74</v>
      </c>
      <c r="AZ113" t="s">
        <v>74</v>
      </c>
      <c r="BA113" t="s">
        <v>74</v>
      </c>
      <c r="BB113">
        <v>6179</v>
      </c>
      <c r="BC113">
        <v>6205</v>
      </c>
      <c r="BD113" t="s">
        <v>74</v>
      </c>
      <c r="BE113" t="s">
        <v>2546</v>
      </c>
      <c r="BF113" t="str">
        <f>HYPERLINK("http://dx.doi.org/10.1080/01431161.2017.1350304","http://dx.doi.org/10.1080/01431161.2017.1350304")</f>
        <v>http://dx.doi.org/10.1080/01431161.2017.1350304</v>
      </c>
      <c r="BG113" t="s">
        <v>74</v>
      </c>
      <c r="BH113" t="s">
        <v>74</v>
      </c>
      <c r="BI113">
        <v>27</v>
      </c>
      <c r="BJ113" t="s">
        <v>2547</v>
      </c>
      <c r="BK113" t="s">
        <v>101</v>
      </c>
      <c r="BL113" t="s">
        <v>2547</v>
      </c>
      <c r="BM113" t="s">
        <v>2548</v>
      </c>
      <c r="BN113" t="s">
        <v>74</v>
      </c>
      <c r="BO113" t="s">
        <v>74</v>
      </c>
      <c r="BP113" t="s">
        <v>74</v>
      </c>
      <c r="BQ113" t="s">
        <v>74</v>
      </c>
      <c r="BR113" t="s">
        <v>105</v>
      </c>
      <c r="BS113" t="s">
        <v>2549</v>
      </c>
      <c r="BT113" t="str">
        <f>HYPERLINK("https%3A%2F%2Fwww.webofscience.com%2Fwos%2Fwoscc%2Ffull-record%2FWOS:000406546100003","View Full Record in Web of Science")</f>
        <v>View Full Record in Web of Science</v>
      </c>
    </row>
    <row r="114" spans="1:72" x14ac:dyDescent="0.15">
      <c r="A114" t="s">
        <v>72</v>
      </c>
      <c r="B114" t="s">
        <v>2550</v>
      </c>
      <c r="C114" t="s">
        <v>74</v>
      </c>
      <c r="D114" t="s">
        <v>74</v>
      </c>
      <c r="E114" t="s">
        <v>74</v>
      </c>
      <c r="F114" t="s">
        <v>2551</v>
      </c>
      <c r="G114" t="s">
        <v>74</v>
      </c>
      <c r="H114" t="s">
        <v>74</v>
      </c>
      <c r="I114" t="s">
        <v>2552</v>
      </c>
      <c r="J114" t="s">
        <v>2530</v>
      </c>
      <c r="K114" t="s">
        <v>74</v>
      </c>
      <c r="L114" t="s">
        <v>74</v>
      </c>
      <c r="M114" t="s">
        <v>78</v>
      </c>
      <c r="N114" t="s">
        <v>79</v>
      </c>
      <c r="O114" t="s">
        <v>74</v>
      </c>
      <c r="P114" t="s">
        <v>74</v>
      </c>
      <c r="Q114" t="s">
        <v>74</v>
      </c>
      <c r="R114" t="s">
        <v>74</v>
      </c>
      <c r="S114" t="s">
        <v>74</v>
      </c>
      <c r="T114" t="s">
        <v>74</v>
      </c>
      <c r="U114" t="s">
        <v>2553</v>
      </c>
      <c r="V114" t="s">
        <v>2554</v>
      </c>
      <c r="W114" t="s">
        <v>2555</v>
      </c>
      <c r="X114" t="s">
        <v>2556</v>
      </c>
      <c r="Y114" t="s">
        <v>2557</v>
      </c>
      <c r="Z114" t="s">
        <v>2558</v>
      </c>
      <c r="AA114" t="s">
        <v>2559</v>
      </c>
      <c r="AB114" t="s">
        <v>2560</v>
      </c>
      <c r="AC114" t="s">
        <v>2561</v>
      </c>
      <c r="AD114" t="s">
        <v>2562</v>
      </c>
      <c r="AE114" t="s">
        <v>2563</v>
      </c>
      <c r="AF114" t="s">
        <v>74</v>
      </c>
      <c r="AG114">
        <v>41</v>
      </c>
      <c r="AH114">
        <v>10</v>
      </c>
      <c r="AI114">
        <v>10</v>
      </c>
      <c r="AJ114">
        <v>1</v>
      </c>
      <c r="AK114">
        <v>12</v>
      </c>
      <c r="AL114" t="s">
        <v>1967</v>
      </c>
      <c r="AM114" t="s">
        <v>1910</v>
      </c>
      <c r="AN114" t="s">
        <v>1968</v>
      </c>
      <c r="AO114" t="s">
        <v>2542</v>
      </c>
      <c r="AP114" t="s">
        <v>2543</v>
      </c>
      <c r="AQ114" t="s">
        <v>74</v>
      </c>
      <c r="AR114" t="s">
        <v>2544</v>
      </c>
      <c r="AS114" t="s">
        <v>2545</v>
      </c>
      <c r="AT114" t="s">
        <v>74</v>
      </c>
      <c r="AU114">
        <v>2017</v>
      </c>
      <c r="AV114">
        <v>38</v>
      </c>
      <c r="AW114">
        <v>24</v>
      </c>
      <c r="AX114" t="s">
        <v>74</v>
      </c>
      <c r="AY114" t="s">
        <v>74</v>
      </c>
      <c r="AZ114" t="s">
        <v>74</v>
      </c>
      <c r="BA114" t="s">
        <v>74</v>
      </c>
      <c r="BB114">
        <v>7551</v>
      </c>
      <c r="BC114">
        <v>7565</v>
      </c>
      <c r="BD114" t="s">
        <v>74</v>
      </c>
      <c r="BE114" t="s">
        <v>2564</v>
      </c>
      <c r="BF114" t="str">
        <f>HYPERLINK("http://dx.doi.org/10.1080/01431161.2017.1288306","http://dx.doi.org/10.1080/01431161.2017.1288306")</f>
        <v>http://dx.doi.org/10.1080/01431161.2017.1288306</v>
      </c>
      <c r="BG114" t="s">
        <v>74</v>
      </c>
      <c r="BH114" t="s">
        <v>74</v>
      </c>
      <c r="BI114">
        <v>15</v>
      </c>
      <c r="BJ114" t="s">
        <v>2547</v>
      </c>
      <c r="BK114" t="s">
        <v>101</v>
      </c>
      <c r="BL114" t="s">
        <v>2547</v>
      </c>
      <c r="BM114" t="s">
        <v>2565</v>
      </c>
      <c r="BN114" t="s">
        <v>74</v>
      </c>
      <c r="BO114" t="s">
        <v>74</v>
      </c>
      <c r="BP114" t="s">
        <v>74</v>
      </c>
      <c r="BQ114" t="s">
        <v>74</v>
      </c>
      <c r="BR114" t="s">
        <v>105</v>
      </c>
      <c r="BS114" t="s">
        <v>2566</v>
      </c>
      <c r="BT114" t="str">
        <f>HYPERLINK("https%3A%2F%2Fwww.webofscience.com%2Fwos%2Fwoscc%2Ffull-record%2FWOS:000412547100006","View Full Record in Web of Science")</f>
        <v>View Full Record in Web of Science</v>
      </c>
    </row>
    <row r="115" spans="1:72" x14ac:dyDescent="0.15">
      <c r="A115" t="s">
        <v>1921</v>
      </c>
      <c r="B115" t="s">
        <v>2567</v>
      </c>
      <c r="C115" t="s">
        <v>74</v>
      </c>
      <c r="D115" t="s">
        <v>2568</v>
      </c>
      <c r="E115" t="s">
        <v>74</v>
      </c>
      <c r="F115" t="s">
        <v>2569</v>
      </c>
      <c r="G115" t="s">
        <v>74</v>
      </c>
      <c r="H115" t="s">
        <v>74</v>
      </c>
      <c r="I115" t="s">
        <v>2570</v>
      </c>
      <c r="J115" t="s">
        <v>2571</v>
      </c>
      <c r="K115" t="s">
        <v>2572</v>
      </c>
      <c r="L115" t="s">
        <v>74</v>
      </c>
      <c r="M115" t="s">
        <v>78</v>
      </c>
      <c r="N115" t="s">
        <v>2067</v>
      </c>
      <c r="O115" t="s">
        <v>74</v>
      </c>
      <c r="P115" t="s">
        <v>74</v>
      </c>
      <c r="Q115" t="s">
        <v>74</v>
      </c>
      <c r="R115" t="s">
        <v>74</v>
      </c>
      <c r="S115" t="s">
        <v>74</v>
      </c>
      <c r="T115" t="s">
        <v>2573</v>
      </c>
      <c r="U115" t="s">
        <v>2574</v>
      </c>
      <c r="V115" t="s">
        <v>2575</v>
      </c>
      <c r="W115" t="s">
        <v>2576</v>
      </c>
      <c r="X115" t="s">
        <v>2577</v>
      </c>
      <c r="Y115" t="s">
        <v>2578</v>
      </c>
      <c r="Z115" t="s">
        <v>74</v>
      </c>
      <c r="AA115" t="s">
        <v>2579</v>
      </c>
      <c r="AB115" t="s">
        <v>2580</v>
      </c>
      <c r="AC115" t="s">
        <v>74</v>
      </c>
      <c r="AD115" t="s">
        <v>74</v>
      </c>
      <c r="AE115" t="s">
        <v>74</v>
      </c>
      <c r="AF115" t="s">
        <v>74</v>
      </c>
      <c r="AG115">
        <v>39</v>
      </c>
      <c r="AH115">
        <v>6</v>
      </c>
      <c r="AI115">
        <v>6</v>
      </c>
      <c r="AJ115">
        <v>0</v>
      </c>
      <c r="AK115">
        <v>1</v>
      </c>
      <c r="AL115" t="s">
        <v>661</v>
      </c>
      <c r="AM115" t="s">
        <v>142</v>
      </c>
      <c r="AN115" t="s">
        <v>662</v>
      </c>
      <c r="AO115" t="s">
        <v>2581</v>
      </c>
      <c r="AP115" t="s">
        <v>74</v>
      </c>
      <c r="AQ115" t="s">
        <v>2582</v>
      </c>
      <c r="AR115" t="s">
        <v>2583</v>
      </c>
      <c r="AS115" t="s">
        <v>74</v>
      </c>
      <c r="AT115" t="s">
        <v>74</v>
      </c>
      <c r="AU115">
        <v>2017</v>
      </c>
      <c r="AV115">
        <v>220</v>
      </c>
      <c r="AW115" t="s">
        <v>74</v>
      </c>
      <c r="AX115" t="s">
        <v>74</v>
      </c>
      <c r="AY115" t="s">
        <v>74</v>
      </c>
      <c r="AZ115" t="s">
        <v>74</v>
      </c>
      <c r="BA115" t="s">
        <v>74</v>
      </c>
      <c r="BB115">
        <v>71</v>
      </c>
      <c r="BC115">
        <v>83</v>
      </c>
      <c r="BD115" t="s">
        <v>74</v>
      </c>
      <c r="BE115" t="s">
        <v>74</v>
      </c>
      <c r="BF115" t="s">
        <v>74</v>
      </c>
      <c r="BG115" t="s">
        <v>2584</v>
      </c>
      <c r="BH115" t="s">
        <v>74</v>
      </c>
      <c r="BI115">
        <v>13</v>
      </c>
      <c r="BJ115" t="s">
        <v>2585</v>
      </c>
      <c r="BK115" t="s">
        <v>2084</v>
      </c>
      <c r="BL115" t="s">
        <v>2585</v>
      </c>
      <c r="BM115" t="s">
        <v>2586</v>
      </c>
      <c r="BN115" t="s">
        <v>74</v>
      </c>
      <c r="BO115" t="s">
        <v>378</v>
      </c>
      <c r="BP115" t="s">
        <v>74</v>
      </c>
      <c r="BQ115" t="s">
        <v>74</v>
      </c>
      <c r="BR115" t="s">
        <v>105</v>
      </c>
      <c r="BS115" t="s">
        <v>2587</v>
      </c>
      <c r="BT115" t="str">
        <f>HYPERLINK("https%3A%2F%2Fwww.webofscience.com%2Fwos%2Fwoscc%2Ffull-record%2FWOS:000449383900007","View Full Record in Web of Science")</f>
        <v>View Full Record in Web of Science</v>
      </c>
    </row>
    <row r="116" spans="1:72" x14ac:dyDescent="0.15">
      <c r="A116" t="s">
        <v>72</v>
      </c>
      <c r="B116" t="s">
        <v>2588</v>
      </c>
      <c r="C116" t="s">
        <v>74</v>
      </c>
      <c r="D116" t="s">
        <v>74</v>
      </c>
      <c r="E116" t="s">
        <v>74</v>
      </c>
      <c r="F116" t="s">
        <v>2589</v>
      </c>
      <c r="G116" t="s">
        <v>74</v>
      </c>
      <c r="H116" t="s">
        <v>74</v>
      </c>
      <c r="I116" t="s">
        <v>2590</v>
      </c>
      <c r="J116" t="s">
        <v>2591</v>
      </c>
      <c r="K116" t="s">
        <v>74</v>
      </c>
      <c r="L116" t="s">
        <v>74</v>
      </c>
      <c r="M116" t="s">
        <v>78</v>
      </c>
      <c r="N116" t="s">
        <v>79</v>
      </c>
      <c r="O116" t="s">
        <v>74</v>
      </c>
      <c r="P116" t="s">
        <v>74</v>
      </c>
      <c r="Q116" t="s">
        <v>74</v>
      </c>
      <c r="R116" t="s">
        <v>74</v>
      </c>
      <c r="S116" t="s">
        <v>74</v>
      </c>
      <c r="T116" t="s">
        <v>74</v>
      </c>
      <c r="U116" t="s">
        <v>2592</v>
      </c>
      <c r="V116" t="s">
        <v>2593</v>
      </c>
      <c r="W116" t="s">
        <v>2594</v>
      </c>
      <c r="X116" t="s">
        <v>2595</v>
      </c>
      <c r="Y116" t="s">
        <v>2596</v>
      </c>
      <c r="Z116" t="s">
        <v>2597</v>
      </c>
      <c r="AA116" t="s">
        <v>2598</v>
      </c>
      <c r="AB116" t="s">
        <v>2599</v>
      </c>
      <c r="AC116" t="s">
        <v>2600</v>
      </c>
      <c r="AD116" t="s">
        <v>2601</v>
      </c>
      <c r="AE116" t="s">
        <v>2602</v>
      </c>
      <c r="AF116" t="s">
        <v>74</v>
      </c>
      <c r="AG116">
        <v>65</v>
      </c>
      <c r="AH116">
        <v>27</v>
      </c>
      <c r="AI116">
        <v>28</v>
      </c>
      <c r="AJ116">
        <v>0</v>
      </c>
      <c r="AK116">
        <v>11</v>
      </c>
      <c r="AL116" t="s">
        <v>2603</v>
      </c>
      <c r="AM116" t="s">
        <v>2604</v>
      </c>
      <c r="AN116" t="s">
        <v>2605</v>
      </c>
      <c r="AO116" t="s">
        <v>2606</v>
      </c>
      <c r="AP116" t="s">
        <v>2607</v>
      </c>
      <c r="AQ116" t="s">
        <v>74</v>
      </c>
      <c r="AR116" t="s">
        <v>2608</v>
      </c>
      <c r="AS116" t="s">
        <v>2609</v>
      </c>
      <c r="AT116" t="s">
        <v>2136</v>
      </c>
      <c r="AU116">
        <v>2017</v>
      </c>
      <c r="AV116">
        <v>30</v>
      </c>
      <c r="AW116">
        <v>1</v>
      </c>
      <c r="AX116" t="s">
        <v>74</v>
      </c>
      <c r="AY116" t="s">
        <v>74</v>
      </c>
      <c r="AZ116" t="s">
        <v>74</v>
      </c>
      <c r="BA116" t="s">
        <v>74</v>
      </c>
      <c r="BB116">
        <v>163</v>
      </c>
      <c r="BC116">
        <v>188</v>
      </c>
      <c r="BD116" t="s">
        <v>74</v>
      </c>
      <c r="BE116" t="s">
        <v>2610</v>
      </c>
      <c r="BF116" t="str">
        <f>HYPERLINK("http://dx.doi.org/10.1175/JCLI-D-15-0808.1","http://dx.doi.org/10.1175/JCLI-D-15-0808.1")</f>
        <v>http://dx.doi.org/10.1175/JCLI-D-15-0808.1</v>
      </c>
      <c r="BG116" t="s">
        <v>74</v>
      </c>
      <c r="BH116" t="s">
        <v>74</v>
      </c>
      <c r="BI116">
        <v>26</v>
      </c>
      <c r="BJ116" t="s">
        <v>747</v>
      </c>
      <c r="BK116" t="s">
        <v>101</v>
      </c>
      <c r="BL116" t="s">
        <v>747</v>
      </c>
      <c r="BM116" t="s">
        <v>2611</v>
      </c>
      <c r="BN116" t="s">
        <v>74</v>
      </c>
      <c r="BO116" t="s">
        <v>2612</v>
      </c>
      <c r="BP116" t="s">
        <v>74</v>
      </c>
      <c r="BQ116" t="s">
        <v>74</v>
      </c>
      <c r="BR116" t="s">
        <v>105</v>
      </c>
      <c r="BS116" t="s">
        <v>2613</v>
      </c>
      <c r="BT116" t="str">
        <f>HYPERLINK("https%3A%2F%2Fwww.webofscience.com%2Fwos%2Fwoscc%2Ffull-record%2FWOS:000391855700011","View Full Record in Web of Science")</f>
        <v>View Full Record in Web of Science</v>
      </c>
    </row>
    <row r="117" spans="1:72" x14ac:dyDescent="0.15">
      <c r="A117" t="s">
        <v>72</v>
      </c>
      <c r="B117" t="s">
        <v>2614</v>
      </c>
      <c r="C117" t="s">
        <v>74</v>
      </c>
      <c r="D117" t="s">
        <v>74</v>
      </c>
      <c r="E117" t="s">
        <v>74</v>
      </c>
      <c r="F117" t="s">
        <v>2615</v>
      </c>
      <c r="G117" t="s">
        <v>74</v>
      </c>
      <c r="H117" t="s">
        <v>74</v>
      </c>
      <c r="I117" t="s">
        <v>2616</v>
      </c>
      <c r="J117" t="s">
        <v>2617</v>
      </c>
      <c r="K117" t="s">
        <v>74</v>
      </c>
      <c r="L117" t="s">
        <v>74</v>
      </c>
      <c r="M117" t="s">
        <v>78</v>
      </c>
      <c r="N117" t="s">
        <v>79</v>
      </c>
      <c r="O117" t="s">
        <v>74</v>
      </c>
      <c r="P117" t="s">
        <v>74</v>
      </c>
      <c r="Q117" t="s">
        <v>74</v>
      </c>
      <c r="R117" t="s">
        <v>74</v>
      </c>
      <c r="S117" t="s">
        <v>74</v>
      </c>
      <c r="T117" t="s">
        <v>2618</v>
      </c>
      <c r="U117" t="s">
        <v>2619</v>
      </c>
      <c r="V117" t="s">
        <v>2620</v>
      </c>
      <c r="W117" t="s">
        <v>2621</v>
      </c>
      <c r="X117" t="s">
        <v>2622</v>
      </c>
      <c r="Y117" t="s">
        <v>2623</v>
      </c>
      <c r="Z117" t="s">
        <v>2624</v>
      </c>
      <c r="AA117" t="s">
        <v>2625</v>
      </c>
      <c r="AB117" t="s">
        <v>2626</v>
      </c>
      <c r="AC117" t="s">
        <v>2627</v>
      </c>
      <c r="AD117" t="s">
        <v>2628</v>
      </c>
      <c r="AE117" t="s">
        <v>2629</v>
      </c>
      <c r="AF117" t="s">
        <v>74</v>
      </c>
      <c r="AG117">
        <v>58</v>
      </c>
      <c r="AH117">
        <v>17</v>
      </c>
      <c r="AI117">
        <v>18</v>
      </c>
      <c r="AJ117">
        <v>0</v>
      </c>
      <c r="AK117">
        <v>9</v>
      </c>
      <c r="AL117" t="s">
        <v>661</v>
      </c>
      <c r="AM117" t="s">
        <v>142</v>
      </c>
      <c r="AN117" t="s">
        <v>662</v>
      </c>
      <c r="AO117" t="s">
        <v>2630</v>
      </c>
      <c r="AP117" t="s">
        <v>2631</v>
      </c>
      <c r="AQ117" t="s">
        <v>74</v>
      </c>
      <c r="AR117" t="s">
        <v>2632</v>
      </c>
      <c r="AS117" t="s">
        <v>2633</v>
      </c>
      <c r="AT117" t="s">
        <v>74</v>
      </c>
      <c r="AU117">
        <v>2017</v>
      </c>
      <c r="AV117">
        <v>122</v>
      </c>
      <c r="AW117">
        <v>1</v>
      </c>
      <c r="AX117" t="s">
        <v>74</v>
      </c>
      <c r="AY117" t="s">
        <v>74</v>
      </c>
      <c r="AZ117" t="s">
        <v>74</v>
      </c>
      <c r="BA117" t="s">
        <v>74</v>
      </c>
      <c r="BB117">
        <v>194</v>
      </c>
      <c r="BC117">
        <v>211</v>
      </c>
      <c r="BD117" t="s">
        <v>74</v>
      </c>
      <c r="BE117" t="s">
        <v>2634</v>
      </c>
      <c r="BF117" t="str">
        <f>HYPERLINK("http://dx.doi.org/10.1002/2016JA023166","http://dx.doi.org/10.1002/2016JA023166")</f>
        <v>http://dx.doi.org/10.1002/2016JA023166</v>
      </c>
      <c r="BG117" t="s">
        <v>74</v>
      </c>
      <c r="BH117" t="s">
        <v>74</v>
      </c>
      <c r="BI117">
        <v>18</v>
      </c>
      <c r="BJ117" t="s">
        <v>2635</v>
      </c>
      <c r="BK117" t="s">
        <v>101</v>
      </c>
      <c r="BL117" t="s">
        <v>2635</v>
      </c>
      <c r="BM117" t="s">
        <v>2636</v>
      </c>
      <c r="BN117" t="s">
        <v>74</v>
      </c>
      <c r="BO117" t="s">
        <v>74</v>
      </c>
      <c r="BP117" t="s">
        <v>74</v>
      </c>
      <c r="BQ117" t="s">
        <v>74</v>
      </c>
      <c r="BR117" t="s">
        <v>105</v>
      </c>
      <c r="BS117" t="s">
        <v>2637</v>
      </c>
      <c r="BT117" t="str">
        <f>HYPERLINK("https%3A%2F%2Fwww.webofscience.com%2Fwos%2Fwoscc%2Ffull-record%2FWOS:000395655800017","View Full Record in Web of Science")</f>
        <v>View Full Record in Web of Science</v>
      </c>
    </row>
    <row r="118" spans="1:72" x14ac:dyDescent="0.15">
      <c r="A118" t="s">
        <v>72</v>
      </c>
      <c r="B118" t="s">
        <v>2638</v>
      </c>
      <c r="C118" t="s">
        <v>74</v>
      </c>
      <c r="D118" t="s">
        <v>74</v>
      </c>
      <c r="E118" t="s">
        <v>74</v>
      </c>
      <c r="F118" t="s">
        <v>2639</v>
      </c>
      <c r="G118" t="s">
        <v>74</v>
      </c>
      <c r="H118" t="s">
        <v>74</v>
      </c>
      <c r="I118" t="s">
        <v>2640</v>
      </c>
      <c r="J118" t="s">
        <v>2641</v>
      </c>
      <c r="K118" t="s">
        <v>74</v>
      </c>
      <c r="L118" t="s">
        <v>74</v>
      </c>
      <c r="M118" t="s">
        <v>78</v>
      </c>
      <c r="N118" t="s">
        <v>79</v>
      </c>
      <c r="O118" t="s">
        <v>74</v>
      </c>
      <c r="P118" t="s">
        <v>74</v>
      </c>
      <c r="Q118" t="s">
        <v>74</v>
      </c>
      <c r="R118" t="s">
        <v>74</v>
      </c>
      <c r="S118" t="s">
        <v>74</v>
      </c>
      <c r="T118" t="s">
        <v>2642</v>
      </c>
      <c r="U118" t="s">
        <v>74</v>
      </c>
      <c r="V118" t="s">
        <v>2643</v>
      </c>
      <c r="W118" t="s">
        <v>2644</v>
      </c>
      <c r="X118" t="s">
        <v>2645</v>
      </c>
      <c r="Y118" t="s">
        <v>2646</v>
      </c>
      <c r="Z118" t="s">
        <v>2647</v>
      </c>
      <c r="AA118" t="s">
        <v>74</v>
      </c>
      <c r="AB118" t="s">
        <v>74</v>
      </c>
      <c r="AC118" t="s">
        <v>74</v>
      </c>
      <c r="AD118" t="s">
        <v>74</v>
      </c>
      <c r="AE118" t="s">
        <v>74</v>
      </c>
      <c r="AF118" t="s">
        <v>74</v>
      </c>
      <c r="AG118">
        <v>24</v>
      </c>
      <c r="AH118">
        <v>6</v>
      </c>
      <c r="AI118">
        <v>7</v>
      </c>
      <c r="AJ118">
        <v>3</v>
      </c>
      <c r="AK118">
        <v>49</v>
      </c>
      <c r="AL118" t="s">
        <v>1909</v>
      </c>
      <c r="AM118" t="s">
        <v>1910</v>
      </c>
      <c r="AN118" t="s">
        <v>1911</v>
      </c>
      <c r="AO118" t="s">
        <v>2648</v>
      </c>
      <c r="AP118" t="s">
        <v>2649</v>
      </c>
      <c r="AQ118" t="s">
        <v>74</v>
      </c>
      <c r="AR118" t="s">
        <v>2650</v>
      </c>
      <c r="AS118" t="s">
        <v>2651</v>
      </c>
      <c r="AT118" t="s">
        <v>74</v>
      </c>
      <c r="AU118">
        <v>2017</v>
      </c>
      <c r="AV118">
        <v>18</v>
      </c>
      <c r="AW118">
        <v>3</v>
      </c>
      <c r="AX118" t="s">
        <v>74</v>
      </c>
      <c r="AY118" t="s">
        <v>74</v>
      </c>
      <c r="AZ118" t="s">
        <v>74</v>
      </c>
      <c r="BA118" t="s">
        <v>74</v>
      </c>
      <c r="BB118">
        <v>356</v>
      </c>
      <c r="BC118">
        <v>369</v>
      </c>
      <c r="BD118" t="s">
        <v>74</v>
      </c>
      <c r="BE118" t="s">
        <v>2652</v>
      </c>
      <c r="BF118" t="str">
        <f>HYPERLINK("http://dx.doi.org/10.1080/19452829.2017.1342386","http://dx.doi.org/10.1080/19452829.2017.1342386")</f>
        <v>http://dx.doi.org/10.1080/19452829.2017.1342386</v>
      </c>
      <c r="BG118" t="s">
        <v>74</v>
      </c>
      <c r="BH118" t="s">
        <v>74</v>
      </c>
      <c r="BI118">
        <v>14</v>
      </c>
      <c r="BJ118" t="s">
        <v>2653</v>
      </c>
      <c r="BK118" t="s">
        <v>1918</v>
      </c>
      <c r="BL118" t="s">
        <v>2653</v>
      </c>
      <c r="BM118" t="s">
        <v>2654</v>
      </c>
      <c r="BN118" t="s">
        <v>74</v>
      </c>
      <c r="BO118" t="s">
        <v>74</v>
      </c>
      <c r="BP118" t="s">
        <v>74</v>
      </c>
      <c r="BQ118" t="s">
        <v>74</v>
      </c>
      <c r="BR118" t="s">
        <v>105</v>
      </c>
      <c r="BS118" t="s">
        <v>2655</v>
      </c>
      <c r="BT118" t="str">
        <f>HYPERLINK("https%3A%2F%2Fwww.webofscience.com%2Fwos%2Fwoscc%2Ffull-record%2FWOS:000413941600004","View Full Record in Web of Science")</f>
        <v>View Full Record in Web of Science</v>
      </c>
    </row>
    <row r="119" spans="1:72" x14ac:dyDescent="0.15">
      <c r="A119" t="s">
        <v>72</v>
      </c>
      <c r="B119" t="s">
        <v>2656</v>
      </c>
      <c r="C119" t="s">
        <v>74</v>
      </c>
      <c r="D119" t="s">
        <v>74</v>
      </c>
      <c r="E119" t="s">
        <v>74</v>
      </c>
      <c r="F119" t="s">
        <v>2657</v>
      </c>
      <c r="G119" t="s">
        <v>74</v>
      </c>
      <c r="H119" t="s">
        <v>74</v>
      </c>
      <c r="I119" t="s">
        <v>2658</v>
      </c>
      <c r="J119" t="s">
        <v>2659</v>
      </c>
      <c r="K119" t="s">
        <v>74</v>
      </c>
      <c r="L119" t="s">
        <v>74</v>
      </c>
      <c r="M119" t="s">
        <v>78</v>
      </c>
      <c r="N119" t="s">
        <v>79</v>
      </c>
      <c r="O119" t="s">
        <v>74</v>
      </c>
      <c r="P119" t="s">
        <v>74</v>
      </c>
      <c r="Q119" t="s">
        <v>74</v>
      </c>
      <c r="R119" t="s">
        <v>74</v>
      </c>
      <c r="S119" t="s">
        <v>74</v>
      </c>
      <c r="T119" t="s">
        <v>2660</v>
      </c>
      <c r="U119" t="s">
        <v>2661</v>
      </c>
      <c r="V119" t="s">
        <v>2662</v>
      </c>
      <c r="W119" t="s">
        <v>2663</v>
      </c>
      <c r="X119" t="s">
        <v>2664</v>
      </c>
      <c r="Y119" t="s">
        <v>2665</v>
      </c>
      <c r="Z119" t="s">
        <v>2666</v>
      </c>
      <c r="AA119" t="s">
        <v>2667</v>
      </c>
      <c r="AB119" t="s">
        <v>2668</v>
      </c>
      <c r="AC119" t="s">
        <v>2669</v>
      </c>
      <c r="AD119" t="s">
        <v>2670</v>
      </c>
      <c r="AE119" t="s">
        <v>2671</v>
      </c>
      <c r="AF119" t="s">
        <v>74</v>
      </c>
      <c r="AG119">
        <v>27</v>
      </c>
      <c r="AH119">
        <v>12</v>
      </c>
      <c r="AI119">
        <v>14</v>
      </c>
      <c r="AJ119">
        <v>0</v>
      </c>
      <c r="AK119">
        <v>28</v>
      </c>
      <c r="AL119" t="s">
        <v>211</v>
      </c>
      <c r="AM119" t="s">
        <v>212</v>
      </c>
      <c r="AN119" t="s">
        <v>213</v>
      </c>
      <c r="AO119" t="s">
        <v>2672</v>
      </c>
      <c r="AP119" t="s">
        <v>2673</v>
      </c>
      <c r="AQ119" t="s">
        <v>74</v>
      </c>
      <c r="AR119" t="s">
        <v>2674</v>
      </c>
      <c r="AS119" t="s">
        <v>2675</v>
      </c>
      <c r="AT119" t="s">
        <v>2136</v>
      </c>
      <c r="AU119">
        <v>2017</v>
      </c>
      <c r="AV119">
        <v>311</v>
      </c>
      <c r="AW119">
        <v>1</v>
      </c>
      <c r="AX119" t="s">
        <v>74</v>
      </c>
      <c r="AY119" t="s">
        <v>74</v>
      </c>
      <c r="AZ119" t="s">
        <v>74</v>
      </c>
      <c r="BA119" t="s">
        <v>74</v>
      </c>
      <c r="BB119">
        <v>833</v>
      </c>
      <c r="BC119">
        <v>841</v>
      </c>
      <c r="BD119" t="s">
        <v>74</v>
      </c>
      <c r="BE119" t="s">
        <v>2676</v>
      </c>
      <c r="BF119" t="str">
        <f>HYPERLINK("http://dx.doi.org/10.1007/s10967-016-5060-6","http://dx.doi.org/10.1007/s10967-016-5060-6")</f>
        <v>http://dx.doi.org/10.1007/s10967-016-5060-6</v>
      </c>
      <c r="BG119" t="s">
        <v>74</v>
      </c>
      <c r="BH119" t="s">
        <v>74</v>
      </c>
      <c r="BI119">
        <v>9</v>
      </c>
      <c r="BJ119" t="s">
        <v>2677</v>
      </c>
      <c r="BK119" t="s">
        <v>101</v>
      </c>
      <c r="BL119" t="s">
        <v>2678</v>
      </c>
      <c r="BM119" t="s">
        <v>2679</v>
      </c>
      <c r="BN119" t="s">
        <v>74</v>
      </c>
      <c r="BO119" t="s">
        <v>378</v>
      </c>
      <c r="BP119" t="s">
        <v>74</v>
      </c>
      <c r="BQ119" t="s">
        <v>74</v>
      </c>
      <c r="BR119" t="s">
        <v>105</v>
      </c>
      <c r="BS119" t="s">
        <v>2680</v>
      </c>
      <c r="BT119" t="str">
        <f>HYPERLINK("https%3A%2F%2Fwww.webofscience.com%2Fwos%2Fwoscc%2Ffull-record%2FWOS:000392075200089","View Full Record in Web of Science")</f>
        <v>View Full Record in Web of Science</v>
      </c>
    </row>
    <row r="120" spans="1:72" x14ac:dyDescent="0.15">
      <c r="A120" t="s">
        <v>72</v>
      </c>
      <c r="B120" t="s">
        <v>2477</v>
      </c>
      <c r="C120" t="s">
        <v>74</v>
      </c>
      <c r="D120" t="s">
        <v>74</v>
      </c>
      <c r="E120" t="s">
        <v>74</v>
      </c>
      <c r="F120" t="s">
        <v>2681</v>
      </c>
      <c r="G120" t="s">
        <v>74</v>
      </c>
      <c r="H120" t="s">
        <v>74</v>
      </c>
      <c r="I120" t="s">
        <v>2682</v>
      </c>
      <c r="J120" t="s">
        <v>2683</v>
      </c>
      <c r="K120" t="s">
        <v>74</v>
      </c>
      <c r="L120" t="s">
        <v>74</v>
      </c>
      <c r="M120" t="s">
        <v>78</v>
      </c>
      <c r="N120" t="s">
        <v>79</v>
      </c>
      <c r="O120" t="s">
        <v>74</v>
      </c>
      <c r="P120" t="s">
        <v>74</v>
      </c>
      <c r="Q120" t="s">
        <v>74</v>
      </c>
      <c r="R120" t="s">
        <v>74</v>
      </c>
      <c r="S120" t="s">
        <v>74</v>
      </c>
      <c r="T120" t="s">
        <v>74</v>
      </c>
      <c r="U120" t="s">
        <v>2684</v>
      </c>
      <c r="V120" t="s">
        <v>2685</v>
      </c>
      <c r="W120" t="s">
        <v>2686</v>
      </c>
      <c r="X120" t="s">
        <v>2485</v>
      </c>
      <c r="Y120" t="s">
        <v>2687</v>
      </c>
      <c r="Z120" t="s">
        <v>2688</v>
      </c>
      <c r="AA120" t="s">
        <v>2488</v>
      </c>
      <c r="AB120" t="s">
        <v>2689</v>
      </c>
      <c r="AC120" t="s">
        <v>2690</v>
      </c>
      <c r="AD120" t="s">
        <v>2691</v>
      </c>
      <c r="AE120" t="s">
        <v>2692</v>
      </c>
      <c r="AF120" t="s">
        <v>74</v>
      </c>
      <c r="AG120">
        <v>113</v>
      </c>
      <c r="AH120">
        <v>8</v>
      </c>
      <c r="AI120">
        <v>9</v>
      </c>
      <c r="AJ120">
        <v>0</v>
      </c>
      <c r="AK120">
        <v>7</v>
      </c>
      <c r="AL120" t="s">
        <v>2103</v>
      </c>
      <c r="AM120" t="s">
        <v>2104</v>
      </c>
      <c r="AN120" t="s">
        <v>2105</v>
      </c>
      <c r="AO120" t="s">
        <v>2693</v>
      </c>
      <c r="AP120" t="s">
        <v>2694</v>
      </c>
      <c r="AQ120" t="s">
        <v>74</v>
      </c>
      <c r="AR120" t="s">
        <v>2695</v>
      </c>
      <c r="AS120" t="s">
        <v>2696</v>
      </c>
      <c r="AT120" t="s">
        <v>74</v>
      </c>
      <c r="AU120">
        <v>2017</v>
      </c>
      <c r="AV120">
        <v>37</v>
      </c>
      <c r="AW120">
        <v>6</v>
      </c>
      <c r="AX120" t="s">
        <v>74</v>
      </c>
      <c r="AY120" t="s">
        <v>74</v>
      </c>
      <c r="AZ120" t="s">
        <v>74</v>
      </c>
      <c r="BA120" t="s">
        <v>74</v>
      </c>
      <c r="BB120" t="s">
        <v>74</v>
      </c>
      <c r="BC120" t="s">
        <v>74</v>
      </c>
      <c r="BD120" t="s">
        <v>2697</v>
      </c>
      <c r="BE120" t="s">
        <v>2698</v>
      </c>
      <c r="BF120" t="str">
        <f>HYPERLINK("http://dx.doi.org/10.1080/02724634.2017.1371724","http://dx.doi.org/10.1080/02724634.2017.1371724")</f>
        <v>http://dx.doi.org/10.1080/02724634.2017.1371724</v>
      </c>
      <c r="BG120" t="s">
        <v>74</v>
      </c>
      <c r="BH120" t="s">
        <v>74</v>
      </c>
      <c r="BI120">
        <v>25</v>
      </c>
      <c r="BJ120" t="s">
        <v>2699</v>
      </c>
      <c r="BK120" t="s">
        <v>101</v>
      </c>
      <c r="BL120" t="s">
        <v>2699</v>
      </c>
      <c r="BM120" t="s">
        <v>2700</v>
      </c>
      <c r="BN120">
        <v>29551850</v>
      </c>
      <c r="BO120" t="s">
        <v>812</v>
      </c>
      <c r="BP120" t="s">
        <v>74</v>
      </c>
      <c r="BQ120" t="s">
        <v>74</v>
      </c>
      <c r="BR120" t="s">
        <v>105</v>
      </c>
      <c r="BS120" t="s">
        <v>2701</v>
      </c>
      <c r="BT120" t="str">
        <f>HYPERLINK("https%3A%2F%2Fwww.webofscience.com%2Fwos%2Fwoscc%2Ffull-record%2FWOS:000428680800009","View Full Record in Web of Science")</f>
        <v>View Full Record in Web of Science</v>
      </c>
    </row>
    <row r="121" spans="1:72" x14ac:dyDescent="0.15">
      <c r="A121" t="s">
        <v>72</v>
      </c>
      <c r="B121" t="s">
        <v>2702</v>
      </c>
      <c r="C121" t="s">
        <v>74</v>
      </c>
      <c r="D121" t="s">
        <v>74</v>
      </c>
      <c r="E121" t="s">
        <v>74</v>
      </c>
      <c r="F121" t="s">
        <v>2703</v>
      </c>
      <c r="G121" t="s">
        <v>74</v>
      </c>
      <c r="H121" t="s">
        <v>74</v>
      </c>
      <c r="I121" t="s">
        <v>2704</v>
      </c>
      <c r="J121" t="s">
        <v>2705</v>
      </c>
      <c r="K121" t="s">
        <v>74</v>
      </c>
      <c r="L121" t="s">
        <v>74</v>
      </c>
      <c r="M121" t="s">
        <v>2706</v>
      </c>
      <c r="N121" t="s">
        <v>79</v>
      </c>
      <c r="O121" t="s">
        <v>74</v>
      </c>
      <c r="P121" t="s">
        <v>74</v>
      </c>
      <c r="Q121" t="s">
        <v>74</v>
      </c>
      <c r="R121" t="s">
        <v>74</v>
      </c>
      <c r="S121" t="s">
        <v>74</v>
      </c>
      <c r="T121" t="s">
        <v>2707</v>
      </c>
      <c r="U121" t="s">
        <v>2708</v>
      </c>
      <c r="V121" t="s">
        <v>2709</v>
      </c>
      <c r="W121" t="s">
        <v>2710</v>
      </c>
      <c r="X121" t="s">
        <v>2711</v>
      </c>
      <c r="Y121" t="s">
        <v>2712</v>
      </c>
      <c r="Z121" t="s">
        <v>2713</v>
      </c>
      <c r="AA121" t="s">
        <v>2714</v>
      </c>
      <c r="AB121" t="s">
        <v>2715</v>
      </c>
      <c r="AC121" t="s">
        <v>2716</v>
      </c>
      <c r="AD121" t="s">
        <v>2717</v>
      </c>
      <c r="AE121" t="s">
        <v>2718</v>
      </c>
      <c r="AF121" t="s">
        <v>74</v>
      </c>
      <c r="AG121">
        <v>30</v>
      </c>
      <c r="AH121">
        <v>13</v>
      </c>
      <c r="AI121">
        <v>19</v>
      </c>
      <c r="AJ121">
        <v>0</v>
      </c>
      <c r="AK121">
        <v>6</v>
      </c>
      <c r="AL121" t="s">
        <v>2719</v>
      </c>
      <c r="AM121" t="s">
        <v>2048</v>
      </c>
      <c r="AN121" t="s">
        <v>2720</v>
      </c>
      <c r="AO121" t="s">
        <v>2721</v>
      </c>
      <c r="AP121" t="s">
        <v>2722</v>
      </c>
      <c r="AQ121" t="s">
        <v>74</v>
      </c>
      <c r="AR121" t="s">
        <v>2723</v>
      </c>
      <c r="AS121" t="s">
        <v>2724</v>
      </c>
      <c r="AT121" t="s">
        <v>74</v>
      </c>
      <c r="AU121">
        <v>2017</v>
      </c>
      <c r="AV121">
        <v>57</v>
      </c>
      <c r="AW121">
        <v>3</v>
      </c>
      <c r="AX121" t="s">
        <v>74</v>
      </c>
      <c r="AY121" t="s">
        <v>74</v>
      </c>
      <c r="AZ121" t="s">
        <v>74</v>
      </c>
      <c r="BA121" t="s">
        <v>74</v>
      </c>
      <c r="BB121">
        <v>381</v>
      </c>
      <c r="BC121">
        <v>390</v>
      </c>
      <c r="BD121" t="s">
        <v>74</v>
      </c>
      <c r="BE121" t="s">
        <v>2725</v>
      </c>
      <c r="BF121" t="str">
        <f>HYPERLINK("http://dx.doi.org/10.15356/2076-6734-2017-3-381-390","http://dx.doi.org/10.15356/2076-6734-2017-3-381-390")</f>
        <v>http://dx.doi.org/10.15356/2076-6734-2017-3-381-390</v>
      </c>
      <c r="BG121" t="s">
        <v>74</v>
      </c>
      <c r="BH121" t="s">
        <v>74</v>
      </c>
      <c r="BI121">
        <v>10</v>
      </c>
      <c r="BJ121" t="s">
        <v>669</v>
      </c>
      <c r="BK121" t="s">
        <v>2057</v>
      </c>
      <c r="BL121" t="s">
        <v>670</v>
      </c>
      <c r="BM121" t="s">
        <v>2726</v>
      </c>
      <c r="BN121" t="s">
        <v>74</v>
      </c>
      <c r="BO121" t="s">
        <v>941</v>
      </c>
      <c r="BP121" t="s">
        <v>74</v>
      </c>
      <c r="BQ121" t="s">
        <v>74</v>
      </c>
      <c r="BR121" t="s">
        <v>105</v>
      </c>
      <c r="BS121" t="s">
        <v>2727</v>
      </c>
      <c r="BT121" t="str">
        <f>HYPERLINK("https%3A%2F%2Fwww.webofscience.com%2Fwos%2Fwoscc%2Ffull-record%2FWOS:000418522200010","View Full Record in Web of Science")</f>
        <v>View Full Record in Web of Science</v>
      </c>
    </row>
    <row r="122" spans="1:72" x14ac:dyDescent="0.15">
      <c r="A122" t="s">
        <v>72</v>
      </c>
      <c r="B122" t="s">
        <v>2728</v>
      </c>
      <c r="C122" t="s">
        <v>74</v>
      </c>
      <c r="D122" t="s">
        <v>74</v>
      </c>
      <c r="E122" t="s">
        <v>74</v>
      </c>
      <c r="F122" t="s">
        <v>2729</v>
      </c>
      <c r="G122" t="s">
        <v>74</v>
      </c>
      <c r="H122" t="s">
        <v>74</v>
      </c>
      <c r="I122" t="s">
        <v>2730</v>
      </c>
      <c r="J122" t="s">
        <v>2731</v>
      </c>
      <c r="K122" t="s">
        <v>74</v>
      </c>
      <c r="L122" t="s">
        <v>74</v>
      </c>
      <c r="M122" t="s">
        <v>78</v>
      </c>
      <c r="N122" t="s">
        <v>79</v>
      </c>
      <c r="O122" t="s">
        <v>74</v>
      </c>
      <c r="P122" t="s">
        <v>74</v>
      </c>
      <c r="Q122" t="s">
        <v>74</v>
      </c>
      <c r="R122" t="s">
        <v>74</v>
      </c>
      <c r="S122" t="s">
        <v>74</v>
      </c>
      <c r="T122" t="s">
        <v>74</v>
      </c>
      <c r="U122" t="s">
        <v>2732</v>
      </c>
      <c r="V122" t="s">
        <v>2733</v>
      </c>
      <c r="W122" t="s">
        <v>2734</v>
      </c>
      <c r="X122" t="s">
        <v>2735</v>
      </c>
      <c r="Y122" t="s">
        <v>2736</v>
      </c>
      <c r="Z122" t="s">
        <v>2737</v>
      </c>
      <c r="AA122" t="s">
        <v>2738</v>
      </c>
      <c r="AB122" t="s">
        <v>2739</v>
      </c>
      <c r="AC122" t="s">
        <v>2740</v>
      </c>
      <c r="AD122" t="s">
        <v>2741</v>
      </c>
      <c r="AE122" t="s">
        <v>2742</v>
      </c>
      <c r="AF122" t="s">
        <v>74</v>
      </c>
      <c r="AG122">
        <v>78</v>
      </c>
      <c r="AH122">
        <v>29</v>
      </c>
      <c r="AI122">
        <v>29</v>
      </c>
      <c r="AJ122">
        <v>3</v>
      </c>
      <c r="AK122">
        <v>57</v>
      </c>
      <c r="AL122" t="s">
        <v>2377</v>
      </c>
      <c r="AM122" t="s">
        <v>2378</v>
      </c>
      <c r="AN122" t="s">
        <v>2379</v>
      </c>
      <c r="AO122" t="s">
        <v>2743</v>
      </c>
      <c r="AP122" t="s">
        <v>2744</v>
      </c>
      <c r="AQ122" t="s">
        <v>74</v>
      </c>
      <c r="AR122" t="s">
        <v>2745</v>
      </c>
      <c r="AS122" t="s">
        <v>2746</v>
      </c>
      <c r="AT122" t="s">
        <v>2136</v>
      </c>
      <c r="AU122">
        <v>2017</v>
      </c>
      <c r="AV122">
        <v>62</v>
      </c>
      <c r="AW122">
        <v>1</v>
      </c>
      <c r="AX122" t="s">
        <v>74</v>
      </c>
      <c r="AY122" t="s">
        <v>74</v>
      </c>
      <c r="AZ122" t="s">
        <v>74</v>
      </c>
      <c r="BA122" t="s">
        <v>74</v>
      </c>
      <c r="BB122">
        <v>104</v>
      </c>
      <c r="BC122">
        <v>124</v>
      </c>
      <c r="BD122" t="s">
        <v>74</v>
      </c>
      <c r="BE122" t="s">
        <v>2747</v>
      </c>
      <c r="BF122" t="str">
        <f>HYPERLINK("http://dx.doi.org/10.1002/lno.10379","http://dx.doi.org/10.1002/lno.10379")</f>
        <v>http://dx.doi.org/10.1002/lno.10379</v>
      </c>
      <c r="BG122" t="s">
        <v>74</v>
      </c>
      <c r="BH122" t="s">
        <v>74</v>
      </c>
      <c r="BI122">
        <v>21</v>
      </c>
      <c r="BJ122" t="s">
        <v>2748</v>
      </c>
      <c r="BK122" t="s">
        <v>101</v>
      </c>
      <c r="BL122" t="s">
        <v>1641</v>
      </c>
      <c r="BM122" t="s">
        <v>2749</v>
      </c>
      <c r="BN122" t="s">
        <v>74</v>
      </c>
      <c r="BO122" t="s">
        <v>672</v>
      </c>
      <c r="BP122" t="s">
        <v>74</v>
      </c>
      <c r="BQ122" t="s">
        <v>74</v>
      </c>
      <c r="BR122" t="s">
        <v>105</v>
      </c>
      <c r="BS122" t="s">
        <v>2750</v>
      </c>
      <c r="BT122" t="str">
        <f>HYPERLINK("https%3A%2F%2Fwww.webofscience.com%2Fwos%2Fwoscc%2Ffull-record%2FWOS:000393804600007","View Full Record in Web of Science")</f>
        <v>View Full Record in Web of Science</v>
      </c>
    </row>
    <row r="123" spans="1:72" x14ac:dyDescent="0.15">
      <c r="A123" t="s">
        <v>72</v>
      </c>
      <c r="B123" t="s">
        <v>2751</v>
      </c>
      <c r="C123" t="s">
        <v>74</v>
      </c>
      <c r="D123" t="s">
        <v>74</v>
      </c>
      <c r="E123" t="s">
        <v>74</v>
      </c>
      <c r="F123" t="s">
        <v>2752</v>
      </c>
      <c r="G123" t="s">
        <v>74</v>
      </c>
      <c r="H123" t="s">
        <v>74</v>
      </c>
      <c r="I123" t="s">
        <v>2753</v>
      </c>
      <c r="J123" t="s">
        <v>2754</v>
      </c>
      <c r="K123" t="s">
        <v>74</v>
      </c>
      <c r="L123" t="s">
        <v>74</v>
      </c>
      <c r="M123" t="s">
        <v>78</v>
      </c>
      <c r="N123" t="s">
        <v>79</v>
      </c>
      <c r="O123" t="s">
        <v>74</v>
      </c>
      <c r="P123" t="s">
        <v>74</v>
      </c>
      <c r="Q123" t="s">
        <v>74</v>
      </c>
      <c r="R123" t="s">
        <v>74</v>
      </c>
      <c r="S123" t="s">
        <v>74</v>
      </c>
      <c r="T123" t="s">
        <v>2755</v>
      </c>
      <c r="U123" t="s">
        <v>2756</v>
      </c>
      <c r="V123" t="s">
        <v>2757</v>
      </c>
      <c r="W123" t="s">
        <v>2758</v>
      </c>
      <c r="X123" t="s">
        <v>2759</v>
      </c>
      <c r="Y123" t="s">
        <v>2760</v>
      </c>
      <c r="Z123" t="s">
        <v>2761</v>
      </c>
      <c r="AA123" t="s">
        <v>2762</v>
      </c>
      <c r="AB123" t="s">
        <v>2763</v>
      </c>
      <c r="AC123" t="s">
        <v>74</v>
      </c>
      <c r="AD123" t="s">
        <v>74</v>
      </c>
      <c r="AE123" t="s">
        <v>74</v>
      </c>
      <c r="AF123" t="s">
        <v>74</v>
      </c>
      <c r="AG123">
        <v>23</v>
      </c>
      <c r="AH123">
        <v>3</v>
      </c>
      <c r="AI123">
        <v>3</v>
      </c>
      <c r="AJ123">
        <v>0</v>
      </c>
      <c r="AK123">
        <v>14</v>
      </c>
      <c r="AL123" t="s">
        <v>2764</v>
      </c>
      <c r="AM123" t="s">
        <v>583</v>
      </c>
      <c r="AN123" t="s">
        <v>2765</v>
      </c>
      <c r="AO123" t="s">
        <v>2766</v>
      </c>
      <c r="AP123" t="s">
        <v>2767</v>
      </c>
      <c r="AQ123" t="s">
        <v>74</v>
      </c>
      <c r="AR123" t="s">
        <v>2754</v>
      </c>
      <c r="AS123" t="s">
        <v>2768</v>
      </c>
      <c r="AT123" t="s">
        <v>2136</v>
      </c>
      <c r="AU123">
        <v>2017</v>
      </c>
      <c r="AV123">
        <v>81</v>
      </c>
      <c r="AW123">
        <v>1</v>
      </c>
      <c r="AX123" t="s">
        <v>74</v>
      </c>
      <c r="AY123" t="s">
        <v>74</v>
      </c>
      <c r="AZ123" t="s">
        <v>74</v>
      </c>
      <c r="BA123" t="s">
        <v>74</v>
      </c>
      <c r="BB123">
        <v>111</v>
      </c>
      <c r="BC123">
        <v>113</v>
      </c>
      <c r="BD123" t="s">
        <v>74</v>
      </c>
      <c r="BE123" t="s">
        <v>2769</v>
      </c>
      <c r="BF123" t="str">
        <f>HYPERLINK("http://dx.doi.org/10.1515/mammalia-2015-0168","http://dx.doi.org/10.1515/mammalia-2015-0168")</f>
        <v>http://dx.doi.org/10.1515/mammalia-2015-0168</v>
      </c>
      <c r="BG123" t="s">
        <v>74</v>
      </c>
      <c r="BH123" t="s">
        <v>74</v>
      </c>
      <c r="BI123">
        <v>3</v>
      </c>
      <c r="BJ123" t="s">
        <v>643</v>
      </c>
      <c r="BK123" t="s">
        <v>101</v>
      </c>
      <c r="BL123" t="s">
        <v>643</v>
      </c>
      <c r="BM123" t="s">
        <v>2770</v>
      </c>
      <c r="BN123" t="s">
        <v>74</v>
      </c>
      <c r="BO123" t="s">
        <v>2771</v>
      </c>
      <c r="BP123" t="s">
        <v>74</v>
      </c>
      <c r="BQ123" t="s">
        <v>74</v>
      </c>
      <c r="BR123" t="s">
        <v>105</v>
      </c>
      <c r="BS123" t="s">
        <v>2772</v>
      </c>
      <c r="BT123" t="str">
        <f>HYPERLINK("https%3A%2F%2Fwww.webofscience.com%2Fwos%2Fwoscc%2Ffull-record%2FWOS:000391846100014","View Full Record in Web of Science")</f>
        <v>View Full Record in Web of Science</v>
      </c>
    </row>
    <row r="124" spans="1:72" x14ac:dyDescent="0.15">
      <c r="A124" t="s">
        <v>72</v>
      </c>
      <c r="B124" t="s">
        <v>2773</v>
      </c>
      <c r="C124" t="s">
        <v>74</v>
      </c>
      <c r="D124" t="s">
        <v>74</v>
      </c>
      <c r="E124" t="s">
        <v>74</v>
      </c>
      <c r="F124" t="s">
        <v>2774</v>
      </c>
      <c r="G124" t="s">
        <v>74</v>
      </c>
      <c r="H124" t="s">
        <v>74</v>
      </c>
      <c r="I124" t="s">
        <v>2775</v>
      </c>
      <c r="J124" t="s">
        <v>2776</v>
      </c>
      <c r="K124" t="s">
        <v>74</v>
      </c>
      <c r="L124" t="s">
        <v>74</v>
      </c>
      <c r="M124" t="s">
        <v>78</v>
      </c>
      <c r="N124" t="s">
        <v>79</v>
      </c>
      <c r="O124" t="s">
        <v>74</v>
      </c>
      <c r="P124" t="s">
        <v>74</v>
      </c>
      <c r="Q124" t="s">
        <v>74</v>
      </c>
      <c r="R124" t="s">
        <v>74</v>
      </c>
      <c r="S124" t="s">
        <v>74</v>
      </c>
      <c r="T124" t="s">
        <v>2777</v>
      </c>
      <c r="U124" t="s">
        <v>2778</v>
      </c>
      <c r="V124" t="s">
        <v>2779</v>
      </c>
      <c r="W124" t="s">
        <v>2780</v>
      </c>
      <c r="X124" t="s">
        <v>2781</v>
      </c>
      <c r="Y124" t="s">
        <v>2782</v>
      </c>
      <c r="Z124" t="s">
        <v>2783</v>
      </c>
      <c r="AA124" t="s">
        <v>2784</v>
      </c>
      <c r="AB124" t="s">
        <v>2785</v>
      </c>
      <c r="AC124" t="s">
        <v>2786</v>
      </c>
      <c r="AD124" t="s">
        <v>2787</v>
      </c>
      <c r="AE124" t="s">
        <v>2788</v>
      </c>
      <c r="AF124" t="s">
        <v>74</v>
      </c>
      <c r="AG124">
        <v>75</v>
      </c>
      <c r="AH124">
        <v>2</v>
      </c>
      <c r="AI124">
        <v>2</v>
      </c>
      <c r="AJ124">
        <v>0</v>
      </c>
      <c r="AK124">
        <v>15</v>
      </c>
      <c r="AL124" t="s">
        <v>2276</v>
      </c>
      <c r="AM124" t="s">
        <v>2277</v>
      </c>
      <c r="AN124" t="s">
        <v>2278</v>
      </c>
      <c r="AO124" t="s">
        <v>2789</v>
      </c>
      <c r="AP124" t="s">
        <v>2790</v>
      </c>
      <c r="AQ124" t="s">
        <v>74</v>
      </c>
      <c r="AR124" t="s">
        <v>2791</v>
      </c>
      <c r="AS124" t="s">
        <v>2792</v>
      </c>
      <c r="AT124" t="s">
        <v>74</v>
      </c>
      <c r="AU124">
        <v>2017</v>
      </c>
      <c r="AV124">
        <v>68</v>
      </c>
      <c r="AW124">
        <v>2</v>
      </c>
      <c r="AX124" t="s">
        <v>74</v>
      </c>
      <c r="AY124" t="s">
        <v>74</v>
      </c>
      <c r="AZ124" t="s">
        <v>74</v>
      </c>
      <c r="BA124" t="s">
        <v>74</v>
      </c>
      <c r="BB124">
        <v>361</v>
      </c>
      <c r="BC124">
        <v>372</v>
      </c>
      <c r="BD124" t="s">
        <v>74</v>
      </c>
      <c r="BE124" t="s">
        <v>2793</v>
      </c>
      <c r="BF124" t="str">
        <f>HYPERLINK("http://dx.doi.org/10.1071/MF15323","http://dx.doi.org/10.1071/MF15323")</f>
        <v>http://dx.doi.org/10.1071/MF15323</v>
      </c>
      <c r="BG124" t="s">
        <v>74</v>
      </c>
      <c r="BH124" t="s">
        <v>74</v>
      </c>
      <c r="BI124">
        <v>12</v>
      </c>
      <c r="BJ124" t="s">
        <v>2794</v>
      </c>
      <c r="BK124" t="s">
        <v>101</v>
      </c>
      <c r="BL124" t="s">
        <v>2795</v>
      </c>
      <c r="BM124" t="s">
        <v>2796</v>
      </c>
      <c r="BN124" t="s">
        <v>74</v>
      </c>
      <c r="BO124" t="s">
        <v>74</v>
      </c>
      <c r="BP124" t="s">
        <v>74</v>
      </c>
      <c r="BQ124" t="s">
        <v>74</v>
      </c>
      <c r="BR124" t="s">
        <v>105</v>
      </c>
      <c r="BS124" t="s">
        <v>2797</v>
      </c>
      <c r="BT124" t="str">
        <f>HYPERLINK("https%3A%2F%2Fwww.webofscience.com%2Fwos%2Fwoscc%2Ffull-record%2FWOS:000395301800016","View Full Record in Web of Science")</f>
        <v>View Full Record in Web of Science</v>
      </c>
    </row>
    <row r="125" spans="1:72" x14ac:dyDescent="0.15">
      <c r="A125" t="s">
        <v>72</v>
      </c>
      <c r="B125" t="s">
        <v>2798</v>
      </c>
      <c r="C125" t="s">
        <v>74</v>
      </c>
      <c r="D125" t="s">
        <v>74</v>
      </c>
      <c r="E125" t="s">
        <v>74</v>
      </c>
      <c r="F125" t="s">
        <v>2799</v>
      </c>
      <c r="G125" t="s">
        <v>74</v>
      </c>
      <c r="H125" t="s">
        <v>74</v>
      </c>
      <c r="I125" t="s">
        <v>2800</v>
      </c>
      <c r="J125" t="s">
        <v>2776</v>
      </c>
      <c r="K125" t="s">
        <v>74</v>
      </c>
      <c r="L125" t="s">
        <v>74</v>
      </c>
      <c r="M125" t="s">
        <v>78</v>
      </c>
      <c r="N125" t="s">
        <v>79</v>
      </c>
      <c r="O125" t="s">
        <v>74</v>
      </c>
      <c r="P125" t="s">
        <v>74</v>
      </c>
      <c r="Q125" t="s">
        <v>74</v>
      </c>
      <c r="R125" t="s">
        <v>74</v>
      </c>
      <c r="S125" t="s">
        <v>74</v>
      </c>
      <c r="T125" t="s">
        <v>2801</v>
      </c>
      <c r="U125" t="s">
        <v>2802</v>
      </c>
      <c r="V125" t="s">
        <v>2803</v>
      </c>
      <c r="W125" t="s">
        <v>2804</v>
      </c>
      <c r="X125" t="s">
        <v>2805</v>
      </c>
      <c r="Y125" t="s">
        <v>2806</v>
      </c>
      <c r="Z125" t="s">
        <v>2807</v>
      </c>
      <c r="AA125" t="s">
        <v>2808</v>
      </c>
      <c r="AB125" t="s">
        <v>2809</v>
      </c>
      <c r="AC125" t="s">
        <v>2810</v>
      </c>
      <c r="AD125" t="s">
        <v>2811</v>
      </c>
      <c r="AE125" t="s">
        <v>2812</v>
      </c>
      <c r="AF125" t="s">
        <v>74</v>
      </c>
      <c r="AG125">
        <v>45</v>
      </c>
      <c r="AH125">
        <v>9</v>
      </c>
      <c r="AI125">
        <v>9</v>
      </c>
      <c r="AJ125">
        <v>1</v>
      </c>
      <c r="AK125">
        <v>25</v>
      </c>
      <c r="AL125" t="s">
        <v>2276</v>
      </c>
      <c r="AM125" t="s">
        <v>2277</v>
      </c>
      <c r="AN125" t="s">
        <v>2278</v>
      </c>
      <c r="AO125" t="s">
        <v>2789</v>
      </c>
      <c r="AP125" t="s">
        <v>2790</v>
      </c>
      <c r="AQ125" t="s">
        <v>74</v>
      </c>
      <c r="AR125" t="s">
        <v>2791</v>
      </c>
      <c r="AS125" t="s">
        <v>2792</v>
      </c>
      <c r="AT125" t="s">
        <v>74</v>
      </c>
      <c r="AU125">
        <v>2017</v>
      </c>
      <c r="AV125">
        <v>68</v>
      </c>
      <c r="AW125">
        <v>5</v>
      </c>
      <c r="AX125" t="s">
        <v>74</v>
      </c>
      <c r="AY125" t="s">
        <v>74</v>
      </c>
      <c r="AZ125" t="s">
        <v>74</v>
      </c>
      <c r="BA125" t="s">
        <v>74</v>
      </c>
      <c r="BB125">
        <v>821</v>
      </c>
      <c r="BC125">
        <v>830</v>
      </c>
      <c r="BD125" t="s">
        <v>74</v>
      </c>
      <c r="BE125" t="s">
        <v>2813</v>
      </c>
      <c r="BF125" t="str">
        <f>HYPERLINK("http://dx.doi.org/10.1071/MF15478","http://dx.doi.org/10.1071/MF15478")</f>
        <v>http://dx.doi.org/10.1071/MF15478</v>
      </c>
      <c r="BG125" t="s">
        <v>74</v>
      </c>
      <c r="BH125" t="s">
        <v>74</v>
      </c>
      <c r="BI125">
        <v>10</v>
      </c>
      <c r="BJ125" t="s">
        <v>2794</v>
      </c>
      <c r="BK125" t="s">
        <v>101</v>
      </c>
      <c r="BL125" t="s">
        <v>2795</v>
      </c>
      <c r="BM125" t="s">
        <v>2814</v>
      </c>
      <c r="BN125" t="s">
        <v>74</v>
      </c>
      <c r="BO125" t="s">
        <v>74</v>
      </c>
      <c r="BP125" t="s">
        <v>74</v>
      </c>
      <c r="BQ125" t="s">
        <v>74</v>
      </c>
      <c r="BR125" t="s">
        <v>105</v>
      </c>
      <c r="BS125" t="s">
        <v>2815</v>
      </c>
      <c r="BT125" t="str">
        <f>HYPERLINK("https%3A%2F%2Fwww.webofscience.com%2Fwos%2Fwoscc%2Ffull-record%2FWOS:000400184800003","View Full Record in Web of Science")</f>
        <v>View Full Record in Web of Science</v>
      </c>
    </row>
    <row r="126" spans="1:72" x14ac:dyDescent="0.15">
      <c r="A126" t="s">
        <v>72</v>
      </c>
      <c r="B126" t="s">
        <v>2816</v>
      </c>
      <c r="C126" t="s">
        <v>74</v>
      </c>
      <c r="D126" t="s">
        <v>74</v>
      </c>
      <c r="E126" t="s">
        <v>74</v>
      </c>
      <c r="F126" t="s">
        <v>2817</v>
      </c>
      <c r="G126" t="s">
        <v>74</v>
      </c>
      <c r="H126" t="s">
        <v>74</v>
      </c>
      <c r="I126" t="s">
        <v>2818</v>
      </c>
      <c r="J126" t="s">
        <v>2776</v>
      </c>
      <c r="K126" t="s">
        <v>74</v>
      </c>
      <c r="L126" t="s">
        <v>74</v>
      </c>
      <c r="M126" t="s">
        <v>78</v>
      </c>
      <c r="N126" t="s">
        <v>2034</v>
      </c>
      <c r="O126" t="s">
        <v>74</v>
      </c>
      <c r="P126" t="s">
        <v>74</v>
      </c>
      <c r="Q126" t="s">
        <v>74</v>
      </c>
      <c r="R126" t="s">
        <v>74</v>
      </c>
      <c r="S126" t="s">
        <v>74</v>
      </c>
      <c r="T126" t="s">
        <v>2819</v>
      </c>
      <c r="U126" t="s">
        <v>2820</v>
      </c>
      <c r="V126" t="s">
        <v>2821</v>
      </c>
      <c r="W126" t="s">
        <v>2822</v>
      </c>
      <c r="X126" t="s">
        <v>2823</v>
      </c>
      <c r="Y126" t="s">
        <v>2824</v>
      </c>
      <c r="Z126" t="s">
        <v>2825</v>
      </c>
      <c r="AA126" t="s">
        <v>2826</v>
      </c>
      <c r="AB126" t="s">
        <v>2827</v>
      </c>
      <c r="AC126" t="s">
        <v>2828</v>
      </c>
      <c r="AD126" t="s">
        <v>2829</v>
      </c>
      <c r="AE126" t="s">
        <v>2830</v>
      </c>
      <c r="AF126" t="s">
        <v>74</v>
      </c>
      <c r="AG126">
        <v>198</v>
      </c>
      <c r="AH126">
        <v>11</v>
      </c>
      <c r="AI126">
        <v>11</v>
      </c>
      <c r="AJ126">
        <v>4</v>
      </c>
      <c r="AK126">
        <v>51</v>
      </c>
      <c r="AL126" t="s">
        <v>2276</v>
      </c>
      <c r="AM126" t="s">
        <v>2277</v>
      </c>
      <c r="AN126" t="s">
        <v>2278</v>
      </c>
      <c r="AO126" t="s">
        <v>2789</v>
      </c>
      <c r="AP126" t="s">
        <v>2790</v>
      </c>
      <c r="AQ126" t="s">
        <v>74</v>
      </c>
      <c r="AR126" t="s">
        <v>2791</v>
      </c>
      <c r="AS126" t="s">
        <v>2792</v>
      </c>
      <c r="AT126" t="s">
        <v>74</v>
      </c>
      <c r="AU126">
        <v>2017</v>
      </c>
      <c r="AV126">
        <v>68</v>
      </c>
      <c r="AW126">
        <v>12</v>
      </c>
      <c r="AX126" t="s">
        <v>74</v>
      </c>
      <c r="AY126" t="s">
        <v>74</v>
      </c>
      <c r="AZ126" t="s">
        <v>74</v>
      </c>
      <c r="BA126" t="s">
        <v>74</v>
      </c>
      <c r="BB126">
        <v>2184</v>
      </c>
      <c r="BC126">
        <v>2204</v>
      </c>
      <c r="BD126" t="s">
        <v>74</v>
      </c>
      <c r="BE126" t="s">
        <v>2831</v>
      </c>
      <c r="BF126" t="str">
        <f>HYPERLINK("http://dx.doi.org/10.1071/MF16335","http://dx.doi.org/10.1071/MF16335")</f>
        <v>http://dx.doi.org/10.1071/MF16335</v>
      </c>
      <c r="BG126" t="s">
        <v>74</v>
      </c>
      <c r="BH126" t="s">
        <v>74</v>
      </c>
      <c r="BI126">
        <v>21</v>
      </c>
      <c r="BJ126" t="s">
        <v>2794</v>
      </c>
      <c r="BK126" t="s">
        <v>101</v>
      </c>
      <c r="BL126" t="s">
        <v>2795</v>
      </c>
      <c r="BM126" t="s">
        <v>2832</v>
      </c>
      <c r="BN126" t="s">
        <v>74</v>
      </c>
      <c r="BO126" t="s">
        <v>74</v>
      </c>
      <c r="BP126" t="s">
        <v>74</v>
      </c>
      <c r="BQ126" t="s">
        <v>74</v>
      </c>
      <c r="BR126" t="s">
        <v>105</v>
      </c>
      <c r="BS126" t="s">
        <v>2833</v>
      </c>
      <c r="BT126" t="str">
        <f>HYPERLINK("https%3A%2F%2Fwww.webofscience.com%2Fwos%2Fwoscc%2Ffull-record%2FWOS:000416334800003","View Full Record in Web of Science")</f>
        <v>View Full Record in Web of Science</v>
      </c>
    </row>
    <row r="127" spans="1:72" x14ac:dyDescent="0.15">
      <c r="A127" t="s">
        <v>72</v>
      </c>
      <c r="B127" t="s">
        <v>2834</v>
      </c>
      <c r="C127" t="s">
        <v>74</v>
      </c>
      <c r="D127" t="s">
        <v>74</v>
      </c>
      <c r="E127" t="s">
        <v>74</v>
      </c>
      <c r="F127" t="s">
        <v>2835</v>
      </c>
      <c r="G127" t="s">
        <v>74</v>
      </c>
      <c r="H127" t="s">
        <v>74</v>
      </c>
      <c r="I127" t="s">
        <v>2836</v>
      </c>
      <c r="J127" t="s">
        <v>2837</v>
      </c>
      <c r="K127" t="s">
        <v>74</v>
      </c>
      <c r="L127" t="s">
        <v>74</v>
      </c>
      <c r="M127" t="s">
        <v>78</v>
      </c>
      <c r="N127" t="s">
        <v>79</v>
      </c>
      <c r="O127" t="s">
        <v>74</v>
      </c>
      <c r="P127" t="s">
        <v>74</v>
      </c>
      <c r="Q127" t="s">
        <v>74</v>
      </c>
      <c r="R127" t="s">
        <v>74</v>
      </c>
      <c r="S127" t="s">
        <v>74</v>
      </c>
      <c r="T127" t="s">
        <v>74</v>
      </c>
      <c r="U127" t="s">
        <v>2838</v>
      </c>
      <c r="V127" t="s">
        <v>2839</v>
      </c>
      <c r="W127" t="s">
        <v>2840</v>
      </c>
      <c r="X127" t="s">
        <v>2841</v>
      </c>
      <c r="Y127" t="s">
        <v>2842</v>
      </c>
      <c r="Z127" t="s">
        <v>2843</v>
      </c>
      <c r="AA127" t="s">
        <v>2844</v>
      </c>
      <c r="AB127" t="s">
        <v>2845</v>
      </c>
      <c r="AC127" t="s">
        <v>2846</v>
      </c>
      <c r="AD127" t="s">
        <v>2847</v>
      </c>
      <c r="AE127" t="s">
        <v>2848</v>
      </c>
      <c r="AF127" t="s">
        <v>74</v>
      </c>
      <c r="AG127">
        <v>78</v>
      </c>
      <c r="AH127">
        <v>14</v>
      </c>
      <c r="AI127">
        <v>14</v>
      </c>
      <c r="AJ127">
        <v>1</v>
      </c>
      <c r="AK127">
        <v>35</v>
      </c>
      <c r="AL127" t="s">
        <v>2351</v>
      </c>
      <c r="AM127" t="s">
        <v>2352</v>
      </c>
      <c r="AN127" t="s">
        <v>2353</v>
      </c>
      <c r="AO127" t="s">
        <v>2849</v>
      </c>
      <c r="AP127" t="s">
        <v>2850</v>
      </c>
      <c r="AQ127" t="s">
        <v>74</v>
      </c>
      <c r="AR127" t="s">
        <v>2851</v>
      </c>
      <c r="AS127" t="s">
        <v>2852</v>
      </c>
      <c r="AT127" t="s">
        <v>2136</v>
      </c>
      <c r="AU127">
        <v>2017</v>
      </c>
      <c r="AV127">
        <v>164</v>
      </c>
      <c r="AW127">
        <v>1</v>
      </c>
      <c r="AX127" t="s">
        <v>74</v>
      </c>
      <c r="AY127" t="s">
        <v>74</v>
      </c>
      <c r="AZ127" t="s">
        <v>74</v>
      </c>
      <c r="BA127" t="s">
        <v>74</v>
      </c>
      <c r="BB127" t="s">
        <v>74</v>
      </c>
      <c r="BC127" t="s">
        <v>74</v>
      </c>
      <c r="BD127">
        <v>3</v>
      </c>
      <c r="BE127" t="s">
        <v>2853</v>
      </c>
      <c r="BF127" t="str">
        <f>HYPERLINK("http://dx.doi.org/10.1007/s00227-016-3036-2","http://dx.doi.org/10.1007/s00227-016-3036-2")</f>
        <v>http://dx.doi.org/10.1007/s00227-016-3036-2</v>
      </c>
      <c r="BG127" t="s">
        <v>74</v>
      </c>
      <c r="BH127" t="s">
        <v>74</v>
      </c>
      <c r="BI127">
        <v>12</v>
      </c>
      <c r="BJ127" t="s">
        <v>2474</v>
      </c>
      <c r="BK127" t="s">
        <v>101</v>
      </c>
      <c r="BL127" t="s">
        <v>2474</v>
      </c>
      <c r="BM127" t="s">
        <v>2854</v>
      </c>
      <c r="BN127" t="s">
        <v>74</v>
      </c>
      <c r="BO127" t="s">
        <v>74</v>
      </c>
      <c r="BP127" t="s">
        <v>74</v>
      </c>
      <c r="BQ127" t="s">
        <v>74</v>
      </c>
      <c r="BR127" t="s">
        <v>105</v>
      </c>
      <c r="BS127" t="s">
        <v>2855</v>
      </c>
      <c r="BT127" t="str">
        <f>HYPERLINK("https%3A%2F%2Fwww.webofscience.com%2Fwos%2Fwoscc%2Ffull-record%2FWOS:000392332900003","View Full Record in Web of Science")</f>
        <v>View Full Record in Web of Science</v>
      </c>
    </row>
    <row r="128" spans="1:72" x14ac:dyDescent="0.15">
      <c r="A128" t="s">
        <v>72</v>
      </c>
      <c r="B128" t="s">
        <v>2856</v>
      </c>
      <c r="C128" t="s">
        <v>74</v>
      </c>
      <c r="D128" t="s">
        <v>74</v>
      </c>
      <c r="E128" t="s">
        <v>74</v>
      </c>
      <c r="F128" t="s">
        <v>2857</v>
      </c>
      <c r="G128" t="s">
        <v>74</v>
      </c>
      <c r="H128" t="s">
        <v>74</v>
      </c>
      <c r="I128" t="s">
        <v>2858</v>
      </c>
      <c r="J128" t="s">
        <v>2859</v>
      </c>
      <c r="K128" t="s">
        <v>74</v>
      </c>
      <c r="L128" t="s">
        <v>74</v>
      </c>
      <c r="M128" t="s">
        <v>78</v>
      </c>
      <c r="N128" t="s">
        <v>79</v>
      </c>
      <c r="O128" t="s">
        <v>74</v>
      </c>
      <c r="P128" t="s">
        <v>74</v>
      </c>
      <c r="Q128" t="s">
        <v>74</v>
      </c>
      <c r="R128" t="s">
        <v>74</v>
      </c>
      <c r="S128" t="s">
        <v>74</v>
      </c>
      <c r="T128" t="s">
        <v>2860</v>
      </c>
      <c r="U128" t="s">
        <v>2861</v>
      </c>
      <c r="V128" t="s">
        <v>2862</v>
      </c>
      <c r="W128" t="s">
        <v>2863</v>
      </c>
      <c r="X128" t="s">
        <v>2864</v>
      </c>
      <c r="Y128" t="s">
        <v>2865</v>
      </c>
      <c r="Z128" t="s">
        <v>2866</v>
      </c>
      <c r="AA128" t="s">
        <v>2867</v>
      </c>
      <c r="AB128" t="s">
        <v>2868</v>
      </c>
      <c r="AC128" t="s">
        <v>2869</v>
      </c>
      <c r="AD128" t="s">
        <v>2870</v>
      </c>
      <c r="AE128" t="s">
        <v>2871</v>
      </c>
      <c r="AF128" t="s">
        <v>74</v>
      </c>
      <c r="AG128">
        <v>61</v>
      </c>
      <c r="AH128">
        <v>35</v>
      </c>
      <c r="AI128">
        <v>41</v>
      </c>
      <c r="AJ128">
        <v>0</v>
      </c>
      <c r="AK128">
        <v>40</v>
      </c>
      <c r="AL128" t="s">
        <v>2377</v>
      </c>
      <c r="AM128" t="s">
        <v>2378</v>
      </c>
      <c r="AN128" t="s">
        <v>2379</v>
      </c>
      <c r="AO128" t="s">
        <v>2872</v>
      </c>
      <c r="AP128" t="s">
        <v>2873</v>
      </c>
      <c r="AQ128" t="s">
        <v>74</v>
      </c>
      <c r="AR128" t="s">
        <v>2874</v>
      </c>
      <c r="AS128" t="s">
        <v>2875</v>
      </c>
      <c r="AT128" t="s">
        <v>2136</v>
      </c>
      <c r="AU128">
        <v>2017</v>
      </c>
      <c r="AV128">
        <v>26</v>
      </c>
      <c r="AW128">
        <v>2</v>
      </c>
      <c r="AX128" t="s">
        <v>74</v>
      </c>
      <c r="AY128" t="s">
        <v>74</v>
      </c>
      <c r="AZ128" t="s">
        <v>74</v>
      </c>
      <c r="BA128" t="s">
        <v>74</v>
      </c>
      <c r="BB128">
        <v>444</v>
      </c>
      <c r="BC128">
        <v>456</v>
      </c>
      <c r="BD128" t="s">
        <v>74</v>
      </c>
      <c r="BE128" t="s">
        <v>2876</v>
      </c>
      <c r="BF128" t="str">
        <f>HYPERLINK("http://dx.doi.org/10.1111/mec.13929","http://dx.doi.org/10.1111/mec.13929")</f>
        <v>http://dx.doi.org/10.1111/mec.13929</v>
      </c>
      <c r="BG128" t="s">
        <v>74</v>
      </c>
      <c r="BH128" t="s">
        <v>74</v>
      </c>
      <c r="BI128">
        <v>13</v>
      </c>
      <c r="BJ128" t="s">
        <v>2877</v>
      </c>
      <c r="BK128" t="s">
        <v>101</v>
      </c>
      <c r="BL128" t="s">
        <v>2878</v>
      </c>
      <c r="BM128" t="s">
        <v>2879</v>
      </c>
      <c r="BN128">
        <v>27864912</v>
      </c>
      <c r="BO128" t="s">
        <v>74</v>
      </c>
      <c r="BP128" t="s">
        <v>74</v>
      </c>
      <c r="BQ128" t="s">
        <v>74</v>
      </c>
      <c r="BR128" t="s">
        <v>105</v>
      </c>
      <c r="BS128" t="s">
        <v>2880</v>
      </c>
      <c r="BT128" t="str">
        <f>HYPERLINK("https%3A%2F%2Fwww.webofscience.com%2Fwos%2Fwoscc%2Ffull-record%2FWOS:000393944000005","View Full Record in Web of Science")</f>
        <v>View Full Record in Web of Science</v>
      </c>
    </row>
    <row r="129" spans="1:72" x14ac:dyDescent="0.15">
      <c r="A129" t="s">
        <v>72</v>
      </c>
      <c r="B129" t="s">
        <v>2881</v>
      </c>
      <c r="C129" t="s">
        <v>74</v>
      </c>
      <c r="D129" t="s">
        <v>74</v>
      </c>
      <c r="E129" t="s">
        <v>74</v>
      </c>
      <c r="F129" t="s">
        <v>2882</v>
      </c>
      <c r="G129" t="s">
        <v>74</v>
      </c>
      <c r="H129" t="s">
        <v>74</v>
      </c>
      <c r="I129" t="s">
        <v>2883</v>
      </c>
      <c r="J129" t="s">
        <v>2884</v>
      </c>
      <c r="K129" t="s">
        <v>74</v>
      </c>
      <c r="L129" t="s">
        <v>74</v>
      </c>
      <c r="M129" t="s">
        <v>78</v>
      </c>
      <c r="N129" t="s">
        <v>79</v>
      </c>
      <c r="O129" t="s">
        <v>74</v>
      </c>
      <c r="P129" t="s">
        <v>74</v>
      </c>
      <c r="Q129" t="s">
        <v>74</v>
      </c>
      <c r="R129" t="s">
        <v>74</v>
      </c>
      <c r="S129" t="s">
        <v>74</v>
      </c>
      <c r="T129" t="s">
        <v>2885</v>
      </c>
      <c r="U129" t="s">
        <v>2886</v>
      </c>
      <c r="V129" t="s">
        <v>2887</v>
      </c>
      <c r="W129" t="s">
        <v>2888</v>
      </c>
      <c r="X129" t="s">
        <v>2889</v>
      </c>
      <c r="Y129" t="s">
        <v>2890</v>
      </c>
      <c r="Z129" t="s">
        <v>2891</v>
      </c>
      <c r="AA129" t="s">
        <v>2892</v>
      </c>
      <c r="AB129" t="s">
        <v>2893</v>
      </c>
      <c r="AC129" t="s">
        <v>2894</v>
      </c>
      <c r="AD129" t="s">
        <v>2895</v>
      </c>
      <c r="AE129" t="s">
        <v>2896</v>
      </c>
      <c r="AF129" t="s">
        <v>74</v>
      </c>
      <c r="AG129">
        <v>30</v>
      </c>
      <c r="AH129">
        <v>8</v>
      </c>
      <c r="AI129">
        <v>8</v>
      </c>
      <c r="AJ129">
        <v>0</v>
      </c>
      <c r="AK129">
        <v>5</v>
      </c>
      <c r="AL129" t="s">
        <v>2103</v>
      </c>
      <c r="AM129" t="s">
        <v>2104</v>
      </c>
      <c r="AN129" t="s">
        <v>2105</v>
      </c>
      <c r="AO129" t="s">
        <v>2897</v>
      </c>
      <c r="AP129" t="s">
        <v>2898</v>
      </c>
      <c r="AQ129" t="s">
        <v>74</v>
      </c>
      <c r="AR129" t="s">
        <v>2884</v>
      </c>
      <c r="AS129" t="s">
        <v>2899</v>
      </c>
      <c r="AT129" t="s">
        <v>74</v>
      </c>
      <c r="AU129">
        <v>2017</v>
      </c>
      <c r="AV129">
        <v>109</v>
      </c>
      <c r="AW129">
        <v>4</v>
      </c>
      <c r="AX129" t="s">
        <v>74</v>
      </c>
      <c r="AY129" t="s">
        <v>74</v>
      </c>
      <c r="AZ129" t="s">
        <v>74</v>
      </c>
      <c r="BA129" t="s">
        <v>74</v>
      </c>
      <c r="BB129">
        <v>601</v>
      </c>
      <c r="BC129">
        <v>607</v>
      </c>
      <c r="BD129" t="s">
        <v>74</v>
      </c>
      <c r="BE129" t="s">
        <v>2900</v>
      </c>
      <c r="BF129" t="str">
        <f>HYPERLINK("http://dx.doi.org/10.1080/00275514.2017.1398575","http://dx.doi.org/10.1080/00275514.2017.1398575")</f>
        <v>http://dx.doi.org/10.1080/00275514.2017.1398575</v>
      </c>
      <c r="BG129" t="s">
        <v>74</v>
      </c>
      <c r="BH129" t="s">
        <v>74</v>
      </c>
      <c r="BI129">
        <v>7</v>
      </c>
      <c r="BJ129" t="s">
        <v>2901</v>
      </c>
      <c r="BK129" t="s">
        <v>101</v>
      </c>
      <c r="BL129" t="s">
        <v>2901</v>
      </c>
      <c r="BM129" t="s">
        <v>2902</v>
      </c>
      <c r="BN129">
        <v>29200362</v>
      </c>
      <c r="BO129" t="s">
        <v>74</v>
      </c>
      <c r="BP129" t="s">
        <v>74</v>
      </c>
      <c r="BQ129" t="s">
        <v>74</v>
      </c>
      <c r="BR129" t="s">
        <v>105</v>
      </c>
      <c r="BS129" t="s">
        <v>2903</v>
      </c>
      <c r="BT129" t="str">
        <f>HYPERLINK("https%3A%2F%2Fwww.webofscience.com%2Fwos%2Fwoscc%2Ffull-record%2FWOS:000422932700006","View Full Record in Web of Science")</f>
        <v>View Full Record in Web of Science</v>
      </c>
    </row>
    <row r="130" spans="1:72" x14ac:dyDescent="0.15">
      <c r="A130" t="s">
        <v>72</v>
      </c>
      <c r="B130" t="s">
        <v>2904</v>
      </c>
      <c r="C130" t="s">
        <v>74</v>
      </c>
      <c r="D130" t="s">
        <v>74</v>
      </c>
      <c r="E130" t="s">
        <v>74</v>
      </c>
      <c r="F130" t="s">
        <v>2905</v>
      </c>
      <c r="G130" t="s">
        <v>74</v>
      </c>
      <c r="H130" t="s">
        <v>74</v>
      </c>
      <c r="I130" t="s">
        <v>2906</v>
      </c>
      <c r="J130" t="s">
        <v>2907</v>
      </c>
      <c r="K130" t="s">
        <v>74</v>
      </c>
      <c r="L130" t="s">
        <v>74</v>
      </c>
      <c r="M130" t="s">
        <v>78</v>
      </c>
      <c r="N130" t="s">
        <v>79</v>
      </c>
      <c r="O130" t="s">
        <v>74</v>
      </c>
      <c r="P130" t="s">
        <v>74</v>
      </c>
      <c r="Q130" t="s">
        <v>74</v>
      </c>
      <c r="R130" t="s">
        <v>74</v>
      </c>
      <c r="S130" t="s">
        <v>74</v>
      </c>
      <c r="T130" t="s">
        <v>2908</v>
      </c>
      <c r="U130" t="s">
        <v>2909</v>
      </c>
      <c r="V130" t="s">
        <v>2910</v>
      </c>
      <c r="W130" t="s">
        <v>2911</v>
      </c>
      <c r="X130" t="s">
        <v>2912</v>
      </c>
      <c r="Y130" t="s">
        <v>74</v>
      </c>
      <c r="Z130" t="s">
        <v>2913</v>
      </c>
      <c r="AA130" t="s">
        <v>2914</v>
      </c>
      <c r="AB130" t="s">
        <v>2915</v>
      </c>
      <c r="AC130" t="s">
        <v>2916</v>
      </c>
      <c r="AD130" t="s">
        <v>2917</v>
      </c>
      <c r="AE130" t="s">
        <v>2918</v>
      </c>
      <c r="AF130" t="s">
        <v>74</v>
      </c>
      <c r="AG130">
        <v>15</v>
      </c>
      <c r="AH130">
        <v>26</v>
      </c>
      <c r="AI130">
        <v>29</v>
      </c>
      <c r="AJ130">
        <v>0</v>
      </c>
      <c r="AK130">
        <v>44</v>
      </c>
      <c r="AL130" t="s">
        <v>1967</v>
      </c>
      <c r="AM130" t="s">
        <v>1910</v>
      </c>
      <c r="AN130" t="s">
        <v>1968</v>
      </c>
      <c r="AO130" t="s">
        <v>2919</v>
      </c>
      <c r="AP130" t="s">
        <v>2920</v>
      </c>
      <c r="AQ130" t="s">
        <v>74</v>
      </c>
      <c r="AR130" t="s">
        <v>2921</v>
      </c>
      <c r="AS130" t="s">
        <v>2922</v>
      </c>
      <c r="AT130" t="s">
        <v>74</v>
      </c>
      <c r="AU130">
        <v>2017</v>
      </c>
      <c r="AV130">
        <v>31</v>
      </c>
      <c r="AW130">
        <v>4</v>
      </c>
      <c r="AX130" t="s">
        <v>74</v>
      </c>
      <c r="AY130" t="s">
        <v>74</v>
      </c>
      <c r="AZ130" t="s">
        <v>74</v>
      </c>
      <c r="BA130" t="s">
        <v>74</v>
      </c>
      <c r="BB130">
        <v>473</v>
      </c>
      <c r="BC130">
        <v>476</v>
      </c>
      <c r="BD130" t="s">
        <v>74</v>
      </c>
      <c r="BE130" t="s">
        <v>2923</v>
      </c>
      <c r="BF130" t="str">
        <f>HYPERLINK("http://dx.doi.org/10.1080/14786419.2016.1185717","http://dx.doi.org/10.1080/14786419.2016.1185717")</f>
        <v>http://dx.doi.org/10.1080/14786419.2016.1185717</v>
      </c>
      <c r="BG130" t="s">
        <v>74</v>
      </c>
      <c r="BH130" t="s">
        <v>74</v>
      </c>
      <c r="BI130">
        <v>4</v>
      </c>
      <c r="BJ130" t="s">
        <v>2924</v>
      </c>
      <c r="BK130" t="s">
        <v>101</v>
      </c>
      <c r="BL130" t="s">
        <v>2925</v>
      </c>
      <c r="BM130" t="s">
        <v>2926</v>
      </c>
      <c r="BN130">
        <v>27198920</v>
      </c>
      <c r="BO130" t="s">
        <v>74</v>
      </c>
      <c r="BP130" t="s">
        <v>74</v>
      </c>
      <c r="BQ130" t="s">
        <v>74</v>
      </c>
      <c r="BR130" t="s">
        <v>105</v>
      </c>
      <c r="BS130" t="s">
        <v>2927</v>
      </c>
      <c r="BT130" t="str">
        <f>HYPERLINK("https%3A%2F%2Fwww.webofscience.com%2Fwos%2Fwoscc%2Ffull-record%2FWOS:000392626400015","View Full Record in Web of Science")</f>
        <v>View Full Record in Web of Science</v>
      </c>
    </row>
    <row r="131" spans="1:72" x14ac:dyDescent="0.15">
      <c r="A131" t="s">
        <v>72</v>
      </c>
      <c r="B131" t="s">
        <v>2928</v>
      </c>
      <c r="C131" t="s">
        <v>74</v>
      </c>
      <c r="D131" t="s">
        <v>74</v>
      </c>
      <c r="E131" t="s">
        <v>74</v>
      </c>
      <c r="F131" t="s">
        <v>2929</v>
      </c>
      <c r="G131" t="s">
        <v>74</v>
      </c>
      <c r="H131" t="s">
        <v>74</v>
      </c>
      <c r="I131" t="s">
        <v>2930</v>
      </c>
      <c r="J131" t="s">
        <v>2907</v>
      </c>
      <c r="K131" t="s">
        <v>74</v>
      </c>
      <c r="L131" t="s">
        <v>74</v>
      </c>
      <c r="M131" t="s">
        <v>78</v>
      </c>
      <c r="N131" t="s">
        <v>79</v>
      </c>
      <c r="O131" t="s">
        <v>74</v>
      </c>
      <c r="P131" t="s">
        <v>74</v>
      </c>
      <c r="Q131" t="s">
        <v>74</v>
      </c>
      <c r="R131" t="s">
        <v>74</v>
      </c>
      <c r="S131" t="s">
        <v>74</v>
      </c>
      <c r="T131" t="s">
        <v>2931</v>
      </c>
      <c r="U131" t="s">
        <v>2932</v>
      </c>
      <c r="V131" t="s">
        <v>2933</v>
      </c>
      <c r="W131" t="s">
        <v>2934</v>
      </c>
      <c r="X131" t="s">
        <v>2935</v>
      </c>
      <c r="Y131" t="s">
        <v>2936</v>
      </c>
      <c r="Z131" t="s">
        <v>2937</v>
      </c>
      <c r="AA131" t="s">
        <v>74</v>
      </c>
      <c r="AB131" t="s">
        <v>2938</v>
      </c>
      <c r="AC131" t="s">
        <v>2939</v>
      </c>
      <c r="AD131" t="s">
        <v>2940</v>
      </c>
      <c r="AE131" t="s">
        <v>2941</v>
      </c>
      <c r="AF131" t="s">
        <v>74</v>
      </c>
      <c r="AG131">
        <v>14</v>
      </c>
      <c r="AH131">
        <v>4</v>
      </c>
      <c r="AI131">
        <v>4</v>
      </c>
      <c r="AJ131">
        <v>2</v>
      </c>
      <c r="AK131">
        <v>23</v>
      </c>
      <c r="AL131" t="s">
        <v>1967</v>
      </c>
      <c r="AM131" t="s">
        <v>1910</v>
      </c>
      <c r="AN131" t="s">
        <v>1968</v>
      </c>
      <c r="AO131" t="s">
        <v>2919</v>
      </c>
      <c r="AP131" t="s">
        <v>2920</v>
      </c>
      <c r="AQ131" t="s">
        <v>74</v>
      </c>
      <c r="AR131" t="s">
        <v>2921</v>
      </c>
      <c r="AS131" t="s">
        <v>2922</v>
      </c>
      <c r="AT131" t="s">
        <v>74</v>
      </c>
      <c r="AU131">
        <v>2017</v>
      </c>
      <c r="AV131">
        <v>31</v>
      </c>
      <c r="AW131">
        <v>18</v>
      </c>
      <c r="AX131" t="s">
        <v>74</v>
      </c>
      <c r="AY131" t="s">
        <v>74</v>
      </c>
      <c r="AZ131" t="s">
        <v>74</v>
      </c>
      <c r="BA131" t="s">
        <v>74</v>
      </c>
      <c r="BB131">
        <v>2153</v>
      </c>
      <c r="BC131">
        <v>2157</v>
      </c>
      <c r="BD131" t="s">
        <v>74</v>
      </c>
      <c r="BE131" t="s">
        <v>2942</v>
      </c>
      <c r="BF131" t="str">
        <f>HYPERLINK("http://dx.doi.org/10.1080/14786419.2016.1274896","http://dx.doi.org/10.1080/14786419.2016.1274896")</f>
        <v>http://dx.doi.org/10.1080/14786419.2016.1274896</v>
      </c>
      <c r="BG131" t="s">
        <v>74</v>
      </c>
      <c r="BH131" t="s">
        <v>74</v>
      </c>
      <c r="BI131">
        <v>5</v>
      </c>
      <c r="BJ131" t="s">
        <v>2924</v>
      </c>
      <c r="BK131" t="s">
        <v>101</v>
      </c>
      <c r="BL131" t="s">
        <v>2925</v>
      </c>
      <c r="BM131" t="s">
        <v>2943</v>
      </c>
      <c r="BN131">
        <v>28044456</v>
      </c>
      <c r="BO131" t="s">
        <v>74</v>
      </c>
      <c r="BP131" t="s">
        <v>74</v>
      </c>
      <c r="BQ131" t="s">
        <v>74</v>
      </c>
      <c r="BR131" t="s">
        <v>105</v>
      </c>
      <c r="BS131" t="s">
        <v>2944</v>
      </c>
      <c r="BT131" t="str">
        <f>HYPERLINK("https%3A%2F%2Fwww.webofscience.com%2Fwos%2Fwoscc%2Ffull-record%2FWOS:000407173800011","View Full Record in Web of Science")</f>
        <v>View Full Record in Web of Science</v>
      </c>
    </row>
    <row r="132" spans="1:72" x14ac:dyDescent="0.15">
      <c r="A132" t="s">
        <v>72</v>
      </c>
      <c r="B132" t="s">
        <v>2945</v>
      </c>
      <c r="C132" t="s">
        <v>74</v>
      </c>
      <c r="D132" t="s">
        <v>74</v>
      </c>
      <c r="E132" t="s">
        <v>74</v>
      </c>
      <c r="F132" t="s">
        <v>2946</v>
      </c>
      <c r="G132" t="s">
        <v>74</v>
      </c>
      <c r="H132" t="s">
        <v>74</v>
      </c>
      <c r="I132" t="s">
        <v>2947</v>
      </c>
      <c r="J132" t="s">
        <v>2948</v>
      </c>
      <c r="K132" t="s">
        <v>74</v>
      </c>
      <c r="L132" t="s">
        <v>74</v>
      </c>
      <c r="M132" t="s">
        <v>78</v>
      </c>
      <c r="N132" t="s">
        <v>79</v>
      </c>
      <c r="O132" t="s">
        <v>74</v>
      </c>
      <c r="P132" t="s">
        <v>74</v>
      </c>
      <c r="Q132" t="s">
        <v>74</v>
      </c>
      <c r="R132" t="s">
        <v>74</v>
      </c>
      <c r="S132" t="s">
        <v>74</v>
      </c>
      <c r="T132" t="s">
        <v>74</v>
      </c>
      <c r="U132" t="s">
        <v>2949</v>
      </c>
      <c r="V132" t="s">
        <v>2950</v>
      </c>
      <c r="W132" t="s">
        <v>2951</v>
      </c>
      <c r="X132" t="s">
        <v>2952</v>
      </c>
      <c r="Y132" t="s">
        <v>2953</v>
      </c>
      <c r="Z132" t="s">
        <v>2954</v>
      </c>
      <c r="AA132" t="s">
        <v>2955</v>
      </c>
      <c r="AB132" t="s">
        <v>2956</v>
      </c>
      <c r="AC132" t="s">
        <v>74</v>
      </c>
      <c r="AD132" t="s">
        <v>74</v>
      </c>
      <c r="AE132" t="s">
        <v>74</v>
      </c>
      <c r="AF132" t="s">
        <v>74</v>
      </c>
      <c r="AG132">
        <v>36</v>
      </c>
      <c r="AH132">
        <v>59</v>
      </c>
      <c r="AI132">
        <v>72</v>
      </c>
      <c r="AJ132">
        <v>3</v>
      </c>
      <c r="AK132">
        <v>34</v>
      </c>
      <c r="AL132" t="s">
        <v>582</v>
      </c>
      <c r="AM132" t="s">
        <v>583</v>
      </c>
      <c r="AN132" t="s">
        <v>584</v>
      </c>
      <c r="AO132" t="s">
        <v>2957</v>
      </c>
      <c r="AP132" t="s">
        <v>74</v>
      </c>
      <c r="AQ132" t="s">
        <v>74</v>
      </c>
      <c r="AR132" t="s">
        <v>2958</v>
      </c>
      <c r="AS132" t="s">
        <v>2959</v>
      </c>
      <c r="AT132" t="s">
        <v>2136</v>
      </c>
      <c r="AU132">
        <v>2017</v>
      </c>
      <c r="AV132">
        <v>1</v>
      </c>
      <c r="AW132">
        <v>1</v>
      </c>
      <c r="AX132" t="s">
        <v>74</v>
      </c>
      <c r="AY132" t="s">
        <v>74</v>
      </c>
      <c r="AZ132" t="s">
        <v>74</v>
      </c>
      <c r="BA132" t="s">
        <v>74</v>
      </c>
      <c r="BB132" t="s">
        <v>74</v>
      </c>
      <c r="BC132" t="s">
        <v>74</v>
      </c>
      <c r="BD132">
        <v>1</v>
      </c>
      <c r="BE132" t="s">
        <v>2960</v>
      </c>
      <c r="BF132" t="str">
        <f>HYPERLINK("http://dx.doi.org/10.1038/s41550-016-0001","http://dx.doi.org/10.1038/s41550-016-0001")</f>
        <v>http://dx.doi.org/10.1038/s41550-016-0001</v>
      </c>
      <c r="BG132" t="s">
        <v>74</v>
      </c>
      <c r="BH132" t="s">
        <v>74</v>
      </c>
      <c r="BI132">
        <v>1</v>
      </c>
      <c r="BJ132" t="s">
        <v>2635</v>
      </c>
      <c r="BK132" t="s">
        <v>101</v>
      </c>
      <c r="BL132" t="s">
        <v>2635</v>
      </c>
      <c r="BM132" t="s">
        <v>2961</v>
      </c>
      <c r="BN132" t="s">
        <v>74</v>
      </c>
      <c r="BO132" t="s">
        <v>378</v>
      </c>
      <c r="BP132" t="s">
        <v>74</v>
      </c>
      <c r="BQ132" t="s">
        <v>74</v>
      </c>
      <c r="BR132" t="s">
        <v>105</v>
      </c>
      <c r="BS132" t="s">
        <v>2962</v>
      </c>
      <c r="BT132" t="str">
        <f>HYPERLINK("https%3A%2F%2Fwww.webofscience.com%2Fwos%2Fwoscc%2Ffull-record%2FWOS:000406527100001","View Full Record in Web of Science")</f>
        <v>View Full Record in Web of Science</v>
      </c>
    </row>
    <row r="133" spans="1:72" x14ac:dyDescent="0.15">
      <c r="A133" t="s">
        <v>72</v>
      </c>
      <c r="B133" t="s">
        <v>2963</v>
      </c>
      <c r="C133" t="s">
        <v>74</v>
      </c>
      <c r="D133" t="s">
        <v>74</v>
      </c>
      <c r="E133" t="s">
        <v>74</v>
      </c>
      <c r="F133" t="s">
        <v>2964</v>
      </c>
      <c r="G133" t="s">
        <v>74</v>
      </c>
      <c r="H133" t="s">
        <v>74</v>
      </c>
      <c r="I133" t="s">
        <v>2965</v>
      </c>
      <c r="J133" t="s">
        <v>2966</v>
      </c>
      <c r="K133" t="s">
        <v>74</v>
      </c>
      <c r="L133" t="s">
        <v>74</v>
      </c>
      <c r="M133" t="s">
        <v>78</v>
      </c>
      <c r="N133" t="s">
        <v>79</v>
      </c>
      <c r="O133" t="s">
        <v>74</v>
      </c>
      <c r="P133" t="s">
        <v>74</v>
      </c>
      <c r="Q133" t="s">
        <v>74</v>
      </c>
      <c r="R133" t="s">
        <v>74</v>
      </c>
      <c r="S133" t="s">
        <v>74</v>
      </c>
      <c r="T133" t="s">
        <v>74</v>
      </c>
      <c r="U133" t="s">
        <v>2967</v>
      </c>
      <c r="V133" t="s">
        <v>2968</v>
      </c>
      <c r="W133" t="s">
        <v>2969</v>
      </c>
      <c r="X133" t="s">
        <v>2970</v>
      </c>
      <c r="Y133" t="s">
        <v>2971</v>
      </c>
      <c r="Z133" t="s">
        <v>2972</v>
      </c>
      <c r="AA133" t="s">
        <v>2973</v>
      </c>
      <c r="AB133" t="s">
        <v>2974</v>
      </c>
      <c r="AC133" t="s">
        <v>2975</v>
      </c>
      <c r="AD133" t="s">
        <v>2976</v>
      </c>
      <c r="AE133" t="s">
        <v>2977</v>
      </c>
      <c r="AF133" t="s">
        <v>74</v>
      </c>
      <c r="AG133">
        <v>34</v>
      </c>
      <c r="AH133">
        <v>135</v>
      </c>
      <c r="AI133">
        <v>154</v>
      </c>
      <c r="AJ133">
        <v>8</v>
      </c>
      <c r="AK133">
        <v>84</v>
      </c>
      <c r="AL133" t="s">
        <v>186</v>
      </c>
      <c r="AM133" t="s">
        <v>93</v>
      </c>
      <c r="AN133" t="s">
        <v>1675</v>
      </c>
      <c r="AO133" t="s">
        <v>2978</v>
      </c>
      <c r="AP133" t="s">
        <v>2979</v>
      </c>
      <c r="AQ133" t="s">
        <v>74</v>
      </c>
      <c r="AR133" t="s">
        <v>2980</v>
      </c>
      <c r="AS133" t="s">
        <v>2981</v>
      </c>
      <c r="AT133" t="s">
        <v>2136</v>
      </c>
      <c r="AU133">
        <v>2017</v>
      </c>
      <c r="AV133">
        <v>7</v>
      </c>
      <c r="AW133">
        <v>1</v>
      </c>
      <c r="AX133" t="s">
        <v>74</v>
      </c>
      <c r="AY133" t="s">
        <v>74</v>
      </c>
      <c r="AZ133" t="s">
        <v>74</v>
      </c>
      <c r="BA133" t="s">
        <v>74</v>
      </c>
      <c r="BB133">
        <v>58</v>
      </c>
      <c r="BC133" t="s">
        <v>1676</v>
      </c>
      <c r="BD133" t="s">
        <v>74</v>
      </c>
      <c r="BE133" t="s">
        <v>2982</v>
      </c>
      <c r="BF133" t="str">
        <f>HYPERLINK("http://dx.doi.org/10.1038/NCLIMATE3180","http://dx.doi.org/10.1038/NCLIMATE3180")</f>
        <v>http://dx.doi.org/10.1038/NCLIMATE3180</v>
      </c>
      <c r="BG133" t="s">
        <v>74</v>
      </c>
      <c r="BH133" t="s">
        <v>74</v>
      </c>
      <c r="BI133">
        <v>6</v>
      </c>
      <c r="BJ133" t="s">
        <v>2983</v>
      </c>
      <c r="BK133" t="s">
        <v>245</v>
      </c>
      <c r="BL133" t="s">
        <v>982</v>
      </c>
      <c r="BM133" t="s">
        <v>2984</v>
      </c>
      <c r="BN133" t="s">
        <v>74</v>
      </c>
      <c r="BO133" t="s">
        <v>506</v>
      </c>
      <c r="BP133" t="s">
        <v>74</v>
      </c>
      <c r="BQ133" t="s">
        <v>74</v>
      </c>
      <c r="BR133" t="s">
        <v>105</v>
      </c>
      <c r="BS133" t="s">
        <v>2985</v>
      </c>
      <c r="BT133" t="str">
        <f>HYPERLINK("https%3A%2F%2Fwww.webofscience.com%2Fwos%2Fwoscc%2Ffull-record%2FWOS:000396346700016","View Full Record in Web of Science")</f>
        <v>View Full Record in Web of Science</v>
      </c>
    </row>
    <row r="134" spans="1:72" x14ac:dyDescent="0.15">
      <c r="A134" t="s">
        <v>72</v>
      </c>
      <c r="B134" t="s">
        <v>2986</v>
      </c>
      <c r="C134" t="s">
        <v>74</v>
      </c>
      <c r="D134" t="s">
        <v>74</v>
      </c>
      <c r="E134" t="s">
        <v>74</v>
      </c>
      <c r="F134" t="s">
        <v>2987</v>
      </c>
      <c r="G134" t="s">
        <v>74</v>
      </c>
      <c r="H134" t="s">
        <v>74</v>
      </c>
      <c r="I134" t="s">
        <v>2988</v>
      </c>
      <c r="J134" t="s">
        <v>2989</v>
      </c>
      <c r="K134" t="s">
        <v>74</v>
      </c>
      <c r="L134" t="s">
        <v>74</v>
      </c>
      <c r="M134" t="s">
        <v>78</v>
      </c>
      <c r="N134" t="s">
        <v>79</v>
      </c>
      <c r="O134" t="s">
        <v>74</v>
      </c>
      <c r="P134" t="s">
        <v>74</v>
      </c>
      <c r="Q134" t="s">
        <v>74</v>
      </c>
      <c r="R134" t="s">
        <v>74</v>
      </c>
      <c r="S134" t="s">
        <v>74</v>
      </c>
      <c r="T134" t="s">
        <v>74</v>
      </c>
      <c r="U134" t="s">
        <v>2990</v>
      </c>
      <c r="V134" t="s">
        <v>2991</v>
      </c>
      <c r="W134" t="s">
        <v>2992</v>
      </c>
      <c r="X134" t="s">
        <v>2993</v>
      </c>
      <c r="Y134" t="s">
        <v>2994</v>
      </c>
      <c r="Z134" t="s">
        <v>2995</v>
      </c>
      <c r="AA134" t="s">
        <v>2996</v>
      </c>
      <c r="AB134" t="s">
        <v>2997</v>
      </c>
      <c r="AC134" t="s">
        <v>2998</v>
      </c>
      <c r="AD134" t="s">
        <v>2999</v>
      </c>
      <c r="AE134" t="s">
        <v>3000</v>
      </c>
      <c r="AF134" t="s">
        <v>74</v>
      </c>
      <c r="AG134">
        <v>30</v>
      </c>
      <c r="AH134">
        <v>87</v>
      </c>
      <c r="AI134">
        <v>90</v>
      </c>
      <c r="AJ134">
        <v>1</v>
      </c>
      <c r="AK134">
        <v>70</v>
      </c>
      <c r="AL134" t="s">
        <v>186</v>
      </c>
      <c r="AM134" t="s">
        <v>187</v>
      </c>
      <c r="AN134" t="s">
        <v>188</v>
      </c>
      <c r="AO134" t="s">
        <v>3001</v>
      </c>
      <c r="AP134" t="s">
        <v>3002</v>
      </c>
      <c r="AQ134" t="s">
        <v>74</v>
      </c>
      <c r="AR134" t="s">
        <v>3003</v>
      </c>
      <c r="AS134" t="s">
        <v>3004</v>
      </c>
      <c r="AT134" t="s">
        <v>2136</v>
      </c>
      <c r="AU134">
        <v>2017</v>
      </c>
      <c r="AV134">
        <v>10</v>
      </c>
      <c r="AW134">
        <v>1</v>
      </c>
      <c r="AX134" t="s">
        <v>74</v>
      </c>
      <c r="AY134" t="s">
        <v>74</v>
      </c>
      <c r="AZ134" t="s">
        <v>74</v>
      </c>
      <c r="BA134" t="s">
        <v>74</v>
      </c>
      <c r="BB134">
        <v>36</v>
      </c>
      <c r="BC134">
        <v>40</v>
      </c>
      <c r="BD134" t="s">
        <v>74</v>
      </c>
      <c r="BE134" t="s">
        <v>3005</v>
      </c>
      <c r="BF134" t="str">
        <f>HYPERLINK("http://dx.doi.org/10.1038/NGEO2848","http://dx.doi.org/10.1038/NGEO2848")</f>
        <v>http://dx.doi.org/10.1038/NGEO2848</v>
      </c>
      <c r="BG134" t="s">
        <v>74</v>
      </c>
      <c r="BH134" t="s">
        <v>74</v>
      </c>
      <c r="BI134">
        <v>5</v>
      </c>
      <c r="BJ134" t="s">
        <v>669</v>
      </c>
      <c r="BK134" t="s">
        <v>101</v>
      </c>
      <c r="BL134" t="s">
        <v>670</v>
      </c>
      <c r="BM134" t="s">
        <v>3006</v>
      </c>
      <c r="BN134" t="s">
        <v>74</v>
      </c>
      <c r="BO134" t="s">
        <v>74</v>
      </c>
      <c r="BP134" t="s">
        <v>74</v>
      </c>
      <c r="BQ134" t="s">
        <v>74</v>
      </c>
      <c r="BR134" t="s">
        <v>105</v>
      </c>
      <c r="BS134" t="s">
        <v>3007</v>
      </c>
      <c r="BT134" t="str">
        <f>HYPERLINK("https%3A%2F%2Fwww.webofscience.com%2Fwos%2Fwoscc%2Ffull-record%2FWOS:000394117300011","View Full Record in Web of Science")</f>
        <v>View Full Record in Web of Science</v>
      </c>
    </row>
    <row r="135" spans="1:72" x14ac:dyDescent="0.15">
      <c r="A135" t="s">
        <v>72</v>
      </c>
      <c r="B135" t="s">
        <v>3008</v>
      </c>
      <c r="C135" t="s">
        <v>74</v>
      </c>
      <c r="D135" t="s">
        <v>74</v>
      </c>
      <c r="E135" t="s">
        <v>74</v>
      </c>
      <c r="F135" t="s">
        <v>3009</v>
      </c>
      <c r="G135" t="s">
        <v>74</v>
      </c>
      <c r="H135" t="s">
        <v>3010</v>
      </c>
      <c r="I135" t="s">
        <v>3011</v>
      </c>
      <c r="J135" t="s">
        <v>3012</v>
      </c>
      <c r="K135" t="s">
        <v>74</v>
      </c>
      <c r="L135" t="s">
        <v>74</v>
      </c>
      <c r="M135" t="s">
        <v>78</v>
      </c>
      <c r="N135" t="s">
        <v>79</v>
      </c>
      <c r="O135" t="s">
        <v>74</v>
      </c>
      <c r="P135" t="s">
        <v>74</v>
      </c>
      <c r="Q135" t="s">
        <v>74</v>
      </c>
      <c r="R135" t="s">
        <v>74</v>
      </c>
      <c r="S135" t="s">
        <v>74</v>
      </c>
      <c r="T135" t="s">
        <v>3013</v>
      </c>
      <c r="U135" t="s">
        <v>3014</v>
      </c>
      <c r="V135" t="s">
        <v>3015</v>
      </c>
      <c r="W135" t="s">
        <v>3016</v>
      </c>
      <c r="X135" t="s">
        <v>3017</v>
      </c>
      <c r="Y135" t="s">
        <v>3018</v>
      </c>
      <c r="Z135" t="s">
        <v>3019</v>
      </c>
      <c r="AA135" t="s">
        <v>3020</v>
      </c>
      <c r="AB135" t="s">
        <v>3021</v>
      </c>
      <c r="AC135" t="s">
        <v>3022</v>
      </c>
      <c r="AD135" t="s">
        <v>3023</v>
      </c>
      <c r="AE135" t="s">
        <v>3024</v>
      </c>
      <c r="AF135" t="s">
        <v>74</v>
      </c>
      <c r="AG135">
        <v>56</v>
      </c>
      <c r="AH135">
        <v>22</v>
      </c>
      <c r="AI135">
        <v>22</v>
      </c>
      <c r="AJ135">
        <v>1</v>
      </c>
      <c r="AK135">
        <v>16</v>
      </c>
      <c r="AL135" t="s">
        <v>1967</v>
      </c>
      <c r="AM135" t="s">
        <v>1910</v>
      </c>
      <c r="AN135" t="s">
        <v>1968</v>
      </c>
      <c r="AO135" t="s">
        <v>3025</v>
      </c>
      <c r="AP135" t="s">
        <v>3026</v>
      </c>
      <c r="AQ135" t="s">
        <v>74</v>
      </c>
      <c r="AR135" t="s">
        <v>3027</v>
      </c>
      <c r="AS135" t="s">
        <v>3028</v>
      </c>
      <c r="AT135" t="s">
        <v>74</v>
      </c>
      <c r="AU135">
        <v>2017</v>
      </c>
      <c r="AV135">
        <v>60</v>
      </c>
      <c r="AW135">
        <v>4</v>
      </c>
      <c r="AX135" t="s">
        <v>74</v>
      </c>
      <c r="AY135" t="s">
        <v>74</v>
      </c>
      <c r="AZ135" t="s">
        <v>74</v>
      </c>
      <c r="BA135" t="s">
        <v>74</v>
      </c>
      <c r="BB135">
        <v>497</v>
      </c>
      <c r="BC135">
        <v>518</v>
      </c>
      <c r="BD135" t="s">
        <v>74</v>
      </c>
      <c r="BE135" t="s">
        <v>3029</v>
      </c>
      <c r="BF135" t="str">
        <f>HYPERLINK("http://dx.doi.org/10.1080/00288306.2017.1375533","http://dx.doi.org/10.1080/00288306.2017.1375533")</f>
        <v>http://dx.doi.org/10.1080/00288306.2017.1375533</v>
      </c>
      <c r="BG135" t="s">
        <v>74</v>
      </c>
      <c r="BH135" t="s">
        <v>74</v>
      </c>
      <c r="BI135">
        <v>22</v>
      </c>
      <c r="BJ135" t="s">
        <v>3030</v>
      </c>
      <c r="BK135" t="s">
        <v>101</v>
      </c>
      <c r="BL135" t="s">
        <v>670</v>
      </c>
      <c r="BM135" t="s">
        <v>3031</v>
      </c>
      <c r="BN135" t="s">
        <v>74</v>
      </c>
      <c r="BO135" t="s">
        <v>378</v>
      </c>
      <c r="BP135" t="s">
        <v>74</v>
      </c>
      <c r="BQ135" t="s">
        <v>74</v>
      </c>
      <c r="BR135" t="s">
        <v>105</v>
      </c>
      <c r="BS135" t="s">
        <v>3032</v>
      </c>
      <c r="BT135" t="str">
        <f>HYPERLINK("https%3A%2F%2Fwww.webofscience.com%2Fwos%2Fwoscc%2Ffull-record%2FWOS:000416802100014","View Full Record in Web of Science")</f>
        <v>View Full Record in Web of Science</v>
      </c>
    </row>
    <row r="136" spans="1:72" x14ac:dyDescent="0.15">
      <c r="A136" t="s">
        <v>1823</v>
      </c>
      <c r="B136" t="s">
        <v>3033</v>
      </c>
      <c r="C136" t="s">
        <v>74</v>
      </c>
      <c r="D136" t="s">
        <v>74</v>
      </c>
      <c r="E136" t="s">
        <v>1825</v>
      </c>
      <c r="F136" t="s">
        <v>3034</v>
      </c>
      <c r="G136" t="s">
        <v>74</v>
      </c>
      <c r="H136" t="s">
        <v>74</v>
      </c>
      <c r="I136" t="s">
        <v>3035</v>
      </c>
      <c r="J136" t="s">
        <v>3036</v>
      </c>
      <c r="K136" t="s">
        <v>3037</v>
      </c>
      <c r="L136" t="s">
        <v>74</v>
      </c>
      <c r="M136" t="s">
        <v>78</v>
      </c>
      <c r="N136" t="s">
        <v>1829</v>
      </c>
      <c r="O136" t="s">
        <v>3038</v>
      </c>
      <c r="P136" t="s">
        <v>3039</v>
      </c>
      <c r="Q136" t="s">
        <v>3040</v>
      </c>
      <c r="R136" t="s">
        <v>74</v>
      </c>
      <c r="S136" t="s">
        <v>74</v>
      </c>
      <c r="T136" t="s">
        <v>3041</v>
      </c>
      <c r="U136" t="s">
        <v>74</v>
      </c>
      <c r="V136" t="s">
        <v>3042</v>
      </c>
      <c r="W136" t="s">
        <v>3043</v>
      </c>
      <c r="X136" t="s">
        <v>3044</v>
      </c>
      <c r="Y136" t="s">
        <v>3045</v>
      </c>
      <c r="Z136" t="s">
        <v>3046</v>
      </c>
      <c r="AA136" t="s">
        <v>3047</v>
      </c>
      <c r="AB136" t="s">
        <v>3048</v>
      </c>
      <c r="AC136" t="s">
        <v>3049</v>
      </c>
      <c r="AD136" t="s">
        <v>3050</v>
      </c>
      <c r="AE136" t="s">
        <v>3051</v>
      </c>
      <c r="AF136" t="s">
        <v>74</v>
      </c>
      <c r="AG136">
        <v>8</v>
      </c>
      <c r="AH136">
        <v>4</v>
      </c>
      <c r="AI136">
        <v>4</v>
      </c>
      <c r="AJ136">
        <v>0</v>
      </c>
      <c r="AK136">
        <v>3</v>
      </c>
      <c r="AL136" t="s">
        <v>1825</v>
      </c>
      <c r="AM136" t="s">
        <v>187</v>
      </c>
      <c r="AN136" t="s">
        <v>1842</v>
      </c>
      <c r="AO136" t="s">
        <v>3052</v>
      </c>
      <c r="AP136" t="s">
        <v>74</v>
      </c>
      <c r="AQ136" t="s">
        <v>3053</v>
      </c>
      <c r="AR136" t="s">
        <v>3037</v>
      </c>
      <c r="AS136" t="s">
        <v>74</v>
      </c>
      <c r="AT136" t="s">
        <v>74</v>
      </c>
      <c r="AU136">
        <v>2017</v>
      </c>
      <c r="AV136" t="s">
        <v>74</v>
      </c>
      <c r="AW136" t="s">
        <v>74</v>
      </c>
      <c r="AX136" t="s">
        <v>74</v>
      </c>
      <c r="AY136" t="s">
        <v>74</v>
      </c>
      <c r="AZ136" t="s">
        <v>74</v>
      </c>
      <c r="BA136" t="s">
        <v>74</v>
      </c>
      <c r="BB136" t="s">
        <v>74</v>
      </c>
      <c r="BC136" t="s">
        <v>74</v>
      </c>
      <c r="BD136" t="s">
        <v>74</v>
      </c>
      <c r="BE136" t="s">
        <v>74</v>
      </c>
      <c r="BF136" t="s">
        <v>74</v>
      </c>
      <c r="BG136" t="s">
        <v>74</v>
      </c>
      <c r="BH136" t="s">
        <v>74</v>
      </c>
      <c r="BI136">
        <v>8</v>
      </c>
      <c r="BJ136" t="s">
        <v>3054</v>
      </c>
      <c r="BK136" t="s">
        <v>1844</v>
      </c>
      <c r="BL136" t="s">
        <v>3055</v>
      </c>
      <c r="BM136" t="s">
        <v>3056</v>
      </c>
      <c r="BN136" t="s">
        <v>74</v>
      </c>
      <c r="BO136" t="s">
        <v>74</v>
      </c>
      <c r="BP136" t="s">
        <v>74</v>
      </c>
      <c r="BQ136" t="s">
        <v>74</v>
      </c>
      <c r="BR136" t="s">
        <v>105</v>
      </c>
      <c r="BS136" t="s">
        <v>3057</v>
      </c>
      <c r="BT136" t="str">
        <f>HYPERLINK("https%3A%2F%2Fwww.webofscience.com%2Fwos%2Fwoscc%2Ffull-record%2FWOS:000426997000009","View Full Record in Web of Science")</f>
        <v>View Full Record in Web of Science</v>
      </c>
    </row>
    <row r="137" spans="1:72" x14ac:dyDescent="0.15">
      <c r="A137" t="s">
        <v>72</v>
      </c>
      <c r="B137" t="s">
        <v>3058</v>
      </c>
      <c r="C137" t="s">
        <v>74</v>
      </c>
      <c r="D137" t="s">
        <v>74</v>
      </c>
      <c r="E137" t="s">
        <v>74</v>
      </c>
      <c r="F137" t="s">
        <v>3059</v>
      </c>
      <c r="G137" t="s">
        <v>74</v>
      </c>
      <c r="H137" t="s">
        <v>74</v>
      </c>
      <c r="I137" t="s">
        <v>3060</v>
      </c>
      <c r="J137" t="s">
        <v>3061</v>
      </c>
      <c r="K137" t="s">
        <v>74</v>
      </c>
      <c r="L137" t="s">
        <v>74</v>
      </c>
      <c r="M137" t="s">
        <v>78</v>
      </c>
      <c r="N137" t="s">
        <v>79</v>
      </c>
      <c r="O137" t="s">
        <v>74</v>
      </c>
      <c r="P137" t="s">
        <v>74</v>
      </c>
      <c r="Q137" t="s">
        <v>74</v>
      </c>
      <c r="R137" t="s">
        <v>74</v>
      </c>
      <c r="S137" t="s">
        <v>74</v>
      </c>
      <c r="T137" t="s">
        <v>3062</v>
      </c>
      <c r="U137" t="s">
        <v>3063</v>
      </c>
      <c r="V137" t="s">
        <v>3064</v>
      </c>
      <c r="W137" t="s">
        <v>3065</v>
      </c>
      <c r="X137" t="s">
        <v>3066</v>
      </c>
      <c r="Y137" t="s">
        <v>3067</v>
      </c>
      <c r="Z137" t="s">
        <v>3068</v>
      </c>
      <c r="AA137" t="s">
        <v>74</v>
      </c>
      <c r="AB137" t="s">
        <v>3069</v>
      </c>
      <c r="AC137" t="s">
        <v>3070</v>
      </c>
      <c r="AD137" t="s">
        <v>3071</v>
      </c>
      <c r="AE137" t="s">
        <v>3072</v>
      </c>
      <c r="AF137" t="s">
        <v>74</v>
      </c>
      <c r="AG137">
        <v>81</v>
      </c>
      <c r="AH137">
        <v>20</v>
      </c>
      <c r="AI137">
        <v>24</v>
      </c>
      <c r="AJ137">
        <v>4</v>
      </c>
      <c r="AK137">
        <v>53</v>
      </c>
      <c r="AL137" t="s">
        <v>3073</v>
      </c>
      <c r="AM137" t="s">
        <v>3074</v>
      </c>
      <c r="AN137" t="s">
        <v>3075</v>
      </c>
      <c r="AO137" t="s">
        <v>3076</v>
      </c>
      <c r="AP137" t="s">
        <v>74</v>
      </c>
      <c r="AQ137" t="s">
        <v>74</v>
      </c>
      <c r="AR137" t="s">
        <v>3061</v>
      </c>
      <c r="AS137" t="s">
        <v>3077</v>
      </c>
      <c r="AT137" t="s">
        <v>74</v>
      </c>
      <c r="AU137">
        <v>2017</v>
      </c>
      <c r="AV137">
        <v>56</v>
      </c>
      <c r="AW137">
        <v>6</v>
      </c>
      <c r="AX137" t="s">
        <v>74</v>
      </c>
      <c r="AY137" t="s">
        <v>74</v>
      </c>
      <c r="AZ137" t="s">
        <v>74</v>
      </c>
      <c r="BA137" t="s">
        <v>74</v>
      </c>
      <c r="BB137">
        <v>638</v>
      </c>
      <c r="BC137">
        <v>648</v>
      </c>
      <c r="BD137" t="s">
        <v>74</v>
      </c>
      <c r="BE137" t="s">
        <v>3078</v>
      </c>
      <c r="BF137" t="str">
        <f>HYPERLINK("http://dx.doi.org/10.2216/16-120.1","http://dx.doi.org/10.2216/16-120.1")</f>
        <v>http://dx.doi.org/10.2216/16-120.1</v>
      </c>
      <c r="BG137" t="s">
        <v>74</v>
      </c>
      <c r="BH137" t="s">
        <v>74</v>
      </c>
      <c r="BI137">
        <v>11</v>
      </c>
      <c r="BJ137" t="s">
        <v>3079</v>
      </c>
      <c r="BK137" t="s">
        <v>101</v>
      </c>
      <c r="BL137" t="s">
        <v>3079</v>
      </c>
      <c r="BM137" t="s">
        <v>3080</v>
      </c>
      <c r="BN137" t="s">
        <v>74</v>
      </c>
      <c r="BO137" t="s">
        <v>74</v>
      </c>
      <c r="BP137" t="s">
        <v>74</v>
      </c>
      <c r="BQ137" t="s">
        <v>74</v>
      </c>
      <c r="BR137" t="s">
        <v>105</v>
      </c>
      <c r="BS137" t="s">
        <v>3081</v>
      </c>
      <c r="BT137" t="str">
        <f>HYPERLINK("https%3A%2F%2Fwww.webofscience.com%2Fwos%2Fwoscc%2Ffull-record%2FWOS:000414338600004","View Full Record in Web of Science")</f>
        <v>View Full Record in Web of Science</v>
      </c>
    </row>
    <row r="138" spans="1:72" x14ac:dyDescent="0.15">
      <c r="A138" t="s">
        <v>72</v>
      </c>
      <c r="B138" t="s">
        <v>3082</v>
      </c>
      <c r="C138" t="s">
        <v>74</v>
      </c>
      <c r="D138" t="s">
        <v>74</v>
      </c>
      <c r="E138" t="s">
        <v>74</v>
      </c>
      <c r="F138" t="s">
        <v>3083</v>
      </c>
      <c r="G138" t="s">
        <v>74</v>
      </c>
      <c r="H138" t="s">
        <v>74</v>
      </c>
      <c r="I138" t="s">
        <v>3084</v>
      </c>
      <c r="J138" t="s">
        <v>3085</v>
      </c>
      <c r="K138" t="s">
        <v>74</v>
      </c>
      <c r="L138" t="s">
        <v>74</v>
      </c>
      <c r="M138" t="s">
        <v>78</v>
      </c>
      <c r="N138" t="s">
        <v>79</v>
      </c>
      <c r="O138" t="s">
        <v>74</v>
      </c>
      <c r="P138" t="s">
        <v>74</v>
      </c>
      <c r="Q138" t="s">
        <v>74</v>
      </c>
      <c r="R138" t="s">
        <v>74</v>
      </c>
      <c r="S138" t="s">
        <v>74</v>
      </c>
      <c r="T138" t="s">
        <v>74</v>
      </c>
      <c r="U138" t="s">
        <v>3086</v>
      </c>
      <c r="V138" t="s">
        <v>3087</v>
      </c>
      <c r="W138" t="s">
        <v>3088</v>
      </c>
      <c r="X138" t="s">
        <v>3089</v>
      </c>
      <c r="Y138" t="s">
        <v>3090</v>
      </c>
      <c r="Z138" t="s">
        <v>3091</v>
      </c>
      <c r="AA138" t="s">
        <v>3092</v>
      </c>
      <c r="AB138" t="s">
        <v>3093</v>
      </c>
      <c r="AC138" t="s">
        <v>3094</v>
      </c>
      <c r="AD138" t="s">
        <v>3095</v>
      </c>
      <c r="AE138" t="s">
        <v>3096</v>
      </c>
      <c r="AF138" t="s">
        <v>74</v>
      </c>
      <c r="AG138">
        <v>57</v>
      </c>
      <c r="AH138">
        <v>6</v>
      </c>
      <c r="AI138">
        <v>6</v>
      </c>
      <c r="AJ138">
        <v>0</v>
      </c>
      <c r="AK138">
        <v>36</v>
      </c>
      <c r="AL138" t="s">
        <v>3097</v>
      </c>
      <c r="AM138" t="s">
        <v>187</v>
      </c>
      <c r="AN138" t="s">
        <v>3098</v>
      </c>
      <c r="AO138" t="s">
        <v>3099</v>
      </c>
      <c r="AP138" t="s">
        <v>3100</v>
      </c>
      <c r="AQ138" t="s">
        <v>74</v>
      </c>
      <c r="AR138" t="s">
        <v>3101</v>
      </c>
      <c r="AS138" t="s">
        <v>3102</v>
      </c>
      <c r="AT138" t="s">
        <v>2136</v>
      </c>
      <c r="AU138">
        <v>2017</v>
      </c>
      <c r="AV138">
        <v>53</v>
      </c>
      <c r="AW138">
        <v>1</v>
      </c>
      <c r="AX138" t="s">
        <v>74</v>
      </c>
      <c r="AY138" t="s">
        <v>74</v>
      </c>
      <c r="AZ138" t="s">
        <v>74</v>
      </c>
      <c r="BA138" t="s">
        <v>74</v>
      </c>
      <c r="BB138">
        <v>79</v>
      </c>
      <c r="BC138">
        <v>87</v>
      </c>
      <c r="BD138" t="s">
        <v>74</v>
      </c>
      <c r="BE138" t="s">
        <v>3103</v>
      </c>
      <c r="BF138" t="str">
        <f>HYPERLINK("http://dx.doi.org/10.1017/S0032247416000607","http://dx.doi.org/10.1017/S0032247416000607")</f>
        <v>http://dx.doi.org/10.1017/S0032247416000607</v>
      </c>
      <c r="BG138" t="s">
        <v>74</v>
      </c>
      <c r="BH138" t="s">
        <v>74</v>
      </c>
      <c r="BI138">
        <v>9</v>
      </c>
      <c r="BJ138" t="s">
        <v>3104</v>
      </c>
      <c r="BK138" t="s">
        <v>101</v>
      </c>
      <c r="BL138" t="s">
        <v>178</v>
      </c>
      <c r="BM138" t="s">
        <v>3105</v>
      </c>
      <c r="BN138" t="s">
        <v>74</v>
      </c>
      <c r="BO138" t="s">
        <v>74</v>
      </c>
      <c r="BP138" t="s">
        <v>74</v>
      </c>
      <c r="BQ138" t="s">
        <v>74</v>
      </c>
      <c r="BR138" t="s">
        <v>105</v>
      </c>
      <c r="BS138" t="s">
        <v>3106</v>
      </c>
      <c r="BT138" t="str">
        <f>HYPERLINK("https%3A%2F%2Fwww.webofscience.com%2Fwos%2Fwoscc%2Ffull-record%2FWOS:000394588900007","View Full Record in Web of Science")</f>
        <v>View Full Record in Web of Science</v>
      </c>
    </row>
    <row r="139" spans="1:72" x14ac:dyDescent="0.15">
      <c r="A139" t="s">
        <v>72</v>
      </c>
      <c r="B139" t="s">
        <v>3107</v>
      </c>
      <c r="C139" t="s">
        <v>74</v>
      </c>
      <c r="D139" t="s">
        <v>74</v>
      </c>
      <c r="E139" t="s">
        <v>74</v>
      </c>
      <c r="F139" t="s">
        <v>3108</v>
      </c>
      <c r="G139" t="s">
        <v>74</v>
      </c>
      <c r="H139" t="s">
        <v>74</v>
      </c>
      <c r="I139" t="s">
        <v>3109</v>
      </c>
      <c r="J139" t="s">
        <v>3110</v>
      </c>
      <c r="K139" t="s">
        <v>74</v>
      </c>
      <c r="L139" t="s">
        <v>74</v>
      </c>
      <c r="M139" t="s">
        <v>78</v>
      </c>
      <c r="N139" t="s">
        <v>2034</v>
      </c>
      <c r="O139" t="s">
        <v>74</v>
      </c>
      <c r="P139" t="s">
        <v>74</v>
      </c>
      <c r="Q139" t="s">
        <v>74</v>
      </c>
      <c r="R139" t="s">
        <v>74</v>
      </c>
      <c r="S139" t="s">
        <v>74</v>
      </c>
      <c r="T139" t="s">
        <v>3111</v>
      </c>
      <c r="U139" t="s">
        <v>3112</v>
      </c>
      <c r="V139" t="s">
        <v>3113</v>
      </c>
      <c r="W139" t="s">
        <v>3114</v>
      </c>
      <c r="X139" t="s">
        <v>3115</v>
      </c>
      <c r="Y139" t="s">
        <v>3116</v>
      </c>
      <c r="Z139" t="s">
        <v>3117</v>
      </c>
      <c r="AA139" t="s">
        <v>3118</v>
      </c>
      <c r="AB139" t="s">
        <v>3119</v>
      </c>
      <c r="AC139" t="s">
        <v>3120</v>
      </c>
      <c r="AD139" t="s">
        <v>3120</v>
      </c>
      <c r="AE139" t="s">
        <v>3121</v>
      </c>
      <c r="AF139" t="s">
        <v>74</v>
      </c>
      <c r="AG139">
        <v>52</v>
      </c>
      <c r="AH139">
        <v>20</v>
      </c>
      <c r="AI139">
        <v>20</v>
      </c>
      <c r="AJ139">
        <v>5</v>
      </c>
      <c r="AK139">
        <v>83</v>
      </c>
      <c r="AL139" t="s">
        <v>3122</v>
      </c>
      <c r="AM139" t="s">
        <v>3123</v>
      </c>
      <c r="AN139" t="s">
        <v>3124</v>
      </c>
      <c r="AO139" t="s">
        <v>3125</v>
      </c>
      <c r="AP139" t="s">
        <v>3126</v>
      </c>
      <c r="AQ139" t="s">
        <v>74</v>
      </c>
      <c r="AR139" t="s">
        <v>3127</v>
      </c>
      <c r="AS139" t="s">
        <v>3128</v>
      </c>
      <c r="AT139" t="s">
        <v>74</v>
      </c>
      <c r="AU139">
        <v>2017</v>
      </c>
      <c r="AV139">
        <v>24</v>
      </c>
      <c r="AW139">
        <v>2</v>
      </c>
      <c r="AX139" t="s">
        <v>74</v>
      </c>
      <c r="AY139" t="s">
        <v>74</v>
      </c>
      <c r="AZ139" t="s">
        <v>74</v>
      </c>
      <c r="BA139" t="s">
        <v>74</v>
      </c>
      <c r="BB139">
        <v>118</v>
      </c>
      <c r="BC139">
        <v>125</v>
      </c>
      <c r="BD139" t="s">
        <v>74</v>
      </c>
      <c r="BE139" t="s">
        <v>3129</v>
      </c>
      <c r="BF139" t="str">
        <f>HYPERLINK("http://dx.doi.org/10.2174/0929866523666160802160222","http://dx.doi.org/10.2174/0929866523666160802160222")</f>
        <v>http://dx.doi.org/10.2174/0929866523666160802160222</v>
      </c>
      <c r="BG139" t="s">
        <v>74</v>
      </c>
      <c r="BH139" t="s">
        <v>74</v>
      </c>
      <c r="BI139">
        <v>8</v>
      </c>
      <c r="BJ139" t="s">
        <v>1107</v>
      </c>
      <c r="BK139" t="s">
        <v>101</v>
      </c>
      <c r="BL139" t="s">
        <v>1107</v>
      </c>
      <c r="BM139" t="s">
        <v>3130</v>
      </c>
      <c r="BN139">
        <v>27491380</v>
      </c>
      <c r="BO139" t="s">
        <v>74</v>
      </c>
      <c r="BP139" t="s">
        <v>74</v>
      </c>
      <c r="BQ139" t="s">
        <v>74</v>
      </c>
      <c r="BR139" t="s">
        <v>105</v>
      </c>
      <c r="BS139" t="s">
        <v>3131</v>
      </c>
      <c r="BT139" t="str">
        <f>HYPERLINK("https%3A%2F%2Fwww.webofscience.com%2Fwos%2Fwoscc%2Ffull-record%2FWOS:000397248500005","View Full Record in Web of Science")</f>
        <v>View Full Record in Web of Science</v>
      </c>
    </row>
    <row r="140" spans="1:72" x14ac:dyDescent="0.15">
      <c r="A140" t="s">
        <v>72</v>
      </c>
      <c r="B140" t="s">
        <v>3132</v>
      </c>
      <c r="C140" t="s">
        <v>74</v>
      </c>
      <c r="D140" t="s">
        <v>74</v>
      </c>
      <c r="E140" t="s">
        <v>74</v>
      </c>
      <c r="F140" t="s">
        <v>3133</v>
      </c>
      <c r="G140" t="s">
        <v>74</v>
      </c>
      <c r="H140" t="s">
        <v>74</v>
      </c>
      <c r="I140" t="s">
        <v>3134</v>
      </c>
      <c r="J140" t="s">
        <v>3135</v>
      </c>
      <c r="K140" t="s">
        <v>74</v>
      </c>
      <c r="L140" t="s">
        <v>74</v>
      </c>
      <c r="M140" t="s">
        <v>78</v>
      </c>
      <c r="N140" t="s">
        <v>79</v>
      </c>
      <c r="O140" t="s">
        <v>74</v>
      </c>
      <c r="P140" t="s">
        <v>74</v>
      </c>
      <c r="Q140" t="s">
        <v>74</v>
      </c>
      <c r="R140" t="s">
        <v>74</v>
      </c>
      <c r="S140" t="s">
        <v>74</v>
      </c>
      <c r="T140" t="s">
        <v>3136</v>
      </c>
      <c r="U140" t="s">
        <v>3137</v>
      </c>
      <c r="V140" t="s">
        <v>3138</v>
      </c>
      <c r="W140" t="s">
        <v>3139</v>
      </c>
      <c r="X140" t="s">
        <v>2805</v>
      </c>
      <c r="Y140" t="s">
        <v>3140</v>
      </c>
      <c r="Z140" t="s">
        <v>3141</v>
      </c>
      <c r="AA140" t="s">
        <v>3142</v>
      </c>
      <c r="AB140" t="s">
        <v>3143</v>
      </c>
      <c r="AC140" t="s">
        <v>3144</v>
      </c>
      <c r="AD140" t="s">
        <v>3145</v>
      </c>
      <c r="AE140" t="s">
        <v>3146</v>
      </c>
      <c r="AF140" t="s">
        <v>74</v>
      </c>
      <c r="AG140">
        <v>42</v>
      </c>
      <c r="AH140">
        <v>32</v>
      </c>
      <c r="AI140">
        <v>37</v>
      </c>
      <c r="AJ140">
        <v>2</v>
      </c>
      <c r="AK140">
        <v>58</v>
      </c>
      <c r="AL140" t="s">
        <v>2377</v>
      </c>
      <c r="AM140" t="s">
        <v>2378</v>
      </c>
      <c r="AN140" t="s">
        <v>2379</v>
      </c>
      <c r="AO140" t="s">
        <v>3147</v>
      </c>
      <c r="AP140" t="s">
        <v>3148</v>
      </c>
      <c r="AQ140" t="s">
        <v>74</v>
      </c>
      <c r="AR140" t="s">
        <v>3149</v>
      </c>
      <c r="AS140" t="s">
        <v>3150</v>
      </c>
      <c r="AT140" t="s">
        <v>2136</v>
      </c>
      <c r="AU140">
        <v>2017</v>
      </c>
      <c r="AV140">
        <v>25</v>
      </c>
      <c r="AW140">
        <v>1</v>
      </c>
      <c r="AX140" t="s">
        <v>74</v>
      </c>
      <c r="AY140" t="s">
        <v>74</v>
      </c>
      <c r="AZ140" t="s">
        <v>74</v>
      </c>
      <c r="BA140" t="s">
        <v>74</v>
      </c>
      <c r="BB140">
        <v>140</v>
      </c>
      <c r="BC140">
        <v>147</v>
      </c>
      <c r="BD140" t="s">
        <v>74</v>
      </c>
      <c r="BE140" t="s">
        <v>3151</v>
      </c>
      <c r="BF140" t="str">
        <f>HYPERLINK("http://dx.doi.org/10.1111/rec.12413","http://dx.doi.org/10.1111/rec.12413")</f>
        <v>http://dx.doi.org/10.1111/rec.12413</v>
      </c>
      <c r="BG140" t="s">
        <v>74</v>
      </c>
      <c r="BH140" t="s">
        <v>74</v>
      </c>
      <c r="BI140">
        <v>8</v>
      </c>
      <c r="BJ140" t="s">
        <v>1739</v>
      </c>
      <c r="BK140" t="s">
        <v>101</v>
      </c>
      <c r="BL140" t="s">
        <v>178</v>
      </c>
      <c r="BM140" t="s">
        <v>3152</v>
      </c>
      <c r="BN140" t="s">
        <v>74</v>
      </c>
      <c r="BO140" t="s">
        <v>74</v>
      </c>
      <c r="BP140" t="s">
        <v>74</v>
      </c>
      <c r="BQ140" t="s">
        <v>74</v>
      </c>
      <c r="BR140" t="s">
        <v>105</v>
      </c>
      <c r="BS140" t="s">
        <v>3153</v>
      </c>
      <c r="BT140" t="str">
        <f>HYPERLINK("https%3A%2F%2Fwww.webofscience.com%2Fwos%2Fwoscc%2Ffull-record%2FWOS:000396475900018","View Full Record in Web of Science")</f>
        <v>View Full Record in Web of Science</v>
      </c>
    </row>
    <row r="141" spans="1:72" x14ac:dyDescent="0.15">
      <c r="A141" t="s">
        <v>72</v>
      </c>
      <c r="B141" t="s">
        <v>3154</v>
      </c>
      <c r="C141" t="s">
        <v>74</v>
      </c>
      <c r="D141" t="s">
        <v>74</v>
      </c>
      <c r="E141" t="s">
        <v>74</v>
      </c>
      <c r="F141" t="s">
        <v>3155</v>
      </c>
      <c r="G141" t="s">
        <v>74</v>
      </c>
      <c r="H141" t="s">
        <v>74</v>
      </c>
      <c r="I141" t="s">
        <v>3156</v>
      </c>
      <c r="J141" t="s">
        <v>3157</v>
      </c>
      <c r="K141" t="s">
        <v>74</v>
      </c>
      <c r="L141" t="s">
        <v>74</v>
      </c>
      <c r="M141" t="s">
        <v>78</v>
      </c>
      <c r="N141" t="s">
        <v>79</v>
      </c>
      <c r="O141" t="s">
        <v>74</v>
      </c>
      <c r="P141" t="s">
        <v>74</v>
      </c>
      <c r="Q141" t="s">
        <v>74</v>
      </c>
      <c r="R141" t="s">
        <v>74</v>
      </c>
      <c r="S141" t="s">
        <v>74</v>
      </c>
      <c r="T141" t="s">
        <v>3158</v>
      </c>
      <c r="U141" t="s">
        <v>3159</v>
      </c>
      <c r="V141" t="s">
        <v>3160</v>
      </c>
      <c r="W141" t="s">
        <v>3161</v>
      </c>
      <c r="X141" t="s">
        <v>3162</v>
      </c>
      <c r="Y141" t="s">
        <v>3163</v>
      </c>
      <c r="Z141" t="s">
        <v>3164</v>
      </c>
      <c r="AA141" t="s">
        <v>3165</v>
      </c>
      <c r="AB141" t="s">
        <v>3166</v>
      </c>
      <c r="AC141" t="s">
        <v>3167</v>
      </c>
      <c r="AD141" t="s">
        <v>3168</v>
      </c>
      <c r="AE141" t="s">
        <v>3169</v>
      </c>
      <c r="AF141" t="s">
        <v>74</v>
      </c>
      <c r="AG141">
        <v>24</v>
      </c>
      <c r="AH141">
        <v>6</v>
      </c>
      <c r="AI141">
        <v>6</v>
      </c>
      <c r="AJ141">
        <v>1</v>
      </c>
      <c r="AK141">
        <v>11</v>
      </c>
      <c r="AL141" t="s">
        <v>3170</v>
      </c>
      <c r="AM141" t="s">
        <v>3171</v>
      </c>
      <c r="AN141" t="s">
        <v>3172</v>
      </c>
      <c r="AO141" t="s">
        <v>3173</v>
      </c>
      <c r="AP141" t="s">
        <v>74</v>
      </c>
      <c r="AQ141" t="s">
        <v>74</v>
      </c>
      <c r="AR141" t="s">
        <v>3174</v>
      </c>
      <c r="AS141" t="s">
        <v>3175</v>
      </c>
      <c r="AT141" t="s">
        <v>74</v>
      </c>
      <c r="AU141">
        <v>2017</v>
      </c>
      <c r="AV141">
        <v>41</v>
      </c>
      <c r="AW141" t="s">
        <v>74</v>
      </c>
      <c r="AX141" t="s">
        <v>74</v>
      </c>
      <c r="AY141" t="s">
        <v>74</v>
      </c>
      <c r="AZ141" t="s">
        <v>74</v>
      </c>
      <c r="BA141" t="s">
        <v>74</v>
      </c>
      <c r="BB141" t="s">
        <v>74</v>
      </c>
      <c r="BC141" t="s">
        <v>74</v>
      </c>
      <c r="BD141" t="s">
        <v>3176</v>
      </c>
      <c r="BE141" t="s">
        <v>3177</v>
      </c>
      <c r="BF141" t="str">
        <f>HYPERLINK("http://dx.doi.org/10.1590/18069657rbcs20170021","http://dx.doi.org/10.1590/18069657rbcs20170021")</f>
        <v>http://dx.doi.org/10.1590/18069657rbcs20170021</v>
      </c>
      <c r="BG141" t="s">
        <v>74</v>
      </c>
      <c r="BH141" t="s">
        <v>74</v>
      </c>
      <c r="BI141">
        <v>9</v>
      </c>
      <c r="BJ141" t="s">
        <v>3178</v>
      </c>
      <c r="BK141" t="s">
        <v>101</v>
      </c>
      <c r="BL141" t="s">
        <v>3179</v>
      </c>
      <c r="BM141" t="s">
        <v>3180</v>
      </c>
      <c r="BN141" t="s">
        <v>74</v>
      </c>
      <c r="BO141" t="s">
        <v>3181</v>
      </c>
      <c r="BP141" t="s">
        <v>74</v>
      </c>
      <c r="BQ141" t="s">
        <v>74</v>
      </c>
      <c r="BR141" t="s">
        <v>105</v>
      </c>
      <c r="BS141" t="s">
        <v>3182</v>
      </c>
      <c r="BT141" t="str">
        <f>HYPERLINK("https%3A%2F%2Fwww.webofscience.com%2Fwos%2Fwoscc%2Ffull-record%2FWOS:000419768800001","View Full Record in Web of Science")</f>
        <v>View Full Record in Web of Science</v>
      </c>
    </row>
    <row r="142" spans="1:72" x14ac:dyDescent="0.15">
      <c r="A142" t="s">
        <v>72</v>
      </c>
      <c r="B142" t="s">
        <v>3183</v>
      </c>
      <c r="C142" t="s">
        <v>74</v>
      </c>
      <c r="D142" t="s">
        <v>74</v>
      </c>
      <c r="E142" t="s">
        <v>74</v>
      </c>
      <c r="F142" t="s">
        <v>3184</v>
      </c>
      <c r="G142" t="s">
        <v>74</v>
      </c>
      <c r="H142" t="s">
        <v>74</v>
      </c>
      <c r="I142" t="s">
        <v>3185</v>
      </c>
      <c r="J142" t="s">
        <v>77</v>
      </c>
      <c r="K142" t="s">
        <v>74</v>
      </c>
      <c r="L142" t="s">
        <v>74</v>
      </c>
      <c r="M142" t="s">
        <v>78</v>
      </c>
      <c r="N142" t="s">
        <v>79</v>
      </c>
      <c r="O142" t="s">
        <v>74</v>
      </c>
      <c r="P142" t="s">
        <v>74</v>
      </c>
      <c r="Q142" t="s">
        <v>74</v>
      </c>
      <c r="R142" t="s">
        <v>74</v>
      </c>
      <c r="S142" t="s">
        <v>74</v>
      </c>
      <c r="T142" t="s">
        <v>3186</v>
      </c>
      <c r="U142" t="s">
        <v>3187</v>
      </c>
      <c r="V142" t="s">
        <v>3188</v>
      </c>
      <c r="W142" t="s">
        <v>3189</v>
      </c>
      <c r="X142" t="s">
        <v>3190</v>
      </c>
      <c r="Y142" t="s">
        <v>3191</v>
      </c>
      <c r="Z142" t="s">
        <v>3192</v>
      </c>
      <c r="AA142" t="s">
        <v>3193</v>
      </c>
      <c r="AB142" t="s">
        <v>3194</v>
      </c>
      <c r="AC142" t="s">
        <v>74</v>
      </c>
      <c r="AD142" t="s">
        <v>74</v>
      </c>
      <c r="AE142" t="s">
        <v>74</v>
      </c>
      <c r="AF142" t="s">
        <v>74</v>
      </c>
      <c r="AG142">
        <v>65</v>
      </c>
      <c r="AH142">
        <v>39</v>
      </c>
      <c r="AI142">
        <v>42</v>
      </c>
      <c r="AJ142">
        <v>4</v>
      </c>
      <c r="AK142">
        <v>60</v>
      </c>
      <c r="AL142" t="s">
        <v>92</v>
      </c>
      <c r="AM142" t="s">
        <v>93</v>
      </c>
      <c r="AN142" t="s">
        <v>94</v>
      </c>
      <c r="AO142" t="s">
        <v>95</v>
      </c>
      <c r="AP142" t="s">
        <v>74</v>
      </c>
      <c r="AQ142" t="s">
        <v>74</v>
      </c>
      <c r="AR142" t="s">
        <v>96</v>
      </c>
      <c r="AS142" t="s">
        <v>97</v>
      </c>
      <c r="AT142" t="s">
        <v>2136</v>
      </c>
      <c r="AU142">
        <v>2017</v>
      </c>
      <c r="AV142">
        <v>4</v>
      </c>
      <c r="AW142">
        <v>1</v>
      </c>
      <c r="AX142" t="s">
        <v>74</v>
      </c>
      <c r="AY142" t="s">
        <v>74</v>
      </c>
      <c r="AZ142" t="s">
        <v>74</v>
      </c>
      <c r="BA142" t="s">
        <v>74</v>
      </c>
      <c r="BB142" t="s">
        <v>74</v>
      </c>
      <c r="BC142" t="s">
        <v>74</v>
      </c>
      <c r="BD142">
        <v>160370</v>
      </c>
      <c r="BE142" t="s">
        <v>3195</v>
      </c>
      <c r="BF142" t="str">
        <f>HYPERLINK("http://dx.doi.org/10.1098/rsos.160370","http://dx.doi.org/10.1098/rsos.160370")</f>
        <v>http://dx.doi.org/10.1098/rsos.160370</v>
      </c>
      <c r="BG142" t="s">
        <v>74</v>
      </c>
      <c r="BH142" t="s">
        <v>74</v>
      </c>
      <c r="BI142">
        <v>21</v>
      </c>
      <c r="BJ142" t="s">
        <v>100</v>
      </c>
      <c r="BK142" t="s">
        <v>101</v>
      </c>
      <c r="BL142" t="s">
        <v>102</v>
      </c>
      <c r="BM142" t="s">
        <v>3196</v>
      </c>
      <c r="BN142">
        <v>28280544</v>
      </c>
      <c r="BO142" t="s">
        <v>591</v>
      </c>
      <c r="BP142" t="s">
        <v>74</v>
      </c>
      <c r="BQ142" t="s">
        <v>74</v>
      </c>
      <c r="BR142" t="s">
        <v>105</v>
      </c>
      <c r="BS142" t="s">
        <v>3197</v>
      </c>
      <c r="BT142" t="str">
        <f>HYPERLINK("https%3A%2F%2Fwww.webofscience.com%2Fwos%2Fwoscc%2Ffull-record%2FWOS:000393395100002","View Full Record in Web of Science")</f>
        <v>View Full Record in Web of Science</v>
      </c>
    </row>
    <row r="143" spans="1:72" x14ac:dyDescent="0.15">
      <c r="A143" t="s">
        <v>2331</v>
      </c>
      <c r="B143" t="s">
        <v>3198</v>
      </c>
      <c r="C143" t="s">
        <v>74</v>
      </c>
      <c r="D143" t="s">
        <v>3199</v>
      </c>
      <c r="E143" t="s">
        <v>74</v>
      </c>
      <c r="F143" t="s">
        <v>3200</v>
      </c>
      <c r="G143" t="s">
        <v>74</v>
      </c>
      <c r="H143" t="s">
        <v>74</v>
      </c>
      <c r="I143" t="s">
        <v>3201</v>
      </c>
      <c r="J143" t="s">
        <v>3202</v>
      </c>
      <c r="K143" t="s">
        <v>74</v>
      </c>
      <c r="L143" t="s">
        <v>74</v>
      </c>
      <c r="M143" t="s">
        <v>78</v>
      </c>
      <c r="N143" t="s">
        <v>2067</v>
      </c>
      <c r="O143" t="s">
        <v>74</v>
      </c>
      <c r="P143" t="s">
        <v>74</v>
      </c>
      <c r="Q143" t="s">
        <v>74</v>
      </c>
      <c r="R143" t="s">
        <v>74</v>
      </c>
      <c r="S143" t="s">
        <v>74</v>
      </c>
      <c r="T143" t="s">
        <v>74</v>
      </c>
      <c r="U143" t="s">
        <v>74</v>
      </c>
      <c r="V143" t="s">
        <v>74</v>
      </c>
      <c r="W143" t="s">
        <v>3203</v>
      </c>
      <c r="X143" t="s">
        <v>3204</v>
      </c>
      <c r="Y143" t="s">
        <v>3205</v>
      </c>
      <c r="Z143" t="s">
        <v>74</v>
      </c>
      <c r="AA143" t="s">
        <v>3206</v>
      </c>
      <c r="AB143" t="s">
        <v>3207</v>
      </c>
      <c r="AC143" t="s">
        <v>74</v>
      </c>
      <c r="AD143" t="s">
        <v>74</v>
      </c>
      <c r="AE143" t="s">
        <v>74</v>
      </c>
      <c r="AF143" t="s">
        <v>74</v>
      </c>
      <c r="AG143">
        <v>19</v>
      </c>
      <c r="AH143">
        <v>2</v>
      </c>
      <c r="AI143">
        <v>2</v>
      </c>
      <c r="AJ143">
        <v>0</v>
      </c>
      <c r="AK143">
        <v>3</v>
      </c>
      <c r="AL143" t="s">
        <v>3097</v>
      </c>
      <c r="AM143" t="s">
        <v>1581</v>
      </c>
      <c r="AN143" t="s">
        <v>3208</v>
      </c>
      <c r="AO143" t="s">
        <v>74</v>
      </c>
      <c r="AP143" t="s">
        <v>74</v>
      </c>
      <c r="AQ143" t="s">
        <v>3209</v>
      </c>
      <c r="AR143" t="s">
        <v>74</v>
      </c>
      <c r="AS143" t="s">
        <v>74</v>
      </c>
      <c r="AT143" t="s">
        <v>74</v>
      </c>
      <c r="AU143">
        <v>2017</v>
      </c>
      <c r="AV143" t="s">
        <v>74</v>
      </c>
      <c r="AW143" t="s">
        <v>74</v>
      </c>
      <c r="AX143" t="s">
        <v>74</v>
      </c>
      <c r="AY143" t="s">
        <v>74</v>
      </c>
      <c r="AZ143" t="s">
        <v>74</v>
      </c>
      <c r="BA143" t="s">
        <v>74</v>
      </c>
      <c r="BB143">
        <v>265</v>
      </c>
      <c r="BC143">
        <v>280</v>
      </c>
      <c r="BD143" t="s">
        <v>74</v>
      </c>
      <c r="BE143" t="s">
        <v>74</v>
      </c>
      <c r="BF143" t="s">
        <v>74</v>
      </c>
      <c r="BG143" t="s">
        <v>3210</v>
      </c>
      <c r="BH143" t="s">
        <v>74</v>
      </c>
      <c r="BI143">
        <v>16</v>
      </c>
      <c r="BJ143" t="s">
        <v>3211</v>
      </c>
      <c r="BK143" t="s">
        <v>3212</v>
      </c>
      <c r="BL143" t="s">
        <v>3213</v>
      </c>
      <c r="BM143" t="s">
        <v>3214</v>
      </c>
      <c r="BN143" t="s">
        <v>74</v>
      </c>
      <c r="BO143" t="s">
        <v>378</v>
      </c>
      <c r="BP143" t="s">
        <v>74</v>
      </c>
      <c r="BQ143" t="s">
        <v>74</v>
      </c>
      <c r="BR143" t="s">
        <v>105</v>
      </c>
      <c r="BS143" t="s">
        <v>3215</v>
      </c>
      <c r="BT143" t="str">
        <f>HYPERLINK("https%3A%2F%2Fwww.webofscience.com%2Fwos%2Fwoscc%2Ffull-record%2FWOS:000448803400027","View Full Record in Web of Science")</f>
        <v>View Full Record in Web of Science</v>
      </c>
    </row>
    <row r="144" spans="1:72" x14ac:dyDescent="0.15">
      <c r="A144" t="s">
        <v>72</v>
      </c>
      <c r="B144" t="s">
        <v>3216</v>
      </c>
      <c r="C144" t="s">
        <v>74</v>
      </c>
      <c r="D144" t="s">
        <v>74</v>
      </c>
      <c r="E144" t="s">
        <v>74</v>
      </c>
      <c r="F144" t="s">
        <v>3217</v>
      </c>
      <c r="G144" t="s">
        <v>74</v>
      </c>
      <c r="H144" t="s">
        <v>74</v>
      </c>
      <c r="I144" t="s">
        <v>3218</v>
      </c>
      <c r="J144" t="s">
        <v>3219</v>
      </c>
      <c r="K144" t="s">
        <v>74</v>
      </c>
      <c r="L144" t="s">
        <v>74</v>
      </c>
      <c r="M144" t="s">
        <v>78</v>
      </c>
      <c r="N144" t="s">
        <v>1980</v>
      </c>
      <c r="O144" t="s">
        <v>3220</v>
      </c>
      <c r="P144" t="s">
        <v>3221</v>
      </c>
      <c r="Q144" t="s">
        <v>3222</v>
      </c>
      <c r="R144" t="s">
        <v>74</v>
      </c>
      <c r="S144" t="s">
        <v>3223</v>
      </c>
      <c r="T144" t="s">
        <v>3224</v>
      </c>
      <c r="U144" t="s">
        <v>3225</v>
      </c>
      <c r="V144" t="s">
        <v>3226</v>
      </c>
      <c r="W144" t="s">
        <v>3227</v>
      </c>
      <c r="X144" t="s">
        <v>3228</v>
      </c>
      <c r="Y144" t="s">
        <v>3229</v>
      </c>
      <c r="Z144" t="s">
        <v>3230</v>
      </c>
      <c r="AA144" t="s">
        <v>3231</v>
      </c>
      <c r="AB144" t="s">
        <v>74</v>
      </c>
      <c r="AC144" t="s">
        <v>3232</v>
      </c>
      <c r="AD144" t="s">
        <v>3233</v>
      </c>
      <c r="AE144" t="s">
        <v>3234</v>
      </c>
      <c r="AF144" t="s">
        <v>74</v>
      </c>
      <c r="AG144">
        <v>61</v>
      </c>
      <c r="AH144">
        <v>29</v>
      </c>
      <c r="AI144">
        <v>35</v>
      </c>
      <c r="AJ144">
        <v>1</v>
      </c>
      <c r="AK144">
        <v>19</v>
      </c>
      <c r="AL144" t="s">
        <v>3235</v>
      </c>
      <c r="AM144" t="s">
        <v>3236</v>
      </c>
      <c r="AN144" t="s">
        <v>3237</v>
      </c>
      <c r="AO144" t="s">
        <v>3238</v>
      </c>
      <c r="AP144" t="s">
        <v>3239</v>
      </c>
      <c r="AQ144" t="s">
        <v>74</v>
      </c>
      <c r="AR144" t="s">
        <v>3240</v>
      </c>
      <c r="AS144" t="s">
        <v>3241</v>
      </c>
      <c r="AT144" t="s">
        <v>2136</v>
      </c>
      <c r="AU144">
        <v>2017</v>
      </c>
      <c r="AV144">
        <v>60</v>
      </c>
      <c r="AW144">
        <v>1</v>
      </c>
      <c r="AX144" t="s">
        <v>74</v>
      </c>
      <c r="AY144" t="s">
        <v>74</v>
      </c>
      <c r="AZ144" t="s">
        <v>74</v>
      </c>
      <c r="BA144" t="s">
        <v>74</v>
      </c>
      <c r="BB144">
        <v>20</v>
      </c>
      <c r="BC144">
        <v>29</v>
      </c>
      <c r="BD144" t="s">
        <v>74</v>
      </c>
      <c r="BE144" t="s">
        <v>3242</v>
      </c>
      <c r="BF144" t="str">
        <f>HYPERLINK("http://dx.doi.org/10.1007/s11430-016-0166-y","http://dx.doi.org/10.1007/s11430-016-0166-y")</f>
        <v>http://dx.doi.org/10.1007/s11430-016-0166-y</v>
      </c>
      <c r="BG144" t="s">
        <v>74</v>
      </c>
      <c r="BH144" t="s">
        <v>74</v>
      </c>
      <c r="BI144">
        <v>10</v>
      </c>
      <c r="BJ144" t="s">
        <v>669</v>
      </c>
      <c r="BK144" t="s">
        <v>2004</v>
      </c>
      <c r="BL144" t="s">
        <v>670</v>
      </c>
      <c r="BM144" t="s">
        <v>3243</v>
      </c>
      <c r="BN144" t="s">
        <v>74</v>
      </c>
      <c r="BO144" t="s">
        <v>74</v>
      </c>
      <c r="BP144" t="s">
        <v>74</v>
      </c>
      <c r="BQ144" t="s">
        <v>74</v>
      </c>
      <c r="BR144" t="s">
        <v>105</v>
      </c>
      <c r="BS144" t="s">
        <v>3244</v>
      </c>
      <c r="BT144" t="str">
        <f>HYPERLINK("https%3A%2F%2Fwww.webofscience.com%2Fwos%2Fwoscc%2Ffull-record%2FWOS:000392207400003","View Full Record in Web of Science")</f>
        <v>View Full Record in Web of Science</v>
      </c>
    </row>
    <row r="145" spans="1:72" x14ac:dyDescent="0.15">
      <c r="A145" t="s">
        <v>72</v>
      </c>
      <c r="B145" t="s">
        <v>3245</v>
      </c>
      <c r="C145" t="s">
        <v>74</v>
      </c>
      <c r="D145" t="s">
        <v>74</v>
      </c>
      <c r="E145" t="s">
        <v>74</v>
      </c>
      <c r="F145" t="s">
        <v>3246</v>
      </c>
      <c r="G145" t="s">
        <v>74</v>
      </c>
      <c r="H145" t="s">
        <v>74</v>
      </c>
      <c r="I145" t="s">
        <v>3247</v>
      </c>
      <c r="J145" t="s">
        <v>3248</v>
      </c>
      <c r="K145" t="s">
        <v>74</v>
      </c>
      <c r="L145" t="s">
        <v>74</v>
      </c>
      <c r="M145" t="s">
        <v>78</v>
      </c>
      <c r="N145" t="s">
        <v>79</v>
      </c>
      <c r="O145" t="s">
        <v>74</v>
      </c>
      <c r="P145" t="s">
        <v>74</v>
      </c>
      <c r="Q145" t="s">
        <v>74</v>
      </c>
      <c r="R145" t="s">
        <v>74</v>
      </c>
      <c r="S145" t="s">
        <v>74</v>
      </c>
      <c r="T145" t="s">
        <v>74</v>
      </c>
      <c r="U145" t="s">
        <v>3249</v>
      </c>
      <c r="V145" t="s">
        <v>3250</v>
      </c>
      <c r="W145" t="s">
        <v>3251</v>
      </c>
      <c r="X145" t="s">
        <v>3252</v>
      </c>
      <c r="Y145" t="s">
        <v>3253</v>
      </c>
      <c r="Z145" t="s">
        <v>3254</v>
      </c>
      <c r="AA145" t="s">
        <v>3255</v>
      </c>
      <c r="AB145" t="s">
        <v>3256</v>
      </c>
      <c r="AC145" t="s">
        <v>3257</v>
      </c>
      <c r="AD145" t="s">
        <v>3258</v>
      </c>
      <c r="AE145" t="s">
        <v>3259</v>
      </c>
      <c r="AF145" t="s">
        <v>74</v>
      </c>
      <c r="AG145">
        <v>26</v>
      </c>
      <c r="AH145">
        <v>9</v>
      </c>
      <c r="AI145">
        <v>9</v>
      </c>
      <c r="AJ145">
        <v>0</v>
      </c>
      <c r="AK145">
        <v>2</v>
      </c>
      <c r="AL145" t="s">
        <v>3260</v>
      </c>
      <c r="AM145" t="s">
        <v>3261</v>
      </c>
      <c r="AN145" t="s">
        <v>3262</v>
      </c>
      <c r="AO145" t="s">
        <v>3263</v>
      </c>
      <c r="AP145" t="s">
        <v>74</v>
      </c>
      <c r="AQ145" t="s">
        <v>74</v>
      </c>
      <c r="AR145" t="s">
        <v>3248</v>
      </c>
      <c r="AS145" t="s">
        <v>3248</v>
      </c>
      <c r="AT145" t="s">
        <v>74</v>
      </c>
      <c r="AU145">
        <v>2017</v>
      </c>
      <c r="AV145">
        <v>13</v>
      </c>
      <c r="AW145" t="s">
        <v>74</v>
      </c>
      <c r="AX145" t="s">
        <v>74</v>
      </c>
      <c r="AY145" t="s">
        <v>74</v>
      </c>
      <c r="AZ145" t="s">
        <v>74</v>
      </c>
      <c r="BA145" t="s">
        <v>74</v>
      </c>
      <c r="BB145">
        <v>41</v>
      </c>
      <c r="BC145">
        <v>46</v>
      </c>
      <c r="BD145" t="s">
        <v>74</v>
      </c>
      <c r="BE145" t="s">
        <v>3264</v>
      </c>
      <c r="BF145" t="str">
        <f>HYPERLINK("http://dx.doi.org/10.2151/sola.2017-008","http://dx.doi.org/10.2151/sola.2017-008")</f>
        <v>http://dx.doi.org/10.2151/sola.2017-008</v>
      </c>
      <c r="BG145" t="s">
        <v>74</v>
      </c>
      <c r="BH145" t="s">
        <v>74</v>
      </c>
      <c r="BI145">
        <v>6</v>
      </c>
      <c r="BJ145" t="s">
        <v>747</v>
      </c>
      <c r="BK145" t="s">
        <v>101</v>
      </c>
      <c r="BL145" t="s">
        <v>747</v>
      </c>
      <c r="BM145" t="s">
        <v>3265</v>
      </c>
      <c r="BN145" t="s">
        <v>74</v>
      </c>
      <c r="BO145" t="s">
        <v>941</v>
      </c>
      <c r="BP145" t="s">
        <v>74</v>
      </c>
      <c r="BQ145" t="s">
        <v>74</v>
      </c>
      <c r="BR145" t="s">
        <v>105</v>
      </c>
      <c r="BS145" t="s">
        <v>3266</v>
      </c>
      <c r="BT145" t="str">
        <f>HYPERLINK("https%3A%2F%2Fwww.webofscience.com%2Fwos%2Fwoscc%2Ffull-record%2FWOS:000397319800001","View Full Record in Web of Science")</f>
        <v>View Full Record in Web of Science</v>
      </c>
    </row>
    <row r="146" spans="1:72" x14ac:dyDescent="0.15">
      <c r="A146" t="s">
        <v>72</v>
      </c>
      <c r="B146" t="s">
        <v>3267</v>
      </c>
      <c r="C146" t="s">
        <v>74</v>
      </c>
      <c r="D146" t="s">
        <v>74</v>
      </c>
      <c r="E146" t="s">
        <v>74</v>
      </c>
      <c r="F146" t="s">
        <v>3268</v>
      </c>
      <c r="G146" t="s">
        <v>74</v>
      </c>
      <c r="H146" t="s">
        <v>74</v>
      </c>
      <c r="I146" t="s">
        <v>3269</v>
      </c>
      <c r="J146" t="s">
        <v>3270</v>
      </c>
      <c r="K146" t="s">
        <v>74</v>
      </c>
      <c r="L146" t="s">
        <v>74</v>
      </c>
      <c r="M146" t="s">
        <v>78</v>
      </c>
      <c r="N146" t="s">
        <v>79</v>
      </c>
      <c r="O146" t="s">
        <v>74</v>
      </c>
      <c r="P146" t="s">
        <v>74</v>
      </c>
      <c r="Q146" t="s">
        <v>74</v>
      </c>
      <c r="R146" t="s">
        <v>74</v>
      </c>
      <c r="S146" t="s">
        <v>74</v>
      </c>
      <c r="T146" t="s">
        <v>3271</v>
      </c>
      <c r="U146" t="s">
        <v>3272</v>
      </c>
      <c r="V146" t="s">
        <v>3273</v>
      </c>
      <c r="W146" t="s">
        <v>3274</v>
      </c>
      <c r="X146" t="s">
        <v>3275</v>
      </c>
      <c r="Y146" t="s">
        <v>3276</v>
      </c>
      <c r="Z146" t="s">
        <v>3277</v>
      </c>
      <c r="AA146" t="s">
        <v>74</v>
      </c>
      <c r="AB146" t="s">
        <v>3278</v>
      </c>
      <c r="AC146" t="s">
        <v>3279</v>
      </c>
      <c r="AD146" t="s">
        <v>3280</v>
      </c>
      <c r="AE146" t="s">
        <v>3281</v>
      </c>
      <c r="AF146" t="s">
        <v>74</v>
      </c>
      <c r="AG146">
        <v>8</v>
      </c>
      <c r="AH146">
        <v>4</v>
      </c>
      <c r="AI146">
        <v>4</v>
      </c>
      <c r="AJ146">
        <v>0</v>
      </c>
      <c r="AK146">
        <v>21</v>
      </c>
      <c r="AL146" t="s">
        <v>3282</v>
      </c>
      <c r="AM146" t="s">
        <v>3283</v>
      </c>
      <c r="AN146" t="s">
        <v>3284</v>
      </c>
      <c r="AO146" t="s">
        <v>3285</v>
      </c>
      <c r="AP146" t="s">
        <v>3286</v>
      </c>
      <c r="AQ146" t="s">
        <v>74</v>
      </c>
      <c r="AR146" t="s">
        <v>3287</v>
      </c>
      <c r="AS146" t="s">
        <v>3288</v>
      </c>
      <c r="AT146" t="s">
        <v>74</v>
      </c>
      <c r="AU146">
        <v>2017</v>
      </c>
      <c r="AV146">
        <v>10</v>
      </c>
      <c r="AW146">
        <v>1</v>
      </c>
      <c r="AX146" t="s">
        <v>74</v>
      </c>
      <c r="AY146" t="s">
        <v>74</v>
      </c>
      <c r="AZ146" t="s">
        <v>74</v>
      </c>
      <c r="BA146" t="s">
        <v>74</v>
      </c>
      <c r="BB146">
        <v>151</v>
      </c>
      <c r="BC146">
        <v>163</v>
      </c>
      <c r="BD146" t="s">
        <v>74</v>
      </c>
      <c r="BE146" t="s">
        <v>3289</v>
      </c>
      <c r="BF146" t="str">
        <f>HYPERLINK("http://dx.doi.org/10.4310/SII.2017.v10.n1.a14","http://dx.doi.org/10.4310/SII.2017.v10.n1.a14")</f>
        <v>http://dx.doi.org/10.4310/SII.2017.v10.n1.a14</v>
      </c>
      <c r="BG146" t="s">
        <v>74</v>
      </c>
      <c r="BH146" t="s">
        <v>74</v>
      </c>
      <c r="BI146">
        <v>13</v>
      </c>
      <c r="BJ146" t="s">
        <v>3290</v>
      </c>
      <c r="BK146" t="s">
        <v>101</v>
      </c>
      <c r="BL146" t="s">
        <v>3291</v>
      </c>
      <c r="BM146" t="s">
        <v>3292</v>
      </c>
      <c r="BN146" t="s">
        <v>74</v>
      </c>
      <c r="BO146" t="s">
        <v>1223</v>
      </c>
      <c r="BP146" t="s">
        <v>74</v>
      </c>
      <c r="BQ146" t="s">
        <v>74</v>
      </c>
      <c r="BR146" t="s">
        <v>105</v>
      </c>
      <c r="BS146" t="s">
        <v>3293</v>
      </c>
      <c r="BT146" t="str">
        <f>HYPERLINK("https%3A%2F%2Fwww.webofscience.com%2Fwos%2Fwoscc%2Ffull-record%2FWOS:000386413100015","View Full Record in Web of Science")</f>
        <v>View Full Record in Web of Science</v>
      </c>
    </row>
    <row r="147" spans="1:72" x14ac:dyDescent="0.15">
      <c r="A147" t="s">
        <v>72</v>
      </c>
      <c r="B147" t="s">
        <v>3294</v>
      </c>
      <c r="C147" t="s">
        <v>74</v>
      </c>
      <c r="D147" t="s">
        <v>74</v>
      </c>
      <c r="E147" t="s">
        <v>74</v>
      </c>
      <c r="F147" t="s">
        <v>3295</v>
      </c>
      <c r="G147" t="s">
        <v>74</v>
      </c>
      <c r="H147" t="s">
        <v>74</v>
      </c>
      <c r="I147" t="s">
        <v>3296</v>
      </c>
      <c r="J147" t="s">
        <v>3297</v>
      </c>
      <c r="K147" t="s">
        <v>74</v>
      </c>
      <c r="L147" t="s">
        <v>74</v>
      </c>
      <c r="M147" t="s">
        <v>78</v>
      </c>
      <c r="N147" t="s">
        <v>79</v>
      </c>
      <c r="O147" t="s">
        <v>74</v>
      </c>
      <c r="P147" t="s">
        <v>74</v>
      </c>
      <c r="Q147" t="s">
        <v>74</v>
      </c>
      <c r="R147" t="s">
        <v>74</v>
      </c>
      <c r="S147" t="s">
        <v>74</v>
      </c>
      <c r="T147" t="s">
        <v>3298</v>
      </c>
      <c r="U147" t="s">
        <v>3299</v>
      </c>
      <c r="V147" t="s">
        <v>3300</v>
      </c>
      <c r="W147" t="s">
        <v>3301</v>
      </c>
      <c r="X147" t="s">
        <v>3302</v>
      </c>
      <c r="Y147" t="s">
        <v>3303</v>
      </c>
      <c r="Z147" t="s">
        <v>3304</v>
      </c>
      <c r="AA147" t="s">
        <v>3305</v>
      </c>
      <c r="AB147" t="s">
        <v>3306</v>
      </c>
      <c r="AC147" t="s">
        <v>3307</v>
      </c>
      <c r="AD147" t="s">
        <v>3308</v>
      </c>
      <c r="AE147" t="s">
        <v>3309</v>
      </c>
      <c r="AF147" t="s">
        <v>74</v>
      </c>
      <c r="AG147">
        <v>75</v>
      </c>
      <c r="AH147">
        <v>33</v>
      </c>
      <c r="AI147">
        <v>35</v>
      </c>
      <c r="AJ147">
        <v>0</v>
      </c>
      <c r="AK147">
        <v>13</v>
      </c>
      <c r="AL147" t="s">
        <v>1610</v>
      </c>
      <c r="AM147" t="s">
        <v>292</v>
      </c>
      <c r="AN147" t="s">
        <v>1611</v>
      </c>
      <c r="AO147" t="s">
        <v>74</v>
      </c>
      <c r="AP147" t="s">
        <v>3310</v>
      </c>
      <c r="AQ147" t="s">
        <v>74</v>
      </c>
      <c r="AR147" t="s">
        <v>3311</v>
      </c>
      <c r="AS147" t="s">
        <v>3312</v>
      </c>
      <c r="AT147" t="s">
        <v>2136</v>
      </c>
      <c r="AU147">
        <v>2017</v>
      </c>
      <c r="AV147">
        <v>3</v>
      </c>
      <c r="AW147">
        <v>1</v>
      </c>
      <c r="AX147" t="s">
        <v>74</v>
      </c>
      <c r="AY147" t="s">
        <v>74</v>
      </c>
      <c r="AZ147" t="s">
        <v>74</v>
      </c>
      <c r="BA147" t="s">
        <v>74</v>
      </c>
      <c r="BB147" t="s">
        <v>74</v>
      </c>
      <c r="BC147" t="s">
        <v>74</v>
      </c>
      <c r="BD147" t="s">
        <v>3313</v>
      </c>
      <c r="BE147" t="s">
        <v>3314</v>
      </c>
      <c r="BF147" t="str">
        <f>HYPERLINK("http://dx.doi.org/10.1093/ve/vex017","http://dx.doi.org/10.1093/ve/vex017")</f>
        <v>http://dx.doi.org/10.1093/ve/vex017</v>
      </c>
      <c r="BG147" t="s">
        <v>74</v>
      </c>
      <c r="BH147" t="s">
        <v>74</v>
      </c>
      <c r="BI147">
        <v>11</v>
      </c>
      <c r="BJ147" t="s">
        <v>3315</v>
      </c>
      <c r="BK147" t="s">
        <v>101</v>
      </c>
      <c r="BL147" t="s">
        <v>3315</v>
      </c>
      <c r="BM147" t="s">
        <v>3316</v>
      </c>
      <c r="BN147">
        <v>28744371</v>
      </c>
      <c r="BO147" t="s">
        <v>790</v>
      </c>
      <c r="BP147" t="s">
        <v>74</v>
      </c>
      <c r="BQ147" t="s">
        <v>74</v>
      </c>
      <c r="BR147" t="s">
        <v>105</v>
      </c>
      <c r="BS147" t="s">
        <v>3317</v>
      </c>
      <c r="BT147" t="str">
        <f>HYPERLINK("https%3A%2F%2Fwww.webofscience.com%2Fwos%2Fwoscc%2Ffull-record%2FWOS:000410845300015","View Full Record in Web of Science")</f>
        <v>View Full Record in Web of Science</v>
      </c>
    </row>
    <row r="148" spans="1:72" x14ac:dyDescent="0.15">
      <c r="A148" t="s">
        <v>72</v>
      </c>
      <c r="B148" t="s">
        <v>3318</v>
      </c>
      <c r="C148" t="s">
        <v>74</v>
      </c>
      <c r="D148" t="s">
        <v>74</v>
      </c>
      <c r="E148" t="s">
        <v>74</v>
      </c>
      <c r="F148" t="s">
        <v>3319</v>
      </c>
      <c r="G148" t="s">
        <v>74</v>
      </c>
      <c r="H148" t="s">
        <v>74</v>
      </c>
      <c r="I148" t="s">
        <v>3320</v>
      </c>
      <c r="J148" t="s">
        <v>3321</v>
      </c>
      <c r="K148" t="s">
        <v>74</v>
      </c>
      <c r="L148" t="s">
        <v>74</v>
      </c>
      <c r="M148" t="s">
        <v>78</v>
      </c>
      <c r="N148" t="s">
        <v>1597</v>
      </c>
      <c r="O148" t="s">
        <v>74</v>
      </c>
      <c r="P148" t="s">
        <v>74</v>
      </c>
      <c r="Q148" t="s">
        <v>74</v>
      </c>
      <c r="R148" t="s">
        <v>74</v>
      </c>
      <c r="S148" t="s">
        <v>74</v>
      </c>
      <c r="T148" t="s">
        <v>3322</v>
      </c>
      <c r="U148" t="s">
        <v>3323</v>
      </c>
      <c r="V148" t="s">
        <v>3324</v>
      </c>
      <c r="W148" t="s">
        <v>3325</v>
      </c>
      <c r="X148" t="s">
        <v>3326</v>
      </c>
      <c r="Y148" t="s">
        <v>3327</v>
      </c>
      <c r="Z148" t="s">
        <v>3328</v>
      </c>
      <c r="AA148" t="s">
        <v>3329</v>
      </c>
      <c r="AB148" t="s">
        <v>3330</v>
      </c>
      <c r="AC148" t="s">
        <v>3331</v>
      </c>
      <c r="AD148" t="s">
        <v>3331</v>
      </c>
      <c r="AE148" t="s">
        <v>3332</v>
      </c>
      <c r="AF148" t="s">
        <v>74</v>
      </c>
      <c r="AG148">
        <v>16</v>
      </c>
      <c r="AH148">
        <v>8</v>
      </c>
      <c r="AI148">
        <v>8</v>
      </c>
      <c r="AJ148">
        <v>0</v>
      </c>
      <c r="AK148">
        <v>5</v>
      </c>
      <c r="AL148" t="s">
        <v>3333</v>
      </c>
      <c r="AM148" t="s">
        <v>1553</v>
      </c>
      <c r="AN148" t="s">
        <v>1554</v>
      </c>
      <c r="AO148" t="s">
        <v>3334</v>
      </c>
      <c r="AP148" t="s">
        <v>3335</v>
      </c>
      <c r="AQ148" t="s">
        <v>74</v>
      </c>
      <c r="AR148" t="s">
        <v>3321</v>
      </c>
      <c r="AS148" t="s">
        <v>3336</v>
      </c>
      <c r="AT148" t="s">
        <v>74</v>
      </c>
      <c r="AU148">
        <v>2017</v>
      </c>
      <c r="AV148" t="s">
        <v>74</v>
      </c>
      <c r="AW148">
        <v>705</v>
      </c>
      <c r="AX148" t="s">
        <v>74</v>
      </c>
      <c r="AY148" t="s">
        <v>74</v>
      </c>
      <c r="AZ148" t="s">
        <v>74</v>
      </c>
      <c r="BA148" t="s">
        <v>74</v>
      </c>
      <c r="BB148">
        <v>61</v>
      </c>
      <c r="BC148">
        <v>79</v>
      </c>
      <c r="BD148" t="s">
        <v>74</v>
      </c>
      <c r="BE148" t="s">
        <v>3337</v>
      </c>
      <c r="BF148" t="str">
        <f>HYPERLINK("http://dx.doi.org/10.3897/zookeys.705.13712","http://dx.doi.org/10.3897/zookeys.705.13712")</f>
        <v>http://dx.doi.org/10.3897/zookeys.705.13712</v>
      </c>
      <c r="BG148" t="s">
        <v>74</v>
      </c>
      <c r="BH148" t="s">
        <v>74</v>
      </c>
      <c r="BI148">
        <v>19</v>
      </c>
      <c r="BJ148" t="s">
        <v>643</v>
      </c>
      <c r="BK148" t="s">
        <v>101</v>
      </c>
      <c r="BL148" t="s">
        <v>643</v>
      </c>
      <c r="BM148" t="s">
        <v>3338</v>
      </c>
      <c r="BN148">
        <v>29118612</v>
      </c>
      <c r="BO148" t="s">
        <v>3339</v>
      </c>
      <c r="BP148" t="s">
        <v>74</v>
      </c>
      <c r="BQ148" t="s">
        <v>74</v>
      </c>
      <c r="BR148" t="s">
        <v>105</v>
      </c>
      <c r="BS148" t="s">
        <v>3340</v>
      </c>
      <c r="BT148" t="str">
        <f>HYPERLINK("https%3A%2F%2Fwww.webofscience.com%2Fwos%2Fwoscc%2Ffull-record%2FWOS:000412229500004","View Full Record in Web of Science")</f>
        <v>View Full Record in Web of Science</v>
      </c>
    </row>
    <row r="149" spans="1:72" x14ac:dyDescent="0.15">
      <c r="A149" t="s">
        <v>72</v>
      </c>
      <c r="B149" t="s">
        <v>3341</v>
      </c>
      <c r="C149" t="s">
        <v>74</v>
      </c>
      <c r="D149" t="s">
        <v>74</v>
      </c>
      <c r="E149" t="s">
        <v>74</v>
      </c>
      <c r="F149" t="s">
        <v>3342</v>
      </c>
      <c r="G149" t="s">
        <v>74</v>
      </c>
      <c r="H149" t="s">
        <v>74</v>
      </c>
      <c r="I149" t="s">
        <v>3343</v>
      </c>
      <c r="J149" t="s">
        <v>3344</v>
      </c>
      <c r="K149" t="s">
        <v>74</v>
      </c>
      <c r="L149" t="s">
        <v>74</v>
      </c>
      <c r="M149" t="s">
        <v>78</v>
      </c>
      <c r="N149" t="s">
        <v>79</v>
      </c>
      <c r="O149" t="s">
        <v>74</v>
      </c>
      <c r="P149" t="s">
        <v>74</v>
      </c>
      <c r="Q149" t="s">
        <v>74</v>
      </c>
      <c r="R149" t="s">
        <v>74</v>
      </c>
      <c r="S149" t="s">
        <v>74</v>
      </c>
      <c r="T149" t="s">
        <v>3345</v>
      </c>
      <c r="U149" t="s">
        <v>3346</v>
      </c>
      <c r="V149" t="s">
        <v>3347</v>
      </c>
      <c r="W149" t="s">
        <v>3348</v>
      </c>
      <c r="X149" t="s">
        <v>3349</v>
      </c>
      <c r="Y149" t="s">
        <v>3350</v>
      </c>
      <c r="Z149" t="s">
        <v>3351</v>
      </c>
      <c r="AA149" t="s">
        <v>3352</v>
      </c>
      <c r="AB149" t="s">
        <v>3353</v>
      </c>
      <c r="AC149" t="s">
        <v>3354</v>
      </c>
      <c r="AD149" t="s">
        <v>3355</v>
      </c>
      <c r="AE149" t="s">
        <v>3356</v>
      </c>
      <c r="AF149" t="s">
        <v>74</v>
      </c>
      <c r="AG149">
        <v>76</v>
      </c>
      <c r="AH149">
        <v>12</v>
      </c>
      <c r="AI149">
        <v>12</v>
      </c>
      <c r="AJ149">
        <v>0</v>
      </c>
      <c r="AK149">
        <v>20</v>
      </c>
      <c r="AL149" t="s">
        <v>3357</v>
      </c>
      <c r="AM149" t="s">
        <v>3358</v>
      </c>
      <c r="AN149" t="s">
        <v>3359</v>
      </c>
      <c r="AO149" t="s">
        <v>3360</v>
      </c>
      <c r="AP149" t="s">
        <v>3361</v>
      </c>
      <c r="AQ149" t="s">
        <v>74</v>
      </c>
      <c r="AR149" t="s">
        <v>3362</v>
      </c>
      <c r="AS149" t="s">
        <v>3363</v>
      </c>
      <c r="AT149" t="s">
        <v>74</v>
      </c>
      <c r="AU149">
        <v>2017</v>
      </c>
      <c r="AV149">
        <v>56</v>
      </c>
      <c r="AW149" t="s">
        <v>74</v>
      </c>
      <c r="AX149" t="s">
        <v>74</v>
      </c>
      <c r="AY149" t="s">
        <v>74</v>
      </c>
      <c r="AZ149" t="s">
        <v>74</v>
      </c>
      <c r="BA149" t="s">
        <v>74</v>
      </c>
      <c r="BB149" t="s">
        <v>74</v>
      </c>
      <c r="BC149" t="s">
        <v>74</v>
      </c>
      <c r="BD149">
        <v>13</v>
      </c>
      <c r="BE149" t="s">
        <v>3364</v>
      </c>
      <c r="BF149" t="str">
        <f>HYPERLINK("http://dx.doi.org/10.6620/ZS.2017.56-13","http://dx.doi.org/10.6620/ZS.2017.56-13")</f>
        <v>http://dx.doi.org/10.6620/ZS.2017.56-13</v>
      </c>
      <c r="BG149" t="s">
        <v>74</v>
      </c>
      <c r="BH149" t="s">
        <v>74</v>
      </c>
      <c r="BI149">
        <v>15</v>
      </c>
      <c r="BJ149" t="s">
        <v>643</v>
      </c>
      <c r="BK149" t="s">
        <v>101</v>
      </c>
      <c r="BL149" t="s">
        <v>643</v>
      </c>
      <c r="BM149" t="s">
        <v>3365</v>
      </c>
      <c r="BN149">
        <v>31966212</v>
      </c>
      <c r="BO149" t="s">
        <v>74</v>
      </c>
      <c r="BP149" t="s">
        <v>74</v>
      </c>
      <c r="BQ149" t="s">
        <v>74</v>
      </c>
      <c r="BR149" t="s">
        <v>105</v>
      </c>
      <c r="BS149" t="s">
        <v>3366</v>
      </c>
      <c r="BT149" t="str">
        <f>HYPERLINK("https%3A%2F%2Fwww.webofscience.com%2Fwos%2Fwoscc%2Ffull-record%2FWOS:000406790900006","View Full Record in Web of Science")</f>
        <v>View Full Record in Web of Science</v>
      </c>
    </row>
    <row r="150" spans="1:72" x14ac:dyDescent="0.15">
      <c r="A150" t="s">
        <v>2331</v>
      </c>
      <c r="B150" t="s">
        <v>3367</v>
      </c>
      <c r="C150" t="s">
        <v>3367</v>
      </c>
      <c r="D150" t="s">
        <v>74</v>
      </c>
      <c r="E150" t="s">
        <v>74</v>
      </c>
      <c r="F150" t="s">
        <v>3368</v>
      </c>
      <c r="G150" t="s">
        <v>3367</v>
      </c>
      <c r="H150" t="s">
        <v>74</v>
      </c>
      <c r="I150" t="s">
        <v>3369</v>
      </c>
      <c r="J150" t="s">
        <v>3370</v>
      </c>
      <c r="K150" t="s">
        <v>74</v>
      </c>
      <c r="L150" t="s">
        <v>74</v>
      </c>
      <c r="M150" t="s">
        <v>78</v>
      </c>
      <c r="N150" t="s">
        <v>2067</v>
      </c>
      <c r="O150" t="s">
        <v>74</v>
      </c>
      <c r="P150" t="s">
        <v>74</v>
      </c>
      <c r="Q150" t="s">
        <v>74</v>
      </c>
      <c r="R150" t="s">
        <v>74</v>
      </c>
      <c r="S150" t="s">
        <v>74</v>
      </c>
      <c r="T150" t="s">
        <v>74</v>
      </c>
      <c r="U150" t="s">
        <v>74</v>
      </c>
      <c r="V150" t="s">
        <v>74</v>
      </c>
      <c r="W150" t="s">
        <v>3371</v>
      </c>
      <c r="X150" t="s">
        <v>3372</v>
      </c>
      <c r="Y150" t="s">
        <v>3373</v>
      </c>
      <c r="Z150" t="s">
        <v>74</v>
      </c>
      <c r="AA150" t="s">
        <v>74</v>
      </c>
      <c r="AB150" t="s">
        <v>74</v>
      </c>
      <c r="AC150" t="s">
        <v>74</v>
      </c>
      <c r="AD150" t="s">
        <v>74</v>
      </c>
      <c r="AE150" t="s">
        <v>74</v>
      </c>
      <c r="AF150" t="s">
        <v>74</v>
      </c>
      <c r="AG150">
        <v>0</v>
      </c>
      <c r="AH150">
        <v>0</v>
      </c>
      <c r="AI150">
        <v>0</v>
      </c>
      <c r="AJ150">
        <v>0</v>
      </c>
      <c r="AK150">
        <v>1</v>
      </c>
      <c r="AL150" t="s">
        <v>3097</v>
      </c>
      <c r="AM150" t="s">
        <v>1581</v>
      </c>
      <c r="AN150" t="s">
        <v>3208</v>
      </c>
      <c r="AO150" t="s">
        <v>74</v>
      </c>
      <c r="AP150" t="s">
        <v>74</v>
      </c>
      <c r="AQ150" t="s">
        <v>3374</v>
      </c>
      <c r="AR150" t="s">
        <v>74</v>
      </c>
      <c r="AS150" t="s">
        <v>74</v>
      </c>
      <c r="AT150" t="s">
        <v>74</v>
      </c>
      <c r="AU150">
        <v>2017</v>
      </c>
      <c r="AV150" t="s">
        <v>74</v>
      </c>
      <c r="AW150" t="s">
        <v>74</v>
      </c>
      <c r="AX150" t="s">
        <v>74</v>
      </c>
      <c r="AY150" t="s">
        <v>74</v>
      </c>
      <c r="AZ150" t="s">
        <v>74</v>
      </c>
      <c r="BA150" t="s">
        <v>74</v>
      </c>
      <c r="BB150">
        <v>801</v>
      </c>
      <c r="BC150">
        <v>859</v>
      </c>
      <c r="BD150" t="s">
        <v>74</v>
      </c>
      <c r="BE150" t="s">
        <v>74</v>
      </c>
      <c r="BF150" t="s">
        <v>74</v>
      </c>
      <c r="BG150" t="s">
        <v>3375</v>
      </c>
      <c r="BH150" t="s">
        <v>74</v>
      </c>
      <c r="BI150">
        <v>59</v>
      </c>
      <c r="BJ150" t="s">
        <v>3376</v>
      </c>
      <c r="BK150" t="s">
        <v>2084</v>
      </c>
      <c r="BL150" t="s">
        <v>3377</v>
      </c>
      <c r="BM150" t="s">
        <v>3378</v>
      </c>
      <c r="BN150" t="s">
        <v>74</v>
      </c>
      <c r="BO150" t="s">
        <v>74</v>
      </c>
      <c r="BP150" t="s">
        <v>74</v>
      </c>
      <c r="BQ150" t="s">
        <v>74</v>
      </c>
      <c r="BR150" t="s">
        <v>105</v>
      </c>
      <c r="BS150" t="s">
        <v>3379</v>
      </c>
      <c r="BT150" t="str">
        <f>HYPERLINK("https%3A%2F%2Fwww.webofscience.com%2Fwos%2Fwoscc%2Ffull-record%2FWOS:000450150000022","View Full Record in Web of Science")</f>
        <v>View Full Record in Web of Science</v>
      </c>
    </row>
    <row r="151" spans="1:72" x14ac:dyDescent="0.15">
      <c r="A151" t="s">
        <v>2331</v>
      </c>
      <c r="B151" t="s">
        <v>3380</v>
      </c>
      <c r="C151" t="s">
        <v>3380</v>
      </c>
      <c r="D151" t="s">
        <v>74</v>
      </c>
      <c r="E151" t="s">
        <v>74</v>
      </c>
      <c r="F151" t="s">
        <v>3381</v>
      </c>
      <c r="G151" t="s">
        <v>3380</v>
      </c>
      <c r="H151" t="s">
        <v>74</v>
      </c>
      <c r="I151" t="s">
        <v>3382</v>
      </c>
      <c r="J151" t="s">
        <v>3383</v>
      </c>
      <c r="K151" t="s">
        <v>74</v>
      </c>
      <c r="L151" t="s">
        <v>74</v>
      </c>
      <c r="M151" t="s">
        <v>78</v>
      </c>
      <c r="N151" t="s">
        <v>2067</v>
      </c>
      <c r="O151" t="s">
        <v>74</v>
      </c>
      <c r="P151" t="s">
        <v>74</v>
      </c>
      <c r="Q151" t="s">
        <v>74</v>
      </c>
      <c r="R151" t="s">
        <v>74</v>
      </c>
      <c r="S151" t="s">
        <v>74</v>
      </c>
      <c r="T151" t="s">
        <v>74</v>
      </c>
      <c r="U151" t="s">
        <v>3384</v>
      </c>
      <c r="V151" t="s">
        <v>74</v>
      </c>
      <c r="W151" t="s">
        <v>3385</v>
      </c>
      <c r="X151" t="s">
        <v>3386</v>
      </c>
      <c r="Y151" t="s">
        <v>3387</v>
      </c>
      <c r="Z151" t="s">
        <v>74</v>
      </c>
      <c r="AA151" t="s">
        <v>74</v>
      </c>
      <c r="AB151" t="s">
        <v>74</v>
      </c>
      <c r="AC151" t="s">
        <v>74</v>
      </c>
      <c r="AD151" t="s">
        <v>74</v>
      </c>
      <c r="AE151" t="s">
        <v>74</v>
      </c>
      <c r="AF151" t="s">
        <v>74</v>
      </c>
      <c r="AG151">
        <v>65</v>
      </c>
      <c r="AH151">
        <v>0</v>
      </c>
      <c r="AI151">
        <v>0</v>
      </c>
      <c r="AJ151">
        <v>0</v>
      </c>
      <c r="AK151">
        <v>1</v>
      </c>
      <c r="AL151" t="s">
        <v>3097</v>
      </c>
      <c r="AM151" t="s">
        <v>1581</v>
      </c>
      <c r="AN151" t="s">
        <v>3208</v>
      </c>
      <c r="AO151" t="s">
        <v>74</v>
      </c>
      <c r="AP151" t="s">
        <v>74</v>
      </c>
      <c r="AQ151" t="s">
        <v>3388</v>
      </c>
      <c r="AR151" t="s">
        <v>74</v>
      </c>
      <c r="AS151" t="s">
        <v>74</v>
      </c>
      <c r="AT151" t="s">
        <v>74</v>
      </c>
      <c r="AU151">
        <v>2017</v>
      </c>
      <c r="AV151" t="s">
        <v>74</v>
      </c>
      <c r="AW151" t="s">
        <v>74</v>
      </c>
      <c r="AX151" t="s">
        <v>74</v>
      </c>
      <c r="AY151" t="s">
        <v>74</v>
      </c>
      <c r="AZ151" t="s">
        <v>74</v>
      </c>
      <c r="BA151" t="s">
        <v>74</v>
      </c>
      <c r="BB151">
        <v>445</v>
      </c>
      <c r="BC151">
        <v>467</v>
      </c>
      <c r="BD151" t="s">
        <v>74</v>
      </c>
      <c r="BE151" t="s">
        <v>74</v>
      </c>
      <c r="BF151" t="s">
        <v>74</v>
      </c>
      <c r="BG151" t="s">
        <v>3389</v>
      </c>
      <c r="BH151" t="s">
        <v>74</v>
      </c>
      <c r="BI151">
        <v>23</v>
      </c>
      <c r="BJ151" t="s">
        <v>3390</v>
      </c>
      <c r="BK151" t="s">
        <v>2084</v>
      </c>
      <c r="BL151" t="s">
        <v>3391</v>
      </c>
      <c r="BM151" t="s">
        <v>3392</v>
      </c>
      <c r="BN151" t="s">
        <v>74</v>
      </c>
      <c r="BO151" t="s">
        <v>74</v>
      </c>
      <c r="BP151" t="s">
        <v>74</v>
      </c>
      <c r="BQ151" t="s">
        <v>74</v>
      </c>
      <c r="BR151" t="s">
        <v>105</v>
      </c>
      <c r="BS151" t="s">
        <v>3393</v>
      </c>
      <c r="BT151" t="str">
        <f>HYPERLINK("https%3A%2F%2Fwww.webofscience.com%2Fwos%2Fwoscc%2Ffull-record%2FWOS:000444328800018","View Full Record in Web of Science")</f>
        <v>View Full Record in Web of Science</v>
      </c>
    </row>
    <row r="152" spans="1:72" x14ac:dyDescent="0.15">
      <c r="A152" t="s">
        <v>2331</v>
      </c>
      <c r="B152" t="s">
        <v>3394</v>
      </c>
      <c r="C152" t="s">
        <v>74</v>
      </c>
      <c r="D152" t="s">
        <v>3395</v>
      </c>
      <c r="E152" t="s">
        <v>74</v>
      </c>
      <c r="F152" t="s">
        <v>3396</v>
      </c>
      <c r="G152" t="s">
        <v>74</v>
      </c>
      <c r="H152" t="s">
        <v>74</v>
      </c>
      <c r="I152" t="s">
        <v>3397</v>
      </c>
      <c r="J152" t="s">
        <v>3398</v>
      </c>
      <c r="K152" t="s">
        <v>74</v>
      </c>
      <c r="L152" t="s">
        <v>74</v>
      </c>
      <c r="M152" t="s">
        <v>78</v>
      </c>
      <c r="N152" t="s">
        <v>2067</v>
      </c>
      <c r="O152" t="s">
        <v>74</v>
      </c>
      <c r="P152" t="s">
        <v>74</v>
      </c>
      <c r="Q152" t="s">
        <v>74</v>
      </c>
      <c r="R152" t="s">
        <v>74</v>
      </c>
      <c r="S152" t="s">
        <v>74</v>
      </c>
      <c r="T152" t="s">
        <v>3399</v>
      </c>
      <c r="U152" t="s">
        <v>3400</v>
      </c>
      <c r="V152" t="s">
        <v>3401</v>
      </c>
      <c r="W152" t="s">
        <v>3402</v>
      </c>
      <c r="X152" t="s">
        <v>3403</v>
      </c>
      <c r="Y152" t="s">
        <v>3404</v>
      </c>
      <c r="Z152" t="s">
        <v>74</v>
      </c>
      <c r="AA152" t="s">
        <v>3405</v>
      </c>
      <c r="AB152" t="s">
        <v>74</v>
      </c>
      <c r="AC152" t="s">
        <v>74</v>
      </c>
      <c r="AD152" t="s">
        <v>74</v>
      </c>
      <c r="AE152" t="s">
        <v>74</v>
      </c>
      <c r="AF152" t="s">
        <v>74</v>
      </c>
      <c r="AG152">
        <v>72</v>
      </c>
      <c r="AH152">
        <v>10</v>
      </c>
      <c r="AI152">
        <v>10</v>
      </c>
      <c r="AJ152">
        <v>0</v>
      </c>
      <c r="AK152">
        <v>1</v>
      </c>
      <c r="AL152" t="s">
        <v>3097</v>
      </c>
      <c r="AM152" t="s">
        <v>1581</v>
      </c>
      <c r="AN152" t="s">
        <v>3208</v>
      </c>
      <c r="AO152" t="s">
        <v>74</v>
      </c>
      <c r="AP152" t="s">
        <v>74</v>
      </c>
      <c r="AQ152" t="s">
        <v>3406</v>
      </c>
      <c r="AR152" t="s">
        <v>74</v>
      </c>
      <c r="AS152" t="s">
        <v>74</v>
      </c>
      <c r="AT152" t="s">
        <v>74</v>
      </c>
      <c r="AU152">
        <v>2017</v>
      </c>
      <c r="AV152" t="s">
        <v>74</v>
      </c>
      <c r="AW152" t="s">
        <v>74</v>
      </c>
      <c r="AX152" t="s">
        <v>74</v>
      </c>
      <c r="AY152" t="s">
        <v>74</v>
      </c>
      <c r="AZ152" t="s">
        <v>74</v>
      </c>
      <c r="BA152" t="s">
        <v>74</v>
      </c>
      <c r="BB152">
        <v>194</v>
      </c>
      <c r="BC152">
        <v>216</v>
      </c>
      <c r="BD152" t="s">
        <v>74</v>
      </c>
      <c r="BE152" t="s">
        <v>74</v>
      </c>
      <c r="BF152" t="s">
        <v>74</v>
      </c>
      <c r="BG152" t="s">
        <v>3407</v>
      </c>
      <c r="BH152" t="s">
        <v>74</v>
      </c>
      <c r="BI152">
        <v>23</v>
      </c>
      <c r="BJ152" t="s">
        <v>3408</v>
      </c>
      <c r="BK152" t="s">
        <v>3409</v>
      </c>
      <c r="BL152" t="s">
        <v>3408</v>
      </c>
      <c r="BM152" t="s">
        <v>3410</v>
      </c>
      <c r="BN152" t="s">
        <v>74</v>
      </c>
      <c r="BO152" t="s">
        <v>74</v>
      </c>
      <c r="BP152" t="s">
        <v>74</v>
      </c>
      <c r="BQ152" t="s">
        <v>74</v>
      </c>
      <c r="BR152" t="s">
        <v>105</v>
      </c>
      <c r="BS152" t="s">
        <v>3411</v>
      </c>
      <c r="BT152" t="str">
        <f>HYPERLINK("https%3A%2F%2Fwww.webofscience.com%2Fwos%2Fwoscc%2Ffull-record%2FWOS:000443570600009","View Full Record in Web of Science")</f>
        <v>View Full Record in Web of Science</v>
      </c>
    </row>
    <row r="153" spans="1:72" x14ac:dyDescent="0.15">
      <c r="A153" t="s">
        <v>1823</v>
      </c>
      <c r="B153" t="s">
        <v>3412</v>
      </c>
      <c r="C153" t="s">
        <v>74</v>
      </c>
      <c r="D153" t="s">
        <v>3413</v>
      </c>
      <c r="E153" t="s">
        <v>74</v>
      </c>
      <c r="F153" t="s">
        <v>3414</v>
      </c>
      <c r="G153" t="s">
        <v>74</v>
      </c>
      <c r="H153" t="s">
        <v>74</v>
      </c>
      <c r="I153" t="s">
        <v>3415</v>
      </c>
      <c r="J153" t="s">
        <v>3416</v>
      </c>
      <c r="K153" t="s">
        <v>3417</v>
      </c>
      <c r="L153" t="s">
        <v>74</v>
      </c>
      <c r="M153" t="s">
        <v>78</v>
      </c>
      <c r="N153" t="s">
        <v>1829</v>
      </c>
      <c r="O153" t="s">
        <v>3418</v>
      </c>
      <c r="P153" t="s">
        <v>3419</v>
      </c>
      <c r="Q153" t="s">
        <v>3420</v>
      </c>
      <c r="R153" t="s">
        <v>74</v>
      </c>
      <c r="S153" t="s">
        <v>74</v>
      </c>
      <c r="T153" t="s">
        <v>3421</v>
      </c>
      <c r="U153" t="s">
        <v>3422</v>
      </c>
      <c r="V153" t="s">
        <v>3423</v>
      </c>
      <c r="W153" t="s">
        <v>3424</v>
      </c>
      <c r="X153" t="s">
        <v>3425</v>
      </c>
      <c r="Y153" t="s">
        <v>3426</v>
      </c>
      <c r="Z153" t="s">
        <v>3427</v>
      </c>
      <c r="AA153" t="s">
        <v>3428</v>
      </c>
      <c r="AB153" t="s">
        <v>74</v>
      </c>
      <c r="AC153" t="s">
        <v>3429</v>
      </c>
      <c r="AD153" t="s">
        <v>3430</v>
      </c>
      <c r="AE153" t="s">
        <v>3431</v>
      </c>
      <c r="AF153" t="s">
        <v>74</v>
      </c>
      <c r="AG153">
        <v>8</v>
      </c>
      <c r="AH153">
        <v>0</v>
      </c>
      <c r="AI153">
        <v>0</v>
      </c>
      <c r="AJ153">
        <v>0</v>
      </c>
      <c r="AK153">
        <v>0</v>
      </c>
      <c r="AL153" t="s">
        <v>3432</v>
      </c>
      <c r="AM153" t="s">
        <v>3433</v>
      </c>
      <c r="AN153" t="s">
        <v>3434</v>
      </c>
      <c r="AO153" t="s">
        <v>3435</v>
      </c>
      <c r="AP153" t="s">
        <v>3436</v>
      </c>
      <c r="AQ153" t="s">
        <v>3437</v>
      </c>
      <c r="AR153" t="s">
        <v>3438</v>
      </c>
      <c r="AS153" t="s">
        <v>74</v>
      </c>
      <c r="AT153" t="s">
        <v>74</v>
      </c>
      <c r="AU153">
        <v>2017</v>
      </c>
      <c r="AV153">
        <v>10466</v>
      </c>
      <c r="AW153" t="s">
        <v>74</v>
      </c>
      <c r="AX153">
        <v>1</v>
      </c>
      <c r="AY153" t="s">
        <v>74</v>
      </c>
      <c r="AZ153" t="s">
        <v>74</v>
      </c>
      <c r="BA153" t="s">
        <v>74</v>
      </c>
      <c r="BB153" t="s">
        <v>74</v>
      </c>
      <c r="BC153" t="s">
        <v>74</v>
      </c>
      <c r="BD153" t="s">
        <v>3439</v>
      </c>
      <c r="BE153" t="s">
        <v>3440</v>
      </c>
      <c r="BF153" t="str">
        <f>HYPERLINK("http://dx.doi.org/10.1117/12.2284446","http://dx.doi.org/10.1117/12.2284446")</f>
        <v>http://dx.doi.org/10.1117/12.2284446</v>
      </c>
      <c r="BG153" t="s">
        <v>74</v>
      </c>
      <c r="BH153" t="s">
        <v>74</v>
      </c>
      <c r="BI153">
        <v>5</v>
      </c>
      <c r="BJ153" t="s">
        <v>3441</v>
      </c>
      <c r="BK153" t="s">
        <v>1844</v>
      </c>
      <c r="BL153" t="s">
        <v>3442</v>
      </c>
      <c r="BM153" t="s">
        <v>3443</v>
      </c>
      <c r="BN153" t="s">
        <v>74</v>
      </c>
      <c r="BO153" t="s">
        <v>74</v>
      </c>
      <c r="BP153" t="s">
        <v>74</v>
      </c>
      <c r="BQ153" t="s">
        <v>74</v>
      </c>
      <c r="BR153" t="s">
        <v>105</v>
      </c>
      <c r="BS153" t="s">
        <v>3444</v>
      </c>
      <c r="BT153" t="str">
        <f>HYPERLINK("https%3A%2F%2Fwww.webofscience.com%2Fwos%2Fwoscc%2Ffull-record%2FWOS:000442257000090","View Full Record in Web of Science")</f>
        <v>View Full Record in Web of Science</v>
      </c>
    </row>
    <row r="154" spans="1:72" x14ac:dyDescent="0.15">
      <c r="A154" t="s">
        <v>1823</v>
      </c>
      <c r="B154" t="s">
        <v>3445</v>
      </c>
      <c r="C154" t="s">
        <v>74</v>
      </c>
      <c r="D154" t="s">
        <v>3413</v>
      </c>
      <c r="E154" t="s">
        <v>74</v>
      </c>
      <c r="F154" t="s">
        <v>3446</v>
      </c>
      <c r="G154" t="s">
        <v>74</v>
      </c>
      <c r="H154" t="s">
        <v>74</v>
      </c>
      <c r="I154" t="s">
        <v>3447</v>
      </c>
      <c r="J154" t="s">
        <v>3416</v>
      </c>
      <c r="K154" t="s">
        <v>3417</v>
      </c>
      <c r="L154" t="s">
        <v>74</v>
      </c>
      <c r="M154" t="s">
        <v>78</v>
      </c>
      <c r="N154" t="s">
        <v>1829</v>
      </c>
      <c r="O154" t="s">
        <v>3418</v>
      </c>
      <c r="P154" t="s">
        <v>3419</v>
      </c>
      <c r="Q154" t="s">
        <v>3420</v>
      </c>
      <c r="R154" t="s">
        <v>74</v>
      </c>
      <c r="S154" t="s">
        <v>74</v>
      </c>
      <c r="T154" t="s">
        <v>3448</v>
      </c>
      <c r="U154" t="s">
        <v>3449</v>
      </c>
      <c r="V154" t="s">
        <v>3450</v>
      </c>
      <c r="W154" t="s">
        <v>3451</v>
      </c>
      <c r="X154" t="s">
        <v>3452</v>
      </c>
      <c r="Y154" t="s">
        <v>3453</v>
      </c>
      <c r="Z154" t="s">
        <v>3454</v>
      </c>
      <c r="AA154" t="s">
        <v>3455</v>
      </c>
      <c r="AB154" t="s">
        <v>3456</v>
      </c>
      <c r="AC154" t="s">
        <v>3457</v>
      </c>
      <c r="AD154" t="s">
        <v>3458</v>
      </c>
      <c r="AE154" t="s">
        <v>3459</v>
      </c>
      <c r="AF154" t="s">
        <v>74</v>
      </c>
      <c r="AG154">
        <v>16</v>
      </c>
      <c r="AH154">
        <v>1</v>
      </c>
      <c r="AI154">
        <v>1</v>
      </c>
      <c r="AJ154">
        <v>0</v>
      </c>
      <c r="AK154">
        <v>0</v>
      </c>
      <c r="AL154" t="s">
        <v>3432</v>
      </c>
      <c r="AM154" t="s">
        <v>3433</v>
      </c>
      <c r="AN154" t="s">
        <v>3434</v>
      </c>
      <c r="AO154" t="s">
        <v>3435</v>
      </c>
      <c r="AP154" t="s">
        <v>3436</v>
      </c>
      <c r="AQ154" t="s">
        <v>3437</v>
      </c>
      <c r="AR154" t="s">
        <v>3438</v>
      </c>
      <c r="AS154" t="s">
        <v>74</v>
      </c>
      <c r="AT154" t="s">
        <v>74</v>
      </c>
      <c r="AU154">
        <v>2017</v>
      </c>
      <c r="AV154">
        <v>10466</v>
      </c>
      <c r="AW154" t="s">
        <v>74</v>
      </c>
      <c r="AX154">
        <v>1</v>
      </c>
      <c r="AY154" t="s">
        <v>74</v>
      </c>
      <c r="AZ154" t="s">
        <v>74</v>
      </c>
      <c r="BA154" t="s">
        <v>74</v>
      </c>
      <c r="BB154" t="s">
        <v>74</v>
      </c>
      <c r="BC154" t="s">
        <v>74</v>
      </c>
      <c r="BD154" t="s">
        <v>3460</v>
      </c>
      <c r="BE154" t="s">
        <v>3461</v>
      </c>
      <c r="BF154" t="str">
        <f>HYPERLINK("http://dx.doi.org/10.1117/12.2284298","http://dx.doi.org/10.1117/12.2284298")</f>
        <v>http://dx.doi.org/10.1117/12.2284298</v>
      </c>
      <c r="BG154" t="s">
        <v>74</v>
      </c>
      <c r="BH154" t="s">
        <v>74</v>
      </c>
      <c r="BI154">
        <v>6</v>
      </c>
      <c r="BJ154" t="s">
        <v>3441</v>
      </c>
      <c r="BK154" t="s">
        <v>1844</v>
      </c>
      <c r="BL154" t="s">
        <v>3442</v>
      </c>
      <c r="BM154" t="s">
        <v>3443</v>
      </c>
      <c r="BN154" t="s">
        <v>74</v>
      </c>
      <c r="BO154" t="s">
        <v>74</v>
      </c>
      <c r="BP154" t="s">
        <v>74</v>
      </c>
      <c r="BQ154" t="s">
        <v>74</v>
      </c>
      <c r="BR154" t="s">
        <v>105</v>
      </c>
      <c r="BS154" t="s">
        <v>3462</v>
      </c>
      <c r="BT154" t="str">
        <f>HYPERLINK("https%3A%2F%2Fwww.webofscience.com%2Fwos%2Fwoscc%2Ffull-record%2FWOS:000442257000086","View Full Record in Web of Science")</f>
        <v>View Full Record in Web of Science</v>
      </c>
    </row>
    <row r="155" spans="1:72" x14ac:dyDescent="0.15">
      <c r="A155" t="s">
        <v>1823</v>
      </c>
      <c r="B155" t="s">
        <v>3463</v>
      </c>
      <c r="C155" t="s">
        <v>74</v>
      </c>
      <c r="D155" t="s">
        <v>3413</v>
      </c>
      <c r="E155" t="s">
        <v>74</v>
      </c>
      <c r="F155" t="s">
        <v>3464</v>
      </c>
      <c r="G155" t="s">
        <v>74</v>
      </c>
      <c r="H155" t="s">
        <v>74</v>
      </c>
      <c r="I155" t="s">
        <v>3465</v>
      </c>
      <c r="J155" t="s">
        <v>3416</v>
      </c>
      <c r="K155" t="s">
        <v>3417</v>
      </c>
      <c r="L155" t="s">
        <v>74</v>
      </c>
      <c r="M155" t="s">
        <v>78</v>
      </c>
      <c r="N155" t="s">
        <v>1829</v>
      </c>
      <c r="O155" t="s">
        <v>3418</v>
      </c>
      <c r="P155" t="s">
        <v>3419</v>
      </c>
      <c r="Q155" t="s">
        <v>3420</v>
      </c>
      <c r="R155" t="s">
        <v>74</v>
      </c>
      <c r="S155" t="s">
        <v>74</v>
      </c>
      <c r="T155" t="s">
        <v>3466</v>
      </c>
      <c r="U155" t="s">
        <v>74</v>
      </c>
      <c r="V155" t="s">
        <v>3467</v>
      </c>
      <c r="W155" t="s">
        <v>3468</v>
      </c>
      <c r="X155" t="s">
        <v>3469</v>
      </c>
      <c r="Y155" t="s">
        <v>3470</v>
      </c>
      <c r="Z155" t="s">
        <v>3471</v>
      </c>
      <c r="AA155" t="s">
        <v>74</v>
      </c>
      <c r="AB155" t="s">
        <v>3472</v>
      </c>
      <c r="AC155" t="s">
        <v>74</v>
      </c>
      <c r="AD155" t="s">
        <v>74</v>
      </c>
      <c r="AE155" t="s">
        <v>74</v>
      </c>
      <c r="AF155" t="s">
        <v>74</v>
      </c>
      <c r="AG155">
        <v>3</v>
      </c>
      <c r="AH155">
        <v>1</v>
      </c>
      <c r="AI155">
        <v>1</v>
      </c>
      <c r="AJ155">
        <v>0</v>
      </c>
      <c r="AK155">
        <v>4</v>
      </c>
      <c r="AL155" t="s">
        <v>3432</v>
      </c>
      <c r="AM155" t="s">
        <v>3433</v>
      </c>
      <c r="AN155" t="s">
        <v>3434</v>
      </c>
      <c r="AO155" t="s">
        <v>3435</v>
      </c>
      <c r="AP155" t="s">
        <v>3436</v>
      </c>
      <c r="AQ155" t="s">
        <v>3437</v>
      </c>
      <c r="AR155" t="s">
        <v>3438</v>
      </c>
      <c r="AS155" t="s">
        <v>74</v>
      </c>
      <c r="AT155" t="s">
        <v>74</v>
      </c>
      <c r="AU155">
        <v>2017</v>
      </c>
      <c r="AV155">
        <v>10466</v>
      </c>
      <c r="AW155" t="s">
        <v>74</v>
      </c>
      <c r="AX155">
        <v>1</v>
      </c>
      <c r="AY155" t="s">
        <v>74</v>
      </c>
      <c r="AZ155" t="s">
        <v>74</v>
      </c>
      <c r="BA155" t="s">
        <v>74</v>
      </c>
      <c r="BB155" t="s">
        <v>74</v>
      </c>
      <c r="BC155" t="s">
        <v>74</v>
      </c>
      <c r="BD155" t="s">
        <v>3473</v>
      </c>
      <c r="BE155" t="s">
        <v>3474</v>
      </c>
      <c r="BF155" t="str">
        <f>HYPERLINK("http://dx.doi.org/10.1117/12.2293210","http://dx.doi.org/10.1117/12.2293210")</f>
        <v>http://dx.doi.org/10.1117/12.2293210</v>
      </c>
      <c r="BG155" t="s">
        <v>74</v>
      </c>
      <c r="BH155" t="s">
        <v>74</v>
      </c>
      <c r="BI155">
        <v>4</v>
      </c>
      <c r="BJ155" t="s">
        <v>3441</v>
      </c>
      <c r="BK155" t="s">
        <v>1844</v>
      </c>
      <c r="BL155" t="s">
        <v>3442</v>
      </c>
      <c r="BM155" t="s">
        <v>3443</v>
      </c>
      <c r="BN155" t="s">
        <v>74</v>
      </c>
      <c r="BO155" t="s">
        <v>378</v>
      </c>
      <c r="BP155" t="s">
        <v>74</v>
      </c>
      <c r="BQ155" t="s">
        <v>74</v>
      </c>
      <c r="BR155" t="s">
        <v>105</v>
      </c>
      <c r="BS155" t="s">
        <v>3475</v>
      </c>
      <c r="BT155" t="str">
        <f>HYPERLINK("https%3A%2F%2Fwww.webofscience.com%2Fwos%2Fwoscc%2Ffull-record%2FWOS:000442257000257","View Full Record in Web of Science")</f>
        <v>View Full Record in Web of Science</v>
      </c>
    </row>
    <row r="156" spans="1:72" x14ac:dyDescent="0.15">
      <c r="A156" t="s">
        <v>1823</v>
      </c>
      <c r="B156" t="s">
        <v>3476</v>
      </c>
      <c r="C156" t="s">
        <v>74</v>
      </c>
      <c r="D156" t="s">
        <v>3413</v>
      </c>
      <c r="E156" t="s">
        <v>74</v>
      </c>
      <c r="F156" t="s">
        <v>3477</v>
      </c>
      <c r="G156" t="s">
        <v>74</v>
      </c>
      <c r="H156" t="s">
        <v>74</v>
      </c>
      <c r="I156" t="s">
        <v>3478</v>
      </c>
      <c r="J156" t="s">
        <v>3416</v>
      </c>
      <c r="K156" t="s">
        <v>3417</v>
      </c>
      <c r="L156" t="s">
        <v>74</v>
      </c>
      <c r="M156" t="s">
        <v>78</v>
      </c>
      <c r="N156" t="s">
        <v>1829</v>
      </c>
      <c r="O156" t="s">
        <v>3418</v>
      </c>
      <c r="P156" t="s">
        <v>3419</v>
      </c>
      <c r="Q156" t="s">
        <v>3420</v>
      </c>
      <c r="R156" t="s">
        <v>74</v>
      </c>
      <c r="S156" t="s">
        <v>74</v>
      </c>
      <c r="T156" t="s">
        <v>3479</v>
      </c>
      <c r="U156" t="s">
        <v>3480</v>
      </c>
      <c r="V156" t="s">
        <v>3481</v>
      </c>
      <c r="W156" t="s">
        <v>3482</v>
      </c>
      <c r="X156" t="s">
        <v>3483</v>
      </c>
      <c r="Y156" t="s">
        <v>3484</v>
      </c>
      <c r="Z156" t="s">
        <v>3427</v>
      </c>
      <c r="AA156" t="s">
        <v>3485</v>
      </c>
      <c r="AB156" t="s">
        <v>74</v>
      </c>
      <c r="AC156" t="s">
        <v>3486</v>
      </c>
      <c r="AD156" t="s">
        <v>3487</v>
      </c>
      <c r="AE156" t="s">
        <v>3488</v>
      </c>
      <c r="AF156" t="s">
        <v>74</v>
      </c>
      <c r="AG156">
        <v>10</v>
      </c>
      <c r="AH156">
        <v>0</v>
      </c>
      <c r="AI156">
        <v>0</v>
      </c>
      <c r="AJ156">
        <v>0</v>
      </c>
      <c r="AK156">
        <v>1</v>
      </c>
      <c r="AL156" t="s">
        <v>3432</v>
      </c>
      <c r="AM156" t="s">
        <v>3433</v>
      </c>
      <c r="AN156" t="s">
        <v>3434</v>
      </c>
      <c r="AO156" t="s">
        <v>3435</v>
      </c>
      <c r="AP156" t="s">
        <v>3436</v>
      </c>
      <c r="AQ156" t="s">
        <v>3437</v>
      </c>
      <c r="AR156" t="s">
        <v>3438</v>
      </c>
      <c r="AS156" t="s">
        <v>74</v>
      </c>
      <c r="AT156" t="s">
        <v>74</v>
      </c>
      <c r="AU156">
        <v>2017</v>
      </c>
      <c r="AV156">
        <v>10466</v>
      </c>
      <c r="AW156" t="s">
        <v>74</v>
      </c>
      <c r="AX156">
        <v>1</v>
      </c>
      <c r="AY156" t="s">
        <v>74</v>
      </c>
      <c r="AZ156" t="s">
        <v>74</v>
      </c>
      <c r="BA156" t="s">
        <v>74</v>
      </c>
      <c r="BB156" t="s">
        <v>74</v>
      </c>
      <c r="BC156" t="s">
        <v>74</v>
      </c>
      <c r="BD156" t="s">
        <v>3489</v>
      </c>
      <c r="BE156" t="s">
        <v>3490</v>
      </c>
      <c r="BF156" t="str">
        <f>HYPERLINK("http://dx.doi.org/10.1117/12.2283063","http://dx.doi.org/10.1117/12.2283063")</f>
        <v>http://dx.doi.org/10.1117/12.2283063</v>
      </c>
      <c r="BG156" t="s">
        <v>74</v>
      </c>
      <c r="BH156" t="s">
        <v>74</v>
      </c>
      <c r="BI156">
        <v>6</v>
      </c>
      <c r="BJ156" t="s">
        <v>3441</v>
      </c>
      <c r="BK156" t="s">
        <v>1844</v>
      </c>
      <c r="BL156" t="s">
        <v>3442</v>
      </c>
      <c r="BM156" t="s">
        <v>3443</v>
      </c>
      <c r="BN156" t="s">
        <v>74</v>
      </c>
      <c r="BO156" t="s">
        <v>74</v>
      </c>
      <c r="BP156" t="s">
        <v>74</v>
      </c>
      <c r="BQ156" t="s">
        <v>74</v>
      </c>
      <c r="BR156" t="s">
        <v>105</v>
      </c>
      <c r="BS156" t="s">
        <v>3491</v>
      </c>
      <c r="BT156" t="str">
        <f>HYPERLINK("https%3A%2F%2Fwww.webofscience.com%2Fwos%2Fwoscc%2Ffull-record%2FWOS:000442257000084","View Full Record in Web of Science")</f>
        <v>View Full Record in Web of Science</v>
      </c>
    </row>
    <row r="157" spans="1:72" x14ac:dyDescent="0.15">
      <c r="A157" t="s">
        <v>1921</v>
      </c>
      <c r="B157" t="s">
        <v>74</v>
      </c>
      <c r="C157" t="s">
        <v>74</v>
      </c>
      <c r="D157" t="s">
        <v>3492</v>
      </c>
      <c r="E157" t="s">
        <v>74</v>
      </c>
      <c r="F157" t="s">
        <v>74</v>
      </c>
      <c r="G157" t="s">
        <v>74</v>
      </c>
      <c r="H157" t="s">
        <v>74</v>
      </c>
      <c r="I157" t="s">
        <v>3493</v>
      </c>
      <c r="J157" t="s">
        <v>3494</v>
      </c>
      <c r="K157" t="s">
        <v>3495</v>
      </c>
      <c r="L157" t="s">
        <v>74</v>
      </c>
      <c r="M157" t="s">
        <v>78</v>
      </c>
      <c r="N157" t="s">
        <v>3496</v>
      </c>
      <c r="O157" t="s">
        <v>74</v>
      </c>
      <c r="P157" t="s">
        <v>74</v>
      </c>
      <c r="Q157" t="s">
        <v>74</v>
      </c>
      <c r="R157" t="s">
        <v>74</v>
      </c>
      <c r="S157" t="s">
        <v>74</v>
      </c>
      <c r="T157" t="s">
        <v>74</v>
      </c>
      <c r="U157" t="s">
        <v>74</v>
      </c>
      <c r="V157" t="s">
        <v>74</v>
      </c>
      <c r="W157" t="s">
        <v>74</v>
      </c>
      <c r="X157" t="s">
        <v>74</v>
      </c>
      <c r="Y157" t="s">
        <v>74</v>
      </c>
      <c r="Z157" t="s">
        <v>74</v>
      </c>
      <c r="AA157" t="s">
        <v>74</v>
      </c>
      <c r="AB157" t="s">
        <v>74</v>
      </c>
      <c r="AC157" t="s">
        <v>74</v>
      </c>
      <c r="AD157" t="s">
        <v>74</v>
      </c>
      <c r="AE157" t="s">
        <v>74</v>
      </c>
      <c r="AF157" t="s">
        <v>74</v>
      </c>
      <c r="AG157">
        <v>0</v>
      </c>
      <c r="AH157">
        <v>0</v>
      </c>
      <c r="AI157">
        <v>0</v>
      </c>
      <c r="AJ157">
        <v>0</v>
      </c>
      <c r="AK157">
        <v>5</v>
      </c>
      <c r="AL157" t="s">
        <v>3497</v>
      </c>
      <c r="AM157" t="s">
        <v>3498</v>
      </c>
      <c r="AN157" t="s">
        <v>3499</v>
      </c>
      <c r="AO157" t="s">
        <v>3500</v>
      </c>
      <c r="AP157" t="s">
        <v>74</v>
      </c>
      <c r="AQ157" t="s">
        <v>3501</v>
      </c>
      <c r="AR157" t="s">
        <v>3502</v>
      </c>
      <c r="AS157" t="s">
        <v>74</v>
      </c>
      <c r="AT157" t="s">
        <v>74</v>
      </c>
      <c r="AU157">
        <v>2017</v>
      </c>
      <c r="AV157">
        <v>3</v>
      </c>
      <c r="AW157" t="s">
        <v>74</v>
      </c>
      <c r="AX157" t="s">
        <v>74</v>
      </c>
      <c r="AY157" t="s">
        <v>74</v>
      </c>
      <c r="AZ157" t="s">
        <v>74</v>
      </c>
      <c r="BA157" t="s">
        <v>74</v>
      </c>
      <c r="BB157">
        <v>1</v>
      </c>
      <c r="BC157">
        <v>314</v>
      </c>
      <c r="BD157" t="s">
        <v>74</v>
      </c>
      <c r="BE157" t="s">
        <v>3503</v>
      </c>
      <c r="BF157" t="str">
        <f>HYPERLINK("http://dx.doi.org/10.1007/978-3-319-55893-6","http://dx.doi.org/10.1007/978-3-319-55893-6")</f>
        <v>http://dx.doi.org/10.1007/978-3-319-55893-6</v>
      </c>
      <c r="BG157" t="s">
        <v>74</v>
      </c>
      <c r="BH157" t="s">
        <v>74</v>
      </c>
      <c r="BI157">
        <v>92</v>
      </c>
      <c r="BJ157" t="s">
        <v>3504</v>
      </c>
      <c r="BK157" t="s">
        <v>2084</v>
      </c>
      <c r="BL157" t="s">
        <v>3505</v>
      </c>
      <c r="BM157" t="s">
        <v>3506</v>
      </c>
      <c r="BN157" t="s">
        <v>74</v>
      </c>
      <c r="BO157" t="s">
        <v>378</v>
      </c>
      <c r="BP157" t="s">
        <v>74</v>
      </c>
      <c r="BQ157" t="s">
        <v>74</v>
      </c>
      <c r="BR157" t="s">
        <v>105</v>
      </c>
      <c r="BS157" t="s">
        <v>3507</v>
      </c>
      <c r="BT157" t="str">
        <f>HYPERLINK("https%3A%2F%2Fwww.webofscience.com%2Fwos%2Fwoscc%2Ffull-record%2FWOS:000439509000017","View Full Record in Web of Science")</f>
        <v>View Full Record in Web of Science</v>
      </c>
    </row>
    <row r="158" spans="1:72" x14ac:dyDescent="0.15">
      <c r="A158" t="s">
        <v>1921</v>
      </c>
      <c r="B158" t="s">
        <v>3508</v>
      </c>
      <c r="C158" t="s">
        <v>74</v>
      </c>
      <c r="D158" t="s">
        <v>3492</v>
      </c>
      <c r="E158" t="s">
        <v>74</v>
      </c>
      <c r="F158" t="s">
        <v>3509</v>
      </c>
      <c r="G158" t="s">
        <v>74</v>
      </c>
      <c r="H158" t="s">
        <v>74</v>
      </c>
      <c r="I158" t="s">
        <v>3510</v>
      </c>
      <c r="J158" t="s">
        <v>3494</v>
      </c>
      <c r="K158" t="s">
        <v>3495</v>
      </c>
      <c r="L158" t="s">
        <v>74</v>
      </c>
      <c r="M158" t="s">
        <v>78</v>
      </c>
      <c r="N158" t="s">
        <v>2067</v>
      </c>
      <c r="O158" t="s">
        <v>74</v>
      </c>
      <c r="P158" t="s">
        <v>74</v>
      </c>
      <c r="Q158" t="s">
        <v>74</v>
      </c>
      <c r="R158" t="s">
        <v>74</v>
      </c>
      <c r="S158" t="s">
        <v>74</v>
      </c>
      <c r="T158" t="s">
        <v>3511</v>
      </c>
      <c r="U158" t="s">
        <v>3512</v>
      </c>
      <c r="V158" t="s">
        <v>3513</v>
      </c>
      <c r="W158" t="s">
        <v>3514</v>
      </c>
      <c r="X158" t="s">
        <v>3515</v>
      </c>
      <c r="Y158" t="s">
        <v>3516</v>
      </c>
      <c r="Z158" t="s">
        <v>3517</v>
      </c>
      <c r="AA158" t="s">
        <v>3518</v>
      </c>
      <c r="AB158" t="s">
        <v>74</v>
      </c>
      <c r="AC158" t="s">
        <v>74</v>
      </c>
      <c r="AD158" t="s">
        <v>74</v>
      </c>
      <c r="AE158" t="s">
        <v>74</v>
      </c>
      <c r="AF158" t="s">
        <v>74</v>
      </c>
      <c r="AG158">
        <v>56</v>
      </c>
      <c r="AH158">
        <v>0</v>
      </c>
      <c r="AI158">
        <v>1</v>
      </c>
      <c r="AJ158">
        <v>0</v>
      </c>
      <c r="AK158">
        <v>8</v>
      </c>
      <c r="AL158" t="s">
        <v>3497</v>
      </c>
      <c r="AM158" t="s">
        <v>3498</v>
      </c>
      <c r="AN158" t="s">
        <v>3499</v>
      </c>
      <c r="AO158" t="s">
        <v>3500</v>
      </c>
      <c r="AP158" t="s">
        <v>74</v>
      </c>
      <c r="AQ158" t="s">
        <v>3501</v>
      </c>
      <c r="AR158" t="s">
        <v>3502</v>
      </c>
      <c r="AS158" t="s">
        <v>74</v>
      </c>
      <c r="AT158" t="s">
        <v>74</v>
      </c>
      <c r="AU158">
        <v>2017</v>
      </c>
      <c r="AV158">
        <v>3</v>
      </c>
      <c r="AW158" t="s">
        <v>74</v>
      </c>
      <c r="AX158" t="s">
        <v>74</v>
      </c>
      <c r="AY158" t="s">
        <v>74</v>
      </c>
      <c r="AZ158" t="s">
        <v>74</v>
      </c>
      <c r="BA158" t="s">
        <v>74</v>
      </c>
      <c r="BB158">
        <v>27</v>
      </c>
      <c r="BC158">
        <v>46</v>
      </c>
      <c r="BD158" t="s">
        <v>74</v>
      </c>
      <c r="BE158" t="s">
        <v>3519</v>
      </c>
      <c r="BF158" t="str">
        <f>HYPERLINK("http://dx.doi.org/10.1007/978-3-319-55893-6_2","http://dx.doi.org/10.1007/978-3-319-55893-6_2")</f>
        <v>http://dx.doi.org/10.1007/978-3-319-55893-6_2</v>
      </c>
      <c r="BG158" t="s">
        <v>3503</v>
      </c>
      <c r="BH158" t="s">
        <v>74</v>
      </c>
      <c r="BI158">
        <v>20</v>
      </c>
      <c r="BJ158" t="s">
        <v>3504</v>
      </c>
      <c r="BK158" t="s">
        <v>2084</v>
      </c>
      <c r="BL158" t="s">
        <v>3505</v>
      </c>
      <c r="BM158" t="s">
        <v>3506</v>
      </c>
      <c r="BN158" t="s">
        <v>74</v>
      </c>
      <c r="BO158" t="s">
        <v>74</v>
      </c>
      <c r="BP158" t="s">
        <v>74</v>
      </c>
      <c r="BQ158" t="s">
        <v>74</v>
      </c>
      <c r="BR158" t="s">
        <v>105</v>
      </c>
      <c r="BS158" t="s">
        <v>3520</v>
      </c>
      <c r="BT158" t="str">
        <f>HYPERLINK("https%3A%2F%2Fwww.webofscience.com%2Fwos%2Fwoscc%2Ffull-record%2FWOS:000439509000004","View Full Record in Web of Science")</f>
        <v>View Full Record in Web of Science</v>
      </c>
    </row>
    <row r="159" spans="1:72" x14ac:dyDescent="0.15">
      <c r="A159" t="s">
        <v>1921</v>
      </c>
      <c r="B159" t="s">
        <v>3521</v>
      </c>
      <c r="C159" t="s">
        <v>74</v>
      </c>
      <c r="D159" t="s">
        <v>3492</v>
      </c>
      <c r="E159" t="s">
        <v>74</v>
      </c>
      <c r="F159" t="s">
        <v>3522</v>
      </c>
      <c r="G159" t="s">
        <v>74</v>
      </c>
      <c r="H159" t="s">
        <v>74</v>
      </c>
      <c r="I159" t="s">
        <v>3523</v>
      </c>
      <c r="J159" t="s">
        <v>3494</v>
      </c>
      <c r="K159" t="s">
        <v>3495</v>
      </c>
      <c r="L159" t="s">
        <v>74</v>
      </c>
      <c r="M159" t="s">
        <v>78</v>
      </c>
      <c r="N159" t="s">
        <v>2067</v>
      </c>
      <c r="O159" t="s">
        <v>74</v>
      </c>
      <c r="P159" t="s">
        <v>74</v>
      </c>
      <c r="Q159" t="s">
        <v>74</v>
      </c>
      <c r="R159" t="s">
        <v>74</v>
      </c>
      <c r="S159" t="s">
        <v>74</v>
      </c>
      <c r="T159" t="s">
        <v>3524</v>
      </c>
      <c r="U159" t="s">
        <v>3525</v>
      </c>
      <c r="V159" t="s">
        <v>3526</v>
      </c>
      <c r="W159" t="s">
        <v>3527</v>
      </c>
      <c r="X159" t="s">
        <v>3528</v>
      </c>
      <c r="Y159" t="s">
        <v>3529</v>
      </c>
      <c r="Z159" t="s">
        <v>3530</v>
      </c>
      <c r="AA159" t="s">
        <v>74</v>
      </c>
      <c r="AB159" t="s">
        <v>74</v>
      </c>
      <c r="AC159" t="s">
        <v>74</v>
      </c>
      <c r="AD159" t="s">
        <v>74</v>
      </c>
      <c r="AE159" t="s">
        <v>74</v>
      </c>
      <c r="AF159" t="s">
        <v>74</v>
      </c>
      <c r="AG159">
        <v>70</v>
      </c>
      <c r="AH159">
        <v>1</v>
      </c>
      <c r="AI159">
        <v>1</v>
      </c>
      <c r="AJ159">
        <v>0</v>
      </c>
      <c r="AK159">
        <v>3</v>
      </c>
      <c r="AL159" t="s">
        <v>3497</v>
      </c>
      <c r="AM159" t="s">
        <v>3498</v>
      </c>
      <c r="AN159" t="s">
        <v>3499</v>
      </c>
      <c r="AO159" t="s">
        <v>3500</v>
      </c>
      <c r="AP159" t="s">
        <v>74</v>
      </c>
      <c r="AQ159" t="s">
        <v>3501</v>
      </c>
      <c r="AR159" t="s">
        <v>3502</v>
      </c>
      <c r="AS159" t="s">
        <v>74</v>
      </c>
      <c r="AT159" t="s">
        <v>74</v>
      </c>
      <c r="AU159">
        <v>2017</v>
      </c>
      <c r="AV159">
        <v>3</v>
      </c>
      <c r="AW159" t="s">
        <v>74</v>
      </c>
      <c r="AX159" t="s">
        <v>74</v>
      </c>
      <c r="AY159" t="s">
        <v>74</v>
      </c>
      <c r="AZ159" t="s">
        <v>74</v>
      </c>
      <c r="BA159" t="s">
        <v>74</v>
      </c>
      <c r="BB159">
        <v>47</v>
      </c>
      <c r="BC159">
        <v>65</v>
      </c>
      <c r="BD159" t="s">
        <v>74</v>
      </c>
      <c r="BE159" t="s">
        <v>3531</v>
      </c>
      <c r="BF159" t="str">
        <f>HYPERLINK("http://dx.doi.org/10.1007/978-3-319-55893-6_3","http://dx.doi.org/10.1007/978-3-319-55893-6_3")</f>
        <v>http://dx.doi.org/10.1007/978-3-319-55893-6_3</v>
      </c>
      <c r="BG159" t="s">
        <v>3503</v>
      </c>
      <c r="BH159" t="s">
        <v>74</v>
      </c>
      <c r="BI159">
        <v>19</v>
      </c>
      <c r="BJ159" t="s">
        <v>3504</v>
      </c>
      <c r="BK159" t="s">
        <v>2084</v>
      </c>
      <c r="BL159" t="s">
        <v>3505</v>
      </c>
      <c r="BM159" t="s">
        <v>3506</v>
      </c>
      <c r="BN159" t="s">
        <v>74</v>
      </c>
      <c r="BO159" t="s">
        <v>74</v>
      </c>
      <c r="BP159" t="s">
        <v>74</v>
      </c>
      <c r="BQ159" t="s">
        <v>74</v>
      </c>
      <c r="BR159" t="s">
        <v>105</v>
      </c>
      <c r="BS159" t="s">
        <v>3532</v>
      </c>
      <c r="BT159" t="str">
        <f>HYPERLINK("https%3A%2F%2Fwww.webofscience.com%2Fwos%2Fwoscc%2Ffull-record%2FWOS:000439509000005","View Full Record in Web of Science")</f>
        <v>View Full Record in Web of Science</v>
      </c>
    </row>
    <row r="160" spans="1:72" x14ac:dyDescent="0.15">
      <c r="A160" t="s">
        <v>1921</v>
      </c>
      <c r="B160" t="s">
        <v>3533</v>
      </c>
      <c r="C160" t="s">
        <v>74</v>
      </c>
      <c r="D160" t="s">
        <v>3492</v>
      </c>
      <c r="E160" t="s">
        <v>74</v>
      </c>
      <c r="F160" t="s">
        <v>3534</v>
      </c>
      <c r="G160" t="s">
        <v>74</v>
      </c>
      <c r="H160" t="s">
        <v>74</v>
      </c>
      <c r="I160" t="s">
        <v>3535</v>
      </c>
      <c r="J160" t="s">
        <v>3494</v>
      </c>
      <c r="K160" t="s">
        <v>3495</v>
      </c>
      <c r="L160" t="s">
        <v>74</v>
      </c>
      <c r="M160" t="s">
        <v>78</v>
      </c>
      <c r="N160" t="s">
        <v>2067</v>
      </c>
      <c r="O160" t="s">
        <v>74</v>
      </c>
      <c r="P160" t="s">
        <v>74</v>
      </c>
      <c r="Q160" t="s">
        <v>74</v>
      </c>
      <c r="R160" t="s">
        <v>74</v>
      </c>
      <c r="S160" t="s">
        <v>74</v>
      </c>
      <c r="T160" t="s">
        <v>3536</v>
      </c>
      <c r="U160" t="s">
        <v>3537</v>
      </c>
      <c r="V160" t="s">
        <v>3538</v>
      </c>
      <c r="W160" t="s">
        <v>3539</v>
      </c>
      <c r="X160" t="s">
        <v>3540</v>
      </c>
      <c r="Y160" t="s">
        <v>3541</v>
      </c>
      <c r="Z160" t="s">
        <v>3542</v>
      </c>
      <c r="AA160" t="s">
        <v>3543</v>
      </c>
      <c r="AB160" t="s">
        <v>74</v>
      </c>
      <c r="AC160" t="s">
        <v>74</v>
      </c>
      <c r="AD160" t="s">
        <v>74</v>
      </c>
      <c r="AE160" t="s">
        <v>74</v>
      </c>
      <c r="AF160" t="s">
        <v>74</v>
      </c>
      <c r="AG160">
        <v>80</v>
      </c>
      <c r="AH160">
        <v>1</v>
      </c>
      <c r="AI160">
        <v>1</v>
      </c>
      <c r="AJ160">
        <v>0</v>
      </c>
      <c r="AK160">
        <v>1</v>
      </c>
      <c r="AL160" t="s">
        <v>3497</v>
      </c>
      <c r="AM160" t="s">
        <v>3498</v>
      </c>
      <c r="AN160" t="s">
        <v>3499</v>
      </c>
      <c r="AO160" t="s">
        <v>3500</v>
      </c>
      <c r="AP160" t="s">
        <v>74</v>
      </c>
      <c r="AQ160" t="s">
        <v>3501</v>
      </c>
      <c r="AR160" t="s">
        <v>3502</v>
      </c>
      <c r="AS160" t="s">
        <v>74</v>
      </c>
      <c r="AT160" t="s">
        <v>74</v>
      </c>
      <c r="AU160">
        <v>2017</v>
      </c>
      <c r="AV160">
        <v>3</v>
      </c>
      <c r="AW160" t="s">
        <v>74</v>
      </c>
      <c r="AX160" t="s">
        <v>74</v>
      </c>
      <c r="AY160" t="s">
        <v>74</v>
      </c>
      <c r="AZ160" t="s">
        <v>74</v>
      </c>
      <c r="BA160" t="s">
        <v>74</v>
      </c>
      <c r="BB160">
        <v>67</v>
      </c>
      <c r="BC160">
        <v>89</v>
      </c>
      <c r="BD160" t="s">
        <v>74</v>
      </c>
      <c r="BE160" t="s">
        <v>3544</v>
      </c>
      <c r="BF160" t="str">
        <f>HYPERLINK("http://dx.doi.org/10.1007/978-3-319-55893-6_4","http://dx.doi.org/10.1007/978-3-319-55893-6_4")</f>
        <v>http://dx.doi.org/10.1007/978-3-319-55893-6_4</v>
      </c>
      <c r="BG160" t="s">
        <v>3503</v>
      </c>
      <c r="BH160" t="s">
        <v>74</v>
      </c>
      <c r="BI160">
        <v>23</v>
      </c>
      <c r="BJ160" t="s">
        <v>3504</v>
      </c>
      <c r="BK160" t="s">
        <v>2084</v>
      </c>
      <c r="BL160" t="s">
        <v>3505</v>
      </c>
      <c r="BM160" t="s">
        <v>3506</v>
      </c>
      <c r="BN160" t="s">
        <v>74</v>
      </c>
      <c r="BO160" t="s">
        <v>74</v>
      </c>
      <c r="BP160" t="s">
        <v>74</v>
      </c>
      <c r="BQ160" t="s">
        <v>74</v>
      </c>
      <c r="BR160" t="s">
        <v>105</v>
      </c>
      <c r="BS160" t="s">
        <v>3545</v>
      </c>
      <c r="BT160" t="str">
        <f>HYPERLINK("https%3A%2F%2Fwww.webofscience.com%2Fwos%2Fwoscc%2Ffull-record%2FWOS:000439509000006","View Full Record in Web of Science")</f>
        <v>View Full Record in Web of Science</v>
      </c>
    </row>
    <row r="161" spans="1:72" x14ac:dyDescent="0.15">
      <c r="A161" t="s">
        <v>1921</v>
      </c>
      <c r="B161" t="s">
        <v>3546</v>
      </c>
      <c r="C161" t="s">
        <v>74</v>
      </c>
      <c r="D161" t="s">
        <v>3492</v>
      </c>
      <c r="E161" t="s">
        <v>74</v>
      </c>
      <c r="F161" t="s">
        <v>3547</v>
      </c>
      <c r="G161" t="s">
        <v>74</v>
      </c>
      <c r="H161" t="s">
        <v>74</v>
      </c>
      <c r="I161" t="s">
        <v>3548</v>
      </c>
      <c r="J161" t="s">
        <v>3494</v>
      </c>
      <c r="K161" t="s">
        <v>3495</v>
      </c>
      <c r="L161" t="s">
        <v>74</v>
      </c>
      <c r="M161" t="s">
        <v>78</v>
      </c>
      <c r="N161" t="s">
        <v>2067</v>
      </c>
      <c r="O161" t="s">
        <v>74</v>
      </c>
      <c r="P161" t="s">
        <v>74</v>
      </c>
      <c r="Q161" t="s">
        <v>74</v>
      </c>
      <c r="R161" t="s">
        <v>74</v>
      </c>
      <c r="S161" t="s">
        <v>74</v>
      </c>
      <c r="T161" t="s">
        <v>3549</v>
      </c>
      <c r="U161" t="s">
        <v>3550</v>
      </c>
      <c r="V161" t="s">
        <v>3551</v>
      </c>
      <c r="W161" t="s">
        <v>3552</v>
      </c>
      <c r="X161" t="s">
        <v>3553</v>
      </c>
      <c r="Y161" t="s">
        <v>3554</v>
      </c>
      <c r="Z161" t="s">
        <v>3555</v>
      </c>
      <c r="AA161" t="s">
        <v>74</v>
      </c>
      <c r="AB161" t="s">
        <v>74</v>
      </c>
      <c r="AC161" t="s">
        <v>74</v>
      </c>
      <c r="AD161" t="s">
        <v>74</v>
      </c>
      <c r="AE161" t="s">
        <v>74</v>
      </c>
      <c r="AF161" t="s">
        <v>74</v>
      </c>
      <c r="AG161">
        <v>76</v>
      </c>
      <c r="AH161">
        <v>7</v>
      </c>
      <c r="AI161">
        <v>7</v>
      </c>
      <c r="AJ161">
        <v>0</v>
      </c>
      <c r="AK161">
        <v>6</v>
      </c>
      <c r="AL161" t="s">
        <v>3497</v>
      </c>
      <c r="AM161" t="s">
        <v>3498</v>
      </c>
      <c r="AN161" t="s">
        <v>3499</v>
      </c>
      <c r="AO161" t="s">
        <v>3500</v>
      </c>
      <c r="AP161" t="s">
        <v>74</v>
      </c>
      <c r="AQ161" t="s">
        <v>3501</v>
      </c>
      <c r="AR161" t="s">
        <v>3502</v>
      </c>
      <c r="AS161" t="s">
        <v>74</v>
      </c>
      <c r="AT161" t="s">
        <v>74</v>
      </c>
      <c r="AU161">
        <v>2017</v>
      </c>
      <c r="AV161">
        <v>3</v>
      </c>
      <c r="AW161" t="s">
        <v>74</v>
      </c>
      <c r="AX161" t="s">
        <v>74</v>
      </c>
      <c r="AY161" t="s">
        <v>74</v>
      </c>
      <c r="AZ161" t="s">
        <v>74</v>
      </c>
      <c r="BA161" t="s">
        <v>74</v>
      </c>
      <c r="BB161">
        <v>93</v>
      </c>
      <c r="BC161">
        <v>111</v>
      </c>
      <c r="BD161" t="s">
        <v>74</v>
      </c>
      <c r="BE161" t="s">
        <v>3556</v>
      </c>
      <c r="BF161" t="str">
        <f>HYPERLINK("http://dx.doi.org/10.1007/978-3-319-55893-6_5","http://dx.doi.org/10.1007/978-3-319-55893-6_5")</f>
        <v>http://dx.doi.org/10.1007/978-3-319-55893-6_5</v>
      </c>
      <c r="BG161" t="s">
        <v>3503</v>
      </c>
      <c r="BH161" t="s">
        <v>74</v>
      </c>
      <c r="BI161">
        <v>19</v>
      </c>
      <c r="BJ161" t="s">
        <v>3504</v>
      </c>
      <c r="BK161" t="s">
        <v>2084</v>
      </c>
      <c r="BL161" t="s">
        <v>3505</v>
      </c>
      <c r="BM161" t="s">
        <v>3506</v>
      </c>
      <c r="BN161" t="s">
        <v>74</v>
      </c>
      <c r="BO161" t="s">
        <v>74</v>
      </c>
      <c r="BP161" t="s">
        <v>74</v>
      </c>
      <c r="BQ161" t="s">
        <v>74</v>
      </c>
      <c r="BR161" t="s">
        <v>105</v>
      </c>
      <c r="BS161" t="s">
        <v>3557</v>
      </c>
      <c r="BT161" t="str">
        <f>HYPERLINK("https%3A%2F%2Fwww.webofscience.com%2Fwos%2Fwoscc%2Ffull-record%2FWOS:000439509000007","View Full Record in Web of Science")</f>
        <v>View Full Record in Web of Science</v>
      </c>
    </row>
    <row r="162" spans="1:72" x14ac:dyDescent="0.15">
      <c r="A162" t="s">
        <v>1921</v>
      </c>
      <c r="B162" t="s">
        <v>3558</v>
      </c>
      <c r="C162" t="s">
        <v>74</v>
      </c>
      <c r="D162" t="s">
        <v>3492</v>
      </c>
      <c r="E162" t="s">
        <v>74</v>
      </c>
      <c r="F162" t="s">
        <v>3559</v>
      </c>
      <c r="G162" t="s">
        <v>74</v>
      </c>
      <c r="H162" t="s">
        <v>74</v>
      </c>
      <c r="I162" t="s">
        <v>3560</v>
      </c>
      <c r="J162" t="s">
        <v>3494</v>
      </c>
      <c r="K162" t="s">
        <v>3495</v>
      </c>
      <c r="L162" t="s">
        <v>74</v>
      </c>
      <c r="M162" t="s">
        <v>78</v>
      </c>
      <c r="N162" t="s">
        <v>2067</v>
      </c>
      <c r="O162" t="s">
        <v>74</v>
      </c>
      <c r="P162" t="s">
        <v>74</v>
      </c>
      <c r="Q162" t="s">
        <v>74</v>
      </c>
      <c r="R162" t="s">
        <v>74</v>
      </c>
      <c r="S162" t="s">
        <v>74</v>
      </c>
      <c r="T162" t="s">
        <v>3561</v>
      </c>
      <c r="U162" t="s">
        <v>3562</v>
      </c>
      <c r="V162" t="s">
        <v>3563</v>
      </c>
      <c r="W162" t="s">
        <v>3564</v>
      </c>
      <c r="X162" t="s">
        <v>3565</v>
      </c>
      <c r="Y162" t="s">
        <v>3566</v>
      </c>
      <c r="Z162" t="s">
        <v>3567</v>
      </c>
      <c r="AA162" t="s">
        <v>74</v>
      </c>
      <c r="AB162" t="s">
        <v>3568</v>
      </c>
      <c r="AC162" t="s">
        <v>74</v>
      </c>
      <c r="AD162" t="s">
        <v>74</v>
      </c>
      <c r="AE162" t="s">
        <v>74</v>
      </c>
      <c r="AF162" t="s">
        <v>74</v>
      </c>
      <c r="AG162">
        <v>56</v>
      </c>
      <c r="AH162">
        <v>4</v>
      </c>
      <c r="AI162">
        <v>4</v>
      </c>
      <c r="AJ162">
        <v>0</v>
      </c>
      <c r="AK162">
        <v>3</v>
      </c>
      <c r="AL162" t="s">
        <v>3497</v>
      </c>
      <c r="AM162" t="s">
        <v>3498</v>
      </c>
      <c r="AN162" t="s">
        <v>3499</v>
      </c>
      <c r="AO162" t="s">
        <v>3500</v>
      </c>
      <c r="AP162" t="s">
        <v>74</v>
      </c>
      <c r="AQ162" t="s">
        <v>3501</v>
      </c>
      <c r="AR162" t="s">
        <v>3502</v>
      </c>
      <c r="AS162" t="s">
        <v>74</v>
      </c>
      <c r="AT162" t="s">
        <v>74</v>
      </c>
      <c r="AU162">
        <v>2017</v>
      </c>
      <c r="AV162">
        <v>3</v>
      </c>
      <c r="AW162" t="s">
        <v>74</v>
      </c>
      <c r="AX162" t="s">
        <v>74</v>
      </c>
      <c r="AY162" t="s">
        <v>74</v>
      </c>
      <c r="AZ162" t="s">
        <v>74</v>
      </c>
      <c r="BA162" t="s">
        <v>74</v>
      </c>
      <c r="BB162">
        <v>113</v>
      </c>
      <c r="BC162">
        <v>130</v>
      </c>
      <c r="BD162" t="s">
        <v>74</v>
      </c>
      <c r="BE162" t="s">
        <v>3569</v>
      </c>
      <c r="BF162" t="str">
        <f>HYPERLINK("http://dx.doi.org/10.1007/978-3-319-55893-6_6","http://dx.doi.org/10.1007/978-3-319-55893-6_6")</f>
        <v>http://dx.doi.org/10.1007/978-3-319-55893-6_6</v>
      </c>
      <c r="BG162" t="s">
        <v>3503</v>
      </c>
      <c r="BH162" t="s">
        <v>74</v>
      </c>
      <c r="BI162">
        <v>18</v>
      </c>
      <c r="BJ162" t="s">
        <v>3504</v>
      </c>
      <c r="BK162" t="s">
        <v>2084</v>
      </c>
      <c r="BL162" t="s">
        <v>3505</v>
      </c>
      <c r="BM162" t="s">
        <v>3506</v>
      </c>
      <c r="BN162" t="s">
        <v>74</v>
      </c>
      <c r="BO162" t="s">
        <v>74</v>
      </c>
      <c r="BP162" t="s">
        <v>74</v>
      </c>
      <c r="BQ162" t="s">
        <v>74</v>
      </c>
      <c r="BR162" t="s">
        <v>105</v>
      </c>
      <c r="BS162" t="s">
        <v>3570</v>
      </c>
      <c r="BT162" t="str">
        <f>HYPERLINK("https%3A%2F%2Fwww.webofscience.com%2Fwos%2Fwoscc%2Ffull-record%2FWOS:000439509000008","View Full Record in Web of Science")</f>
        <v>View Full Record in Web of Science</v>
      </c>
    </row>
    <row r="163" spans="1:72" x14ac:dyDescent="0.15">
      <c r="A163" t="s">
        <v>1921</v>
      </c>
      <c r="B163" t="s">
        <v>3571</v>
      </c>
      <c r="C163" t="s">
        <v>74</v>
      </c>
      <c r="D163" t="s">
        <v>3492</v>
      </c>
      <c r="E163" t="s">
        <v>74</v>
      </c>
      <c r="F163" t="s">
        <v>3572</v>
      </c>
      <c r="G163" t="s">
        <v>74</v>
      </c>
      <c r="H163" t="s">
        <v>74</v>
      </c>
      <c r="I163" t="s">
        <v>3573</v>
      </c>
      <c r="J163" t="s">
        <v>3494</v>
      </c>
      <c r="K163" t="s">
        <v>3495</v>
      </c>
      <c r="L163" t="s">
        <v>74</v>
      </c>
      <c r="M163" t="s">
        <v>78</v>
      </c>
      <c r="N163" t="s">
        <v>2067</v>
      </c>
      <c r="O163" t="s">
        <v>74</v>
      </c>
      <c r="P163" t="s">
        <v>74</v>
      </c>
      <c r="Q163" t="s">
        <v>74</v>
      </c>
      <c r="R163" t="s">
        <v>74</v>
      </c>
      <c r="S163" t="s">
        <v>74</v>
      </c>
      <c r="T163" t="s">
        <v>3574</v>
      </c>
      <c r="U163" t="s">
        <v>3575</v>
      </c>
      <c r="V163" t="s">
        <v>3576</v>
      </c>
      <c r="W163" t="s">
        <v>3577</v>
      </c>
      <c r="X163" t="s">
        <v>3578</v>
      </c>
      <c r="Y163" t="s">
        <v>3579</v>
      </c>
      <c r="Z163" t="s">
        <v>3580</v>
      </c>
      <c r="AA163" t="s">
        <v>74</v>
      </c>
      <c r="AB163" t="s">
        <v>74</v>
      </c>
      <c r="AC163" t="s">
        <v>74</v>
      </c>
      <c r="AD163" t="s">
        <v>74</v>
      </c>
      <c r="AE163" t="s">
        <v>74</v>
      </c>
      <c r="AF163" t="s">
        <v>74</v>
      </c>
      <c r="AG163">
        <v>53</v>
      </c>
      <c r="AH163">
        <v>3</v>
      </c>
      <c r="AI163">
        <v>3</v>
      </c>
      <c r="AJ163">
        <v>1</v>
      </c>
      <c r="AK163">
        <v>4</v>
      </c>
      <c r="AL163" t="s">
        <v>3497</v>
      </c>
      <c r="AM163" t="s">
        <v>3498</v>
      </c>
      <c r="AN163" t="s">
        <v>3499</v>
      </c>
      <c r="AO163" t="s">
        <v>3500</v>
      </c>
      <c r="AP163" t="s">
        <v>74</v>
      </c>
      <c r="AQ163" t="s">
        <v>3501</v>
      </c>
      <c r="AR163" t="s">
        <v>3502</v>
      </c>
      <c r="AS163" t="s">
        <v>74</v>
      </c>
      <c r="AT163" t="s">
        <v>74</v>
      </c>
      <c r="AU163">
        <v>2017</v>
      </c>
      <c r="AV163">
        <v>3</v>
      </c>
      <c r="AW163" t="s">
        <v>74</v>
      </c>
      <c r="AX163" t="s">
        <v>74</v>
      </c>
      <c r="AY163" t="s">
        <v>74</v>
      </c>
      <c r="AZ163" t="s">
        <v>74</v>
      </c>
      <c r="BA163" t="s">
        <v>74</v>
      </c>
      <c r="BB163">
        <v>131</v>
      </c>
      <c r="BC163">
        <v>148</v>
      </c>
      <c r="BD163" t="s">
        <v>74</v>
      </c>
      <c r="BE163" t="s">
        <v>3581</v>
      </c>
      <c r="BF163" t="str">
        <f>HYPERLINK("http://dx.doi.org/10.1007/978-3-319-55893-6_7","http://dx.doi.org/10.1007/978-3-319-55893-6_7")</f>
        <v>http://dx.doi.org/10.1007/978-3-319-55893-6_7</v>
      </c>
      <c r="BG163" t="s">
        <v>3503</v>
      </c>
      <c r="BH163" t="s">
        <v>74</v>
      </c>
      <c r="BI163">
        <v>18</v>
      </c>
      <c r="BJ163" t="s">
        <v>3504</v>
      </c>
      <c r="BK163" t="s">
        <v>2084</v>
      </c>
      <c r="BL163" t="s">
        <v>3505</v>
      </c>
      <c r="BM163" t="s">
        <v>3506</v>
      </c>
      <c r="BN163" t="s">
        <v>74</v>
      </c>
      <c r="BO163" t="s">
        <v>74</v>
      </c>
      <c r="BP163" t="s">
        <v>74</v>
      </c>
      <c r="BQ163" t="s">
        <v>74</v>
      </c>
      <c r="BR163" t="s">
        <v>105</v>
      </c>
      <c r="BS163" t="s">
        <v>3582</v>
      </c>
      <c r="BT163" t="str">
        <f>HYPERLINK("https%3A%2F%2Fwww.webofscience.com%2Fwos%2Fwoscc%2Ffull-record%2FWOS:000439509000009","View Full Record in Web of Science")</f>
        <v>View Full Record in Web of Science</v>
      </c>
    </row>
    <row r="164" spans="1:72" x14ac:dyDescent="0.15">
      <c r="A164" t="s">
        <v>1921</v>
      </c>
      <c r="B164" t="s">
        <v>3583</v>
      </c>
      <c r="C164" t="s">
        <v>74</v>
      </c>
      <c r="D164" t="s">
        <v>3492</v>
      </c>
      <c r="E164" t="s">
        <v>74</v>
      </c>
      <c r="F164" t="s">
        <v>3584</v>
      </c>
      <c r="G164" t="s">
        <v>74</v>
      </c>
      <c r="H164" t="s">
        <v>74</v>
      </c>
      <c r="I164" t="s">
        <v>3585</v>
      </c>
      <c r="J164" t="s">
        <v>3494</v>
      </c>
      <c r="K164" t="s">
        <v>3495</v>
      </c>
      <c r="L164" t="s">
        <v>74</v>
      </c>
      <c r="M164" t="s">
        <v>78</v>
      </c>
      <c r="N164" t="s">
        <v>2067</v>
      </c>
      <c r="O164" t="s">
        <v>74</v>
      </c>
      <c r="P164" t="s">
        <v>74</v>
      </c>
      <c r="Q164" t="s">
        <v>74</v>
      </c>
      <c r="R164" t="s">
        <v>74</v>
      </c>
      <c r="S164" t="s">
        <v>74</v>
      </c>
      <c r="T164" t="s">
        <v>3586</v>
      </c>
      <c r="U164" t="s">
        <v>3587</v>
      </c>
      <c r="V164" t="s">
        <v>3588</v>
      </c>
      <c r="W164" t="s">
        <v>3589</v>
      </c>
      <c r="X164" t="s">
        <v>3590</v>
      </c>
      <c r="Y164" t="s">
        <v>3591</v>
      </c>
      <c r="Z164" t="s">
        <v>3592</v>
      </c>
      <c r="AA164" t="s">
        <v>74</v>
      </c>
      <c r="AB164" t="s">
        <v>74</v>
      </c>
      <c r="AC164" t="s">
        <v>74</v>
      </c>
      <c r="AD164" t="s">
        <v>74</v>
      </c>
      <c r="AE164" t="s">
        <v>74</v>
      </c>
      <c r="AF164" t="s">
        <v>74</v>
      </c>
      <c r="AG164">
        <v>94</v>
      </c>
      <c r="AH164">
        <v>1</v>
      </c>
      <c r="AI164">
        <v>1</v>
      </c>
      <c r="AJ164">
        <v>0</v>
      </c>
      <c r="AK164">
        <v>3</v>
      </c>
      <c r="AL164" t="s">
        <v>3497</v>
      </c>
      <c r="AM164" t="s">
        <v>3498</v>
      </c>
      <c r="AN164" t="s">
        <v>3499</v>
      </c>
      <c r="AO164" t="s">
        <v>3500</v>
      </c>
      <c r="AP164" t="s">
        <v>74</v>
      </c>
      <c r="AQ164" t="s">
        <v>3501</v>
      </c>
      <c r="AR164" t="s">
        <v>3502</v>
      </c>
      <c r="AS164" t="s">
        <v>74</v>
      </c>
      <c r="AT164" t="s">
        <v>74</v>
      </c>
      <c r="AU164">
        <v>2017</v>
      </c>
      <c r="AV164">
        <v>3</v>
      </c>
      <c r="AW164" t="s">
        <v>74</v>
      </c>
      <c r="AX164" t="s">
        <v>74</v>
      </c>
      <c r="AY164" t="s">
        <v>74</v>
      </c>
      <c r="AZ164" t="s">
        <v>74</v>
      </c>
      <c r="BA164" t="s">
        <v>74</v>
      </c>
      <c r="BB164">
        <v>149</v>
      </c>
      <c r="BC164">
        <v>171</v>
      </c>
      <c r="BD164" t="s">
        <v>74</v>
      </c>
      <c r="BE164" t="s">
        <v>3593</v>
      </c>
      <c r="BF164" t="str">
        <f>HYPERLINK("http://dx.doi.org/10.1007/978-3-319-55893-6_8","http://dx.doi.org/10.1007/978-3-319-55893-6_8")</f>
        <v>http://dx.doi.org/10.1007/978-3-319-55893-6_8</v>
      </c>
      <c r="BG164" t="s">
        <v>3503</v>
      </c>
      <c r="BH164" t="s">
        <v>74</v>
      </c>
      <c r="BI164">
        <v>23</v>
      </c>
      <c r="BJ164" t="s">
        <v>3504</v>
      </c>
      <c r="BK164" t="s">
        <v>2084</v>
      </c>
      <c r="BL164" t="s">
        <v>3505</v>
      </c>
      <c r="BM164" t="s">
        <v>3506</v>
      </c>
      <c r="BN164" t="s">
        <v>74</v>
      </c>
      <c r="BO164" t="s">
        <v>74</v>
      </c>
      <c r="BP164" t="s">
        <v>74</v>
      </c>
      <c r="BQ164" t="s">
        <v>74</v>
      </c>
      <c r="BR164" t="s">
        <v>105</v>
      </c>
      <c r="BS164" t="s">
        <v>3594</v>
      </c>
      <c r="BT164" t="str">
        <f>HYPERLINK("https%3A%2F%2Fwww.webofscience.com%2Fwos%2Fwoscc%2Ffull-record%2FWOS:000439509000010","View Full Record in Web of Science")</f>
        <v>View Full Record in Web of Science</v>
      </c>
    </row>
    <row r="165" spans="1:72" x14ac:dyDescent="0.15">
      <c r="A165" t="s">
        <v>1921</v>
      </c>
      <c r="B165" t="s">
        <v>3595</v>
      </c>
      <c r="C165" t="s">
        <v>74</v>
      </c>
      <c r="D165" t="s">
        <v>3492</v>
      </c>
      <c r="E165" t="s">
        <v>74</v>
      </c>
      <c r="F165" t="s">
        <v>3596</v>
      </c>
      <c r="G165" t="s">
        <v>74</v>
      </c>
      <c r="H165" t="s">
        <v>74</v>
      </c>
      <c r="I165" t="s">
        <v>3597</v>
      </c>
      <c r="J165" t="s">
        <v>3494</v>
      </c>
      <c r="K165" t="s">
        <v>3495</v>
      </c>
      <c r="L165" t="s">
        <v>74</v>
      </c>
      <c r="M165" t="s">
        <v>78</v>
      </c>
      <c r="N165" t="s">
        <v>2067</v>
      </c>
      <c r="O165" t="s">
        <v>74</v>
      </c>
      <c r="P165" t="s">
        <v>74</v>
      </c>
      <c r="Q165" t="s">
        <v>74</v>
      </c>
      <c r="R165" t="s">
        <v>74</v>
      </c>
      <c r="S165" t="s">
        <v>74</v>
      </c>
      <c r="T165" t="s">
        <v>3598</v>
      </c>
      <c r="U165" t="s">
        <v>3599</v>
      </c>
      <c r="V165" t="s">
        <v>3600</v>
      </c>
      <c r="W165" t="s">
        <v>3601</v>
      </c>
      <c r="X165" t="s">
        <v>3602</v>
      </c>
      <c r="Y165" t="s">
        <v>3603</v>
      </c>
      <c r="Z165" t="s">
        <v>3604</v>
      </c>
      <c r="AA165" t="s">
        <v>3605</v>
      </c>
      <c r="AB165" t="s">
        <v>3606</v>
      </c>
      <c r="AC165" t="s">
        <v>74</v>
      </c>
      <c r="AD165" t="s">
        <v>74</v>
      </c>
      <c r="AE165" t="s">
        <v>74</v>
      </c>
      <c r="AF165" t="s">
        <v>74</v>
      </c>
      <c r="AG165">
        <v>90</v>
      </c>
      <c r="AH165">
        <v>6</v>
      </c>
      <c r="AI165">
        <v>6</v>
      </c>
      <c r="AJ165">
        <v>0</v>
      </c>
      <c r="AK165">
        <v>5</v>
      </c>
      <c r="AL165" t="s">
        <v>3497</v>
      </c>
      <c r="AM165" t="s">
        <v>3498</v>
      </c>
      <c r="AN165" t="s">
        <v>3499</v>
      </c>
      <c r="AO165" t="s">
        <v>3500</v>
      </c>
      <c r="AP165" t="s">
        <v>74</v>
      </c>
      <c r="AQ165" t="s">
        <v>3501</v>
      </c>
      <c r="AR165" t="s">
        <v>3502</v>
      </c>
      <c r="AS165" t="s">
        <v>74</v>
      </c>
      <c r="AT165" t="s">
        <v>74</v>
      </c>
      <c r="AU165">
        <v>2017</v>
      </c>
      <c r="AV165">
        <v>3</v>
      </c>
      <c r="AW165" t="s">
        <v>74</v>
      </c>
      <c r="AX165" t="s">
        <v>74</v>
      </c>
      <c r="AY165" t="s">
        <v>74</v>
      </c>
      <c r="AZ165" t="s">
        <v>74</v>
      </c>
      <c r="BA165" t="s">
        <v>74</v>
      </c>
      <c r="BB165">
        <v>173</v>
      </c>
      <c r="BC165">
        <v>192</v>
      </c>
      <c r="BD165" t="s">
        <v>74</v>
      </c>
      <c r="BE165" t="s">
        <v>3607</v>
      </c>
      <c r="BF165" t="str">
        <f>HYPERLINK("http://dx.doi.org/10.1007/978-3-319-55893-6_9","http://dx.doi.org/10.1007/978-3-319-55893-6_9")</f>
        <v>http://dx.doi.org/10.1007/978-3-319-55893-6_9</v>
      </c>
      <c r="BG165" t="s">
        <v>3503</v>
      </c>
      <c r="BH165" t="s">
        <v>74</v>
      </c>
      <c r="BI165">
        <v>20</v>
      </c>
      <c r="BJ165" t="s">
        <v>3504</v>
      </c>
      <c r="BK165" t="s">
        <v>2084</v>
      </c>
      <c r="BL165" t="s">
        <v>3505</v>
      </c>
      <c r="BM165" t="s">
        <v>3506</v>
      </c>
      <c r="BN165" t="s">
        <v>74</v>
      </c>
      <c r="BO165" t="s">
        <v>74</v>
      </c>
      <c r="BP165" t="s">
        <v>74</v>
      </c>
      <c r="BQ165" t="s">
        <v>74</v>
      </c>
      <c r="BR165" t="s">
        <v>105</v>
      </c>
      <c r="BS165" t="s">
        <v>3608</v>
      </c>
      <c r="BT165" t="str">
        <f>HYPERLINK("https%3A%2F%2Fwww.webofscience.com%2Fwos%2Fwoscc%2Ffull-record%2FWOS:000439509000011","View Full Record in Web of Science")</f>
        <v>View Full Record in Web of Science</v>
      </c>
    </row>
    <row r="166" spans="1:72" x14ac:dyDescent="0.15">
      <c r="A166" t="s">
        <v>1921</v>
      </c>
      <c r="B166" t="s">
        <v>3609</v>
      </c>
      <c r="C166" t="s">
        <v>74</v>
      </c>
      <c r="D166" t="s">
        <v>3492</v>
      </c>
      <c r="E166" t="s">
        <v>74</v>
      </c>
      <c r="F166" t="s">
        <v>3610</v>
      </c>
      <c r="G166" t="s">
        <v>74</v>
      </c>
      <c r="H166" t="s">
        <v>74</v>
      </c>
      <c r="I166" t="s">
        <v>3611</v>
      </c>
      <c r="J166" t="s">
        <v>3494</v>
      </c>
      <c r="K166" t="s">
        <v>3495</v>
      </c>
      <c r="L166" t="s">
        <v>74</v>
      </c>
      <c r="M166" t="s">
        <v>78</v>
      </c>
      <c r="N166" t="s">
        <v>2067</v>
      </c>
      <c r="O166" t="s">
        <v>74</v>
      </c>
      <c r="P166" t="s">
        <v>74</v>
      </c>
      <c r="Q166" t="s">
        <v>74</v>
      </c>
      <c r="R166" t="s">
        <v>74</v>
      </c>
      <c r="S166" t="s">
        <v>74</v>
      </c>
      <c r="T166" t="s">
        <v>3612</v>
      </c>
      <c r="U166" t="s">
        <v>3613</v>
      </c>
      <c r="V166" t="s">
        <v>3614</v>
      </c>
      <c r="W166" t="s">
        <v>3615</v>
      </c>
      <c r="X166" t="s">
        <v>3616</v>
      </c>
      <c r="Y166" t="s">
        <v>3617</v>
      </c>
      <c r="Z166" t="s">
        <v>3618</v>
      </c>
      <c r="AA166" t="s">
        <v>3619</v>
      </c>
      <c r="AB166" t="s">
        <v>3620</v>
      </c>
      <c r="AC166" t="s">
        <v>74</v>
      </c>
      <c r="AD166" t="s">
        <v>74</v>
      </c>
      <c r="AE166" t="s">
        <v>74</v>
      </c>
      <c r="AF166" t="s">
        <v>74</v>
      </c>
      <c r="AG166">
        <v>143</v>
      </c>
      <c r="AH166">
        <v>8</v>
      </c>
      <c r="AI166">
        <v>8</v>
      </c>
      <c r="AJ166">
        <v>1</v>
      </c>
      <c r="AK166">
        <v>2</v>
      </c>
      <c r="AL166" t="s">
        <v>3497</v>
      </c>
      <c r="AM166" t="s">
        <v>3498</v>
      </c>
      <c r="AN166" t="s">
        <v>3499</v>
      </c>
      <c r="AO166" t="s">
        <v>3500</v>
      </c>
      <c r="AP166" t="s">
        <v>74</v>
      </c>
      <c r="AQ166" t="s">
        <v>3501</v>
      </c>
      <c r="AR166" t="s">
        <v>3502</v>
      </c>
      <c r="AS166" t="s">
        <v>74</v>
      </c>
      <c r="AT166" t="s">
        <v>74</v>
      </c>
      <c r="AU166">
        <v>2017</v>
      </c>
      <c r="AV166">
        <v>3</v>
      </c>
      <c r="AW166" t="s">
        <v>74</v>
      </c>
      <c r="AX166" t="s">
        <v>74</v>
      </c>
      <c r="AY166" t="s">
        <v>74</v>
      </c>
      <c r="AZ166" t="s">
        <v>74</v>
      </c>
      <c r="BA166" t="s">
        <v>74</v>
      </c>
      <c r="BB166">
        <v>193</v>
      </c>
      <c r="BC166">
        <v>234</v>
      </c>
      <c r="BD166" t="s">
        <v>74</v>
      </c>
      <c r="BE166" t="s">
        <v>3621</v>
      </c>
      <c r="BF166" t="str">
        <f>HYPERLINK("http://dx.doi.org/10.1007/978-3-319-55893-6_10","http://dx.doi.org/10.1007/978-3-319-55893-6_10")</f>
        <v>http://dx.doi.org/10.1007/978-3-319-55893-6_10</v>
      </c>
      <c r="BG166" t="s">
        <v>3503</v>
      </c>
      <c r="BH166" t="s">
        <v>74</v>
      </c>
      <c r="BI166">
        <v>42</v>
      </c>
      <c r="BJ166" t="s">
        <v>3504</v>
      </c>
      <c r="BK166" t="s">
        <v>2084</v>
      </c>
      <c r="BL166" t="s">
        <v>3505</v>
      </c>
      <c r="BM166" t="s">
        <v>3506</v>
      </c>
      <c r="BN166" t="s">
        <v>74</v>
      </c>
      <c r="BO166" t="s">
        <v>74</v>
      </c>
      <c r="BP166" t="s">
        <v>74</v>
      </c>
      <c r="BQ166" t="s">
        <v>74</v>
      </c>
      <c r="BR166" t="s">
        <v>105</v>
      </c>
      <c r="BS166" t="s">
        <v>3622</v>
      </c>
      <c r="BT166" t="str">
        <f>HYPERLINK("https%3A%2F%2Fwww.webofscience.com%2Fwos%2Fwoscc%2Ffull-record%2FWOS:000439509000012","View Full Record in Web of Science")</f>
        <v>View Full Record in Web of Science</v>
      </c>
    </row>
    <row r="167" spans="1:72" x14ac:dyDescent="0.15">
      <c r="A167" t="s">
        <v>1921</v>
      </c>
      <c r="B167" t="s">
        <v>3623</v>
      </c>
      <c r="C167" t="s">
        <v>74</v>
      </c>
      <c r="D167" t="s">
        <v>3492</v>
      </c>
      <c r="E167" t="s">
        <v>74</v>
      </c>
      <c r="F167" t="s">
        <v>3624</v>
      </c>
      <c r="G167" t="s">
        <v>74</v>
      </c>
      <c r="H167" t="s">
        <v>74</v>
      </c>
      <c r="I167" t="s">
        <v>3625</v>
      </c>
      <c r="J167" t="s">
        <v>3494</v>
      </c>
      <c r="K167" t="s">
        <v>3495</v>
      </c>
      <c r="L167" t="s">
        <v>74</v>
      </c>
      <c r="M167" t="s">
        <v>78</v>
      </c>
      <c r="N167" t="s">
        <v>2067</v>
      </c>
      <c r="O167" t="s">
        <v>74</v>
      </c>
      <c r="P167" t="s">
        <v>74</v>
      </c>
      <c r="Q167" t="s">
        <v>74</v>
      </c>
      <c r="R167" t="s">
        <v>74</v>
      </c>
      <c r="S167" t="s">
        <v>74</v>
      </c>
      <c r="T167" t="s">
        <v>3626</v>
      </c>
      <c r="U167" t="s">
        <v>3627</v>
      </c>
      <c r="V167" t="s">
        <v>3628</v>
      </c>
      <c r="W167" t="s">
        <v>3629</v>
      </c>
      <c r="X167" t="s">
        <v>3630</v>
      </c>
      <c r="Y167" t="s">
        <v>3631</v>
      </c>
      <c r="Z167" t="s">
        <v>3632</v>
      </c>
      <c r="AA167" t="s">
        <v>3633</v>
      </c>
      <c r="AB167" t="s">
        <v>3634</v>
      </c>
      <c r="AC167" t="s">
        <v>74</v>
      </c>
      <c r="AD167" t="s">
        <v>74</v>
      </c>
      <c r="AE167" t="s">
        <v>74</v>
      </c>
      <c r="AF167" t="s">
        <v>74</v>
      </c>
      <c r="AG167">
        <v>19</v>
      </c>
      <c r="AH167">
        <v>3</v>
      </c>
      <c r="AI167">
        <v>3</v>
      </c>
      <c r="AJ167">
        <v>0</v>
      </c>
      <c r="AK167">
        <v>3</v>
      </c>
      <c r="AL167" t="s">
        <v>3497</v>
      </c>
      <c r="AM167" t="s">
        <v>3498</v>
      </c>
      <c r="AN167" t="s">
        <v>3499</v>
      </c>
      <c r="AO167" t="s">
        <v>3500</v>
      </c>
      <c r="AP167" t="s">
        <v>74</v>
      </c>
      <c r="AQ167" t="s">
        <v>3501</v>
      </c>
      <c r="AR167" t="s">
        <v>3502</v>
      </c>
      <c r="AS167" t="s">
        <v>74</v>
      </c>
      <c r="AT167" t="s">
        <v>74</v>
      </c>
      <c r="AU167">
        <v>2017</v>
      </c>
      <c r="AV167">
        <v>3</v>
      </c>
      <c r="AW167" t="s">
        <v>74</v>
      </c>
      <c r="AX167" t="s">
        <v>74</v>
      </c>
      <c r="AY167" t="s">
        <v>74</v>
      </c>
      <c r="AZ167" t="s">
        <v>74</v>
      </c>
      <c r="BA167" t="s">
        <v>74</v>
      </c>
      <c r="BB167">
        <v>237</v>
      </c>
      <c r="BC167">
        <v>252</v>
      </c>
      <c r="BD167" t="s">
        <v>74</v>
      </c>
      <c r="BE167" t="s">
        <v>3635</v>
      </c>
      <c r="BF167" t="str">
        <f>HYPERLINK("http://dx.doi.org/10.1007/978-3-319-55893-6_11","http://dx.doi.org/10.1007/978-3-319-55893-6_11")</f>
        <v>http://dx.doi.org/10.1007/978-3-319-55893-6_11</v>
      </c>
      <c r="BG167" t="s">
        <v>3503</v>
      </c>
      <c r="BH167" t="s">
        <v>74</v>
      </c>
      <c r="BI167">
        <v>16</v>
      </c>
      <c r="BJ167" t="s">
        <v>3504</v>
      </c>
      <c r="BK167" t="s">
        <v>2084</v>
      </c>
      <c r="BL167" t="s">
        <v>3505</v>
      </c>
      <c r="BM167" t="s">
        <v>3506</v>
      </c>
      <c r="BN167" t="s">
        <v>74</v>
      </c>
      <c r="BO167" t="s">
        <v>74</v>
      </c>
      <c r="BP167" t="s">
        <v>74</v>
      </c>
      <c r="BQ167" t="s">
        <v>74</v>
      </c>
      <c r="BR167" t="s">
        <v>105</v>
      </c>
      <c r="BS167" t="s">
        <v>3636</v>
      </c>
      <c r="BT167" t="str">
        <f>HYPERLINK("https%3A%2F%2Fwww.webofscience.com%2Fwos%2Fwoscc%2Ffull-record%2FWOS:000439509000013","View Full Record in Web of Science")</f>
        <v>View Full Record in Web of Science</v>
      </c>
    </row>
    <row r="168" spans="1:72" x14ac:dyDescent="0.15">
      <c r="A168" t="s">
        <v>1921</v>
      </c>
      <c r="B168" t="s">
        <v>3637</v>
      </c>
      <c r="C168" t="s">
        <v>74</v>
      </c>
      <c r="D168" t="s">
        <v>3492</v>
      </c>
      <c r="E168" t="s">
        <v>74</v>
      </c>
      <c r="F168" t="s">
        <v>3638</v>
      </c>
      <c r="G168" t="s">
        <v>74</v>
      </c>
      <c r="H168" t="s">
        <v>74</v>
      </c>
      <c r="I168" t="s">
        <v>3639</v>
      </c>
      <c r="J168" t="s">
        <v>3494</v>
      </c>
      <c r="K168" t="s">
        <v>3495</v>
      </c>
      <c r="L168" t="s">
        <v>74</v>
      </c>
      <c r="M168" t="s">
        <v>78</v>
      </c>
      <c r="N168" t="s">
        <v>2067</v>
      </c>
      <c r="O168" t="s">
        <v>74</v>
      </c>
      <c r="P168" t="s">
        <v>74</v>
      </c>
      <c r="Q168" t="s">
        <v>74</v>
      </c>
      <c r="R168" t="s">
        <v>74</v>
      </c>
      <c r="S168" t="s">
        <v>74</v>
      </c>
      <c r="T168" t="s">
        <v>3640</v>
      </c>
      <c r="U168" t="s">
        <v>3641</v>
      </c>
      <c r="V168" t="s">
        <v>3642</v>
      </c>
      <c r="W168" t="s">
        <v>3643</v>
      </c>
      <c r="X168" t="s">
        <v>3644</v>
      </c>
      <c r="Y168" t="s">
        <v>3645</v>
      </c>
      <c r="Z168" t="s">
        <v>3646</v>
      </c>
      <c r="AA168" t="s">
        <v>3647</v>
      </c>
      <c r="AB168" t="s">
        <v>3648</v>
      </c>
      <c r="AC168" t="s">
        <v>3649</v>
      </c>
      <c r="AD168" t="s">
        <v>3650</v>
      </c>
      <c r="AE168" t="s">
        <v>74</v>
      </c>
      <c r="AF168" t="s">
        <v>74</v>
      </c>
      <c r="AG168">
        <v>55</v>
      </c>
      <c r="AH168">
        <v>5</v>
      </c>
      <c r="AI168">
        <v>5</v>
      </c>
      <c r="AJ168">
        <v>1</v>
      </c>
      <c r="AK168">
        <v>2</v>
      </c>
      <c r="AL168" t="s">
        <v>3497</v>
      </c>
      <c r="AM168" t="s">
        <v>3498</v>
      </c>
      <c r="AN168" t="s">
        <v>3499</v>
      </c>
      <c r="AO168" t="s">
        <v>3500</v>
      </c>
      <c r="AP168" t="s">
        <v>74</v>
      </c>
      <c r="AQ168" t="s">
        <v>3501</v>
      </c>
      <c r="AR168" t="s">
        <v>3502</v>
      </c>
      <c r="AS168" t="s">
        <v>74</v>
      </c>
      <c r="AT168" t="s">
        <v>74</v>
      </c>
      <c r="AU168">
        <v>2017</v>
      </c>
      <c r="AV168">
        <v>3</v>
      </c>
      <c r="AW168" t="s">
        <v>74</v>
      </c>
      <c r="AX168" t="s">
        <v>74</v>
      </c>
      <c r="AY168" t="s">
        <v>74</v>
      </c>
      <c r="AZ168" t="s">
        <v>74</v>
      </c>
      <c r="BA168" t="s">
        <v>74</v>
      </c>
      <c r="BB168">
        <v>287</v>
      </c>
      <c r="BC168">
        <v>305</v>
      </c>
      <c r="BD168" t="s">
        <v>74</v>
      </c>
      <c r="BE168" t="s">
        <v>3651</v>
      </c>
      <c r="BF168" t="str">
        <f>HYPERLINK("http://dx.doi.org/10.1007/978-3-319-55893-6_13","http://dx.doi.org/10.1007/978-3-319-55893-6_13")</f>
        <v>http://dx.doi.org/10.1007/978-3-319-55893-6_13</v>
      </c>
      <c r="BG168" t="s">
        <v>3503</v>
      </c>
      <c r="BH168" t="s">
        <v>74</v>
      </c>
      <c r="BI168">
        <v>19</v>
      </c>
      <c r="BJ168" t="s">
        <v>3504</v>
      </c>
      <c r="BK168" t="s">
        <v>2084</v>
      </c>
      <c r="BL168" t="s">
        <v>3505</v>
      </c>
      <c r="BM168" t="s">
        <v>3506</v>
      </c>
      <c r="BN168" t="s">
        <v>74</v>
      </c>
      <c r="BO168" t="s">
        <v>74</v>
      </c>
      <c r="BP168" t="s">
        <v>74</v>
      </c>
      <c r="BQ168" t="s">
        <v>74</v>
      </c>
      <c r="BR168" t="s">
        <v>105</v>
      </c>
      <c r="BS168" t="s">
        <v>3652</v>
      </c>
      <c r="BT168" t="str">
        <f>HYPERLINK("https%3A%2F%2Fwww.webofscience.com%2Fwos%2Fwoscc%2Ffull-record%2FWOS:000439509000015","View Full Record in Web of Science")</f>
        <v>View Full Record in Web of Science</v>
      </c>
    </row>
    <row r="169" spans="1:72" x14ac:dyDescent="0.15">
      <c r="A169" t="s">
        <v>72</v>
      </c>
      <c r="B169" t="s">
        <v>3653</v>
      </c>
      <c r="C169" t="s">
        <v>74</v>
      </c>
      <c r="D169" t="s">
        <v>74</v>
      </c>
      <c r="E169" t="s">
        <v>74</v>
      </c>
      <c r="F169" t="s">
        <v>3654</v>
      </c>
      <c r="G169" t="s">
        <v>74</v>
      </c>
      <c r="H169" t="s">
        <v>74</v>
      </c>
      <c r="I169" t="s">
        <v>3655</v>
      </c>
      <c r="J169" t="s">
        <v>3656</v>
      </c>
      <c r="K169" t="s">
        <v>74</v>
      </c>
      <c r="L169" t="s">
        <v>74</v>
      </c>
      <c r="M169" t="s">
        <v>3657</v>
      </c>
      <c r="N169" t="s">
        <v>79</v>
      </c>
      <c r="O169" t="s">
        <v>74</v>
      </c>
      <c r="P169" t="s">
        <v>74</v>
      </c>
      <c r="Q169" t="s">
        <v>74</v>
      </c>
      <c r="R169" t="s">
        <v>74</v>
      </c>
      <c r="S169" t="s">
        <v>74</v>
      </c>
      <c r="T169" t="s">
        <v>3658</v>
      </c>
      <c r="U169" t="s">
        <v>74</v>
      </c>
      <c r="V169" t="s">
        <v>3659</v>
      </c>
      <c r="W169" t="s">
        <v>3660</v>
      </c>
      <c r="X169" t="s">
        <v>3661</v>
      </c>
      <c r="Y169" t="s">
        <v>3662</v>
      </c>
      <c r="Z169" t="s">
        <v>3663</v>
      </c>
      <c r="AA169" t="s">
        <v>74</v>
      </c>
      <c r="AB169" t="s">
        <v>74</v>
      </c>
      <c r="AC169" t="s">
        <v>74</v>
      </c>
      <c r="AD169" t="s">
        <v>74</v>
      </c>
      <c r="AE169" t="s">
        <v>74</v>
      </c>
      <c r="AF169" t="s">
        <v>74</v>
      </c>
      <c r="AG169">
        <v>18</v>
      </c>
      <c r="AH169">
        <v>0</v>
      </c>
      <c r="AI169">
        <v>0</v>
      </c>
      <c r="AJ169">
        <v>0</v>
      </c>
      <c r="AK169">
        <v>0</v>
      </c>
      <c r="AL169" t="s">
        <v>3664</v>
      </c>
      <c r="AM169" t="s">
        <v>3665</v>
      </c>
      <c r="AN169" t="s">
        <v>3666</v>
      </c>
      <c r="AO169" t="s">
        <v>3667</v>
      </c>
      <c r="AP169" t="s">
        <v>3668</v>
      </c>
      <c r="AQ169" t="s">
        <v>74</v>
      </c>
      <c r="AR169" t="s">
        <v>3669</v>
      </c>
      <c r="AS169" t="s">
        <v>3670</v>
      </c>
      <c r="AT169" t="s">
        <v>3671</v>
      </c>
      <c r="AU169">
        <v>2017</v>
      </c>
      <c r="AV169">
        <v>11</v>
      </c>
      <c r="AW169">
        <v>1</v>
      </c>
      <c r="AX169" t="s">
        <v>74</v>
      </c>
      <c r="AY169" t="s">
        <v>74</v>
      </c>
      <c r="AZ169" t="s">
        <v>74</v>
      </c>
      <c r="BA169" t="s">
        <v>74</v>
      </c>
      <c r="BB169">
        <v>43</v>
      </c>
      <c r="BC169">
        <v>62</v>
      </c>
      <c r="BD169" t="s">
        <v>74</v>
      </c>
      <c r="BE169" t="s">
        <v>74</v>
      </c>
      <c r="BF169" t="s">
        <v>74</v>
      </c>
      <c r="BG169" t="s">
        <v>74</v>
      </c>
      <c r="BH169" t="s">
        <v>74</v>
      </c>
      <c r="BI169">
        <v>20</v>
      </c>
      <c r="BJ169" t="s">
        <v>3672</v>
      </c>
      <c r="BK169" t="s">
        <v>2057</v>
      </c>
      <c r="BL169" t="s">
        <v>3672</v>
      </c>
      <c r="BM169" t="s">
        <v>3673</v>
      </c>
      <c r="BN169" t="s">
        <v>74</v>
      </c>
      <c r="BO169" t="s">
        <v>74</v>
      </c>
      <c r="BP169" t="s">
        <v>74</v>
      </c>
      <c r="BQ169" t="s">
        <v>74</v>
      </c>
      <c r="BR169" t="s">
        <v>105</v>
      </c>
      <c r="BS169" t="s">
        <v>3674</v>
      </c>
      <c r="BT169" t="str">
        <f>HYPERLINK("https%3A%2F%2Fwww.webofscience.com%2Fwos%2Fwoscc%2Ffull-record%2FWOS:000437500200003","View Full Record in Web of Science")</f>
        <v>View Full Record in Web of Science</v>
      </c>
    </row>
    <row r="170" spans="1:72" x14ac:dyDescent="0.15">
      <c r="A170" t="s">
        <v>2331</v>
      </c>
      <c r="B170" t="s">
        <v>3675</v>
      </c>
      <c r="C170" t="s">
        <v>3675</v>
      </c>
      <c r="D170" t="s">
        <v>74</v>
      </c>
      <c r="E170" t="s">
        <v>74</v>
      </c>
      <c r="F170" t="s">
        <v>3676</v>
      </c>
      <c r="G170" t="s">
        <v>3675</v>
      </c>
      <c r="H170" t="s">
        <v>74</v>
      </c>
      <c r="I170" t="s">
        <v>3677</v>
      </c>
      <c r="J170" t="s">
        <v>3678</v>
      </c>
      <c r="K170" t="s">
        <v>74</v>
      </c>
      <c r="L170" t="s">
        <v>74</v>
      </c>
      <c r="M170" t="s">
        <v>78</v>
      </c>
      <c r="N170" t="s">
        <v>2067</v>
      </c>
      <c r="O170" t="s">
        <v>74</v>
      </c>
      <c r="P170" t="s">
        <v>74</v>
      </c>
      <c r="Q170" t="s">
        <v>74</v>
      </c>
      <c r="R170" t="s">
        <v>74</v>
      </c>
      <c r="S170" t="s">
        <v>74</v>
      </c>
      <c r="T170" t="s">
        <v>74</v>
      </c>
      <c r="U170" t="s">
        <v>74</v>
      </c>
      <c r="V170" t="s">
        <v>74</v>
      </c>
      <c r="W170" t="s">
        <v>3679</v>
      </c>
      <c r="X170" t="s">
        <v>3680</v>
      </c>
      <c r="Y170" t="s">
        <v>3681</v>
      </c>
      <c r="Z170" t="s">
        <v>74</v>
      </c>
      <c r="AA170" t="s">
        <v>74</v>
      </c>
      <c r="AB170" t="s">
        <v>74</v>
      </c>
      <c r="AC170" t="s">
        <v>74</v>
      </c>
      <c r="AD170" t="s">
        <v>74</v>
      </c>
      <c r="AE170" t="s">
        <v>74</v>
      </c>
      <c r="AF170" t="s">
        <v>74</v>
      </c>
      <c r="AG170">
        <v>0</v>
      </c>
      <c r="AH170">
        <v>0</v>
      </c>
      <c r="AI170">
        <v>0</v>
      </c>
      <c r="AJ170">
        <v>0</v>
      </c>
      <c r="AK170">
        <v>0</v>
      </c>
      <c r="AL170" t="s">
        <v>1610</v>
      </c>
      <c r="AM170" t="s">
        <v>187</v>
      </c>
      <c r="AN170" t="s">
        <v>3682</v>
      </c>
      <c r="AO170" t="s">
        <v>74</v>
      </c>
      <c r="AP170" t="s">
        <v>74</v>
      </c>
      <c r="AQ170" t="s">
        <v>3683</v>
      </c>
      <c r="AR170" t="s">
        <v>74</v>
      </c>
      <c r="AS170" t="s">
        <v>74</v>
      </c>
      <c r="AT170" t="s">
        <v>74</v>
      </c>
      <c r="AU170">
        <v>2017</v>
      </c>
      <c r="AV170" t="s">
        <v>74</v>
      </c>
      <c r="AW170" t="s">
        <v>74</v>
      </c>
      <c r="AX170" t="s">
        <v>74</v>
      </c>
      <c r="AY170" t="s">
        <v>74</v>
      </c>
      <c r="AZ170" t="s">
        <v>74</v>
      </c>
      <c r="BA170" t="s">
        <v>74</v>
      </c>
      <c r="BB170">
        <v>6</v>
      </c>
      <c r="BC170">
        <v>28</v>
      </c>
      <c r="BD170" t="s">
        <v>74</v>
      </c>
      <c r="BE170" t="s">
        <v>74</v>
      </c>
      <c r="BF170" t="s">
        <v>74</v>
      </c>
      <c r="BG170" t="s">
        <v>3684</v>
      </c>
      <c r="BH170" t="s">
        <v>74</v>
      </c>
      <c r="BI170">
        <v>23</v>
      </c>
      <c r="BJ170" t="s">
        <v>3685</v>
      </c>
      <c r="BK170" t="s">
        <v>2084</v>
      </c>
      <c r="BL170" t="s">
        <v>3686</v>
      </c>
      <c r="BM170" t="s">
        <v>3687</v>
      </c>
      <c r="BN170" t="s">
        <v>74</v>
      </c>
      <c r="BO170" t="s">
        <v>74</v>
      </c>
      <c r="BP170" t="s">
        <v>74</v>
      </c>
      <c r="BQ170" t="s">
        <v>74</v>
      </c>
      <c r="BR170" t="s">
        <v>105</v>
      </c>
      <c r="BS170" t="s">
        <v>3688</v>
      </c>
      <c r="BT170" t="str">
        <f>HYPERLINK("https%3A%2F%2Fwww.webofscience.com%2Fwos%2Fwoscc%2Ffull-record%2FWOS:000434941300003","View Full Record in Web of Science")</f>
        <v>View Full Record in Web of Science</v>
      </c>
    </row>
    <row r="171" spans="1:72" x14ac:dyDescent="0.15">
      <c r="A171" t="s">
        <v>2331</v>
      </c>
      <c r="B171" t="s">
        <v>3675</v>
      </c>
      <c r="C171" t="s">
        <v>3675</v>
      </c>
      <c r="D171" t="s">
        <v>74</v>
      </c>
      <c r="E171" t="s">
        <v>74</v>
      </c>
      <c r="F171" t="s">
        <v>3676</v>
      </c>
      <c r="G171" t="s">
        <v>3675</v>
      </c>
      <c r="H171" t="s">
        <v>74</v>
      </c>
      <c r="I171" t="s">
        <v>3689</v>
      </c>
      <c r="J171" t="s">
        <v>3678</v>
      </c>
      <c r="K171" t="s">
        <v>74</v>
      </c>
      <c r="L171" t="s">
        <v>74</v>
      </c>
      <c r="M171" t="s">
        <v>78</v>
      </c>
      <c r="N171" t="s">
        <v>2067</v>
      </c>
      <c r="O171" t="s">
        <v>74</v>
      </c>
      <c r="P171" t="s">
        <v>74</v>
      </c>
      <c r="Q171" t="s">
        <v>74</v>
      </c>
      <c r="R171" t="s">
        <v>74</v>
      </c>
      <c r="S171" t="s">
        <v>74</v>
      </c>
      <c r="T171" t="s">
        <v>74</v>
      </c>
      <c r="U171" t="s">
        <v>74</v>
      </c>
      <c r="V171" t="s">
        <v>74</v>
      </c>
      <c r="W171" t="s">
        <v>3679</v>
      </c>
      <c r="X171" t="s">
        <v>3680</v>
      </c>
      <c r="Y171" t="s">
        <v>3681</v>
      </c>
      <c r="Z171" t="s">
        <v>74</v>
      </c>
      <c r="AA171" t="s">
        <v>74</v>
      </c>
      <c r="AB171" t="s">
        <v>74</v>
      </c>
      <c r="AC171" t="s">
        <v>74</v>
      </c>
      <c r="AD171" t="s">
        <v>74</v>
      </c>
      <c r="AE171" t="s">
        <v>74</v>
      </c>
      <c r="AF171" t="s">
        <v>74</v>
      </c>
      <c r="AG171">
        <v>0</v>
      </c>
      <c r="AH171">
        <v>0</v>
      </c>
      <c r="AI171">
        <v>0</v>
      </c>
      <c r="AJ171">
        <v>0</v>
      </c>
      <c r="AK171">
        <v>0</v>
      </c>
      <c r="AL171" t="s">
        <v>1610</v>
      </c>
      <c r="AM171" t="s">
        <v>187</v>
      </c>
      <c r="AN171" t="s">
        <v>3682</v>
      </c>
      <c r="AO171" t="s">
        <v>74</v>
      </c>
      <c r="AP171" t="s">
        <v>74</v>
      </c>
      <c r="AQ171" t="s">
        <v>3683</v>
      </c>
      <c r="AR171" t="s">
        <v>74</v>
      </c>
      <c r="AS171" t="s">
        <v>74</v>
      </c>
      <c r="AT171" t="s">
        <v>74</v>
      </c>
      <c r="AU171">
        <v>2017</v>
      </c>
      <c r="AV171" t="s">
        <v>74</v>
      </c>
      <c r="AW171" t="s">
        <v>74</v>
      </c>
      <c r="AX171" t="s">
        <v>74</v>
      </c>
      <c r="AY171" t="s">
        <v>74</v>
      </c>
      <c r="AZ171" t="s">
        <v>74</v>
      </c>
      <c r="BA171" t="s">
        <v>74</v>
      </c>
      <c r="BB171">
        <v>29</v>
      </c>
      <c r="BC171">
        <v>55</v>
      </c>
      <c r="BD171" t="s">
        <v>74</v>
      </c>
      <c r="BE171" t="s">
        <v>74</v>
      </c>
      <c r="BF171" t="s">
        <v>74</v>
      </c>
      <c r="BG171" t="s">
        <v>3684</v>
      </c>
      <c r="BH171" t="s">
        <v>74</v>
      </c>
      <c r="BI171">
        <v>27</v>
      </c>
      <c r="BJ171" t="s">
        <v>3685</v>
      </c>
      <c r="BK171" t="s">
        <v>2084</v>
      </c>
      <c r="BL171" t="s">
        <v>3686</v>
      </c>
      <c r="BM171" t="s">
        <v>3687</v>
      </c>
      <c r="BN171" t="s">
        <v>74</v>
      </c>
      <c r="BO171" t="s">
        <v>74</v>
      </c>
      <c r="BP171" t="s">
        <v>74</v>
      </c>
      <c r="BQ171" t="s">
        <v>74</v>
      </c>
      <c r="BR171" t="s">
        <v>105</v>
      </c>
      <c r="BS171" t="s">
        <v>3690</v>
      </c>
      <c r="BT171" t="str">
        <f>HYPERLINK("https%3A%2F%2Fwww.webofscience.com%2Fwos%2Fwoscc%2Ffull-record%2FWOS:000434941300004","View Full Record in Web of Science")</f>
        <v>View Full Record in Web of Science</v>
      </c>
    </row>
    <row r="172" spans="1:72" x14ac:dyDescent="0.15">
      <c r="A172" t="s">
        <v>2331</v>
      </c>
      <c r="B172" t="s">
        <v>3675</v>
      </c>
      <c r="C172" t="s">
        <v>3675</v>
      </c>
      <c r="D172" t="s">
        <v>74</v>
      </c>
      <c r="E172" t="s">
        <v>74</v>
      </c>
      <c r="F172" t="s">
        <v>3676</v>
      </c>
      <c r="G172" t="s">
        <v>3675</v>
      </c>
      <c r="H172" t="s">
        <v>74</v>
      </c>
      <c r="I172" t="s">
        <v>3691</v>
      </c>
      <c r="J172" t="s">
        <v>3678</v>
      </c>
      <c r="K172" t="s">
        <v>74</v>
      </c>
      <c r="L172" t="s">
        <v>74</v>
      </c>
      <c r="M172" t="s">
        <v>78</v>
      </c>
      <c r="N172" t="s">
        <v>2067</v>
      </c>
      <c r="O172" t="s">
        <v>74</v>
      </c>
      <c r="P172" t="s">
        <v>74</v>
      </c>
      <c r="Q172" t="s">
        <v>74</v>
      </c>
      <c r="R172" t="s">
        <v>74</v>
      </c>
      <c r="S172" t="s">
        <v>74</v>
      </c>
      <c r="T172" t="s">
        <v>74</v>
      </c>
      <c r="U172" t="s">
        <v>74</v>
      </c>
      <c r="V172" t="s">
        <v>74</v>
      </c>
      <c r="W172" t="s">
        <v>3679</v>
      </c>
      <c r="X172" t="s">
        <v>3680</v>
      </c>
      <c r="Y172" t="s">
        <v>3681</v>
      </c>
      <c r="Z172" t="s">
        <v>74</v>
      </c>
      <c r="AA172" t="s">
        <v>74</v>
      </c>
      <c r="AB172" t="s">
        <v>74</v>
      </c>
      <c r="AC172" t="s">
        <v>74</v>
      </c>
      <c r="AD172" t="s">
        <v>74</v>
      </c>
      <c r="AE172" t="s">
        <v>74</v>
      </c>
      <c r="AF172" t="s">
        <v>74</v>
      </c>
      <c r="AG172">
        <v>0</v>
      </c>
      <c r="AH172">
        <v>0</v>
      </c>
      <c r="AI172">
        <v>0</v>
      </c>
      <c r="AJ172">
        <v>0</v>
      </c>
      <c r="AK172">
        <v>0</v>
      </c>
      <c r="AL172" t="s">
        <v>1610</v>
      </c>
      <c r="AM172" t="s">
        <v>187</v>
      </c>
      <c r="AN172" t="s">
        <v>3682</v>
      </c>
      <c r="AO172" t="s">
        <v>74</v>
      </c>
      <c r="AP172" t="s">
        <v>74</v>
      </c>
      <c r="AQ172" t="s">
        <v>3683</v>
      </c>
      <c r="AR172" t="s">
        <v>74</v>
      </c>
      <c r="AS172" t="s">
        <v>74</v>
      </c>
      <c r="AT172" t="s">
        <v>74</v>
      </c>
      <c r="AU172">
        <v>2017</v>
      </c>
      <c r="AV172" t="s">
        <v>74</v>
      </c>
      <c r="AW172" t="s">
        <v>74</v>
      </c>
      <c r="AX172" t="s">
        <v>74</v>
      </c>
      <c r="AY172" t="s">
        <v>74</v>
      </c>
      <c r="AZ172" t="s">
        <v>74</v>
      </c>
      <c r="BA172" t="s">
        <v>74</v>
      </c>
      <c r="BB172">
        <v>56</v>
      </c>
      <c r="BC172">
        <v>81</v>
      </c>
      <c r="BD172" t="s">
        <v>74</v>
      </c>
      <c r="BE172" t="s">
        <v>74</v>
      </c>
      <c r="BF172" t="s">
        <v>74</v>
      </c>
      <c r="BG172" t="s">
        <v>3684</v>
      </c>
      <c r="BH172" t="s">
        <v>74</v>
      </c>
      <c r="BI172">
        <v>26</v>
      </c>
      <c r="BJ172" t="s">
        <v>3685</v>
      </c>
      <c r="BK172" t="s">
        <v>2084</v>
      </c>
      <c r="BL172" t="s">
        <v>3686</v>
      </c>
      <c r="BM172" t="s">
        <v>3687</v>
      </c>
      <c r="BN172" t="s">
        <v>74</v>
      </c>
      <c r="BO172" t="s">
        <v>74</v>
      </c>
      <c r="BP172" t="s">
        <v>74</v>
      </c>
      <c r="BQ172" t="s">
        <v>74</v>
      </c>
      <c r="BR172" t="s">
        <v>105</v>
      </c>
      <c r="BS172" t="s">
        <v>3692</v>
      </c>
      <c r="BT172" t="str">
        <f>HYPERLINK("https%3A%2F%2Fwww.webofscience.com%2Fwos%2Fwoscc%2Ffull-record%2FWOS:000434941300005","View Full Record in Web of Science")</f>
        <v>View Full Record in Web of Science</v>
      </c>
    </row>
    <row r="173" spans="1:72" x14ac:dyDescent="0.15">
      <c r="A173" t="s">
        <v>2331</v>
      </c>
      <c r="B173" t="s">
        <v>3675</v>
      </c>
      <c r="C173" t="s">
        <v>3675</v>
      </c>
      <c r="D173" t="s">
        <v>74</v>
      </c>
      <c r="E173" t="s">
        <v>74</v>
      </c>
      <c r="F173" t="s">
        <v>3676</v>
      </c>
      <c r="G173" t="s">
        <v>3675</v>
      </c>
      <c r="H173" t="s">
        <v>74</v>
      </c>
      <c r="I173" t="s">
        <v>3693</v>
      </c>
      <c r="J173" t="s">
        <v>3678</v>
      </c>
      <c r="K173" t="s">
        <v>74</v>
      </c>
      <c r="L173" t="s">
        <v>74</v>
      </c>
      <c r="M173" t="s">
        <v>78</v>
      </c>
      <c r="N173" t="s">
        <v>2067</v>
      </c>
      <c r="O173" t="s">
        <v>74</v>
      </c>
      <c r="P173" t="s">
        <v>74</v>
      </c>
      <c r="Q173" t="s">
        <v>74</v>
      </c>
      <c r="R173" t="s">
        <v>74</v>
      </c>
      <c r="S173" t="s">
        <v>74</v>
      </c>
      <c r="T173" t="s">
        <v>74</v>
      </c>
      <c r="U173" t="s">
        <v>74</v>
      </c>
      <c r="V173" t="s">
        <v>74</v>
      </c>
      <c r="W173" t="s">
        <v>3679</v>
      </c>
      <c r="X173" t="s">
        <v>3680</v>
      </c>
      <c r="Y173" t="s">
        <v>3681</v>
      </c>
      <c r="Z173" t="s">
        <v>74</v>
      </c>
      <c r="AA173" t="s">
        <v>74</v>
      </c>
      <c r="AB173" t="s">
        <v>74</v>
      </c>
      <c r="AC173" t="s">
        <v>74</v>
      </c>
      <c r="AD173" t="s">
        <v>74</v>
      </c>
      <c r="AE173" t="s">
        <v>74</v>
      </c>
      <c r="AF173" t="s">
        <v>74</v>
      </c>
      <c r="AG173">
        <v>0</v>
      </c>
      <c r="AH173">
        <v>1</v>
      </c>
      <c r="AI173">
        <v>1</v>
      </c>
      <c r="AJ173">
        <v>0</v>
      </c>
      <c r="AK173">
        <v>0</v>
      </c>
      <c r="AL173" t="s">
        <v>1610</v>
      </c>
      <c r="AM173" t="s">
        <v>187</v>
      </c>
      <c r="AN173" t="s">
        <v>3682</v>
      </c>
      <c r="AO173" t="s">
        <v>74</v>
      </c>
      <c r="AP173" t="s">
        <v>74</v>
      </c>
      <c r="AQ173" t="s">
        <v>3683</v>
      </c>
      <c r="AR173" t="s">
        <v>74</v>
      </c>
      <c r="AS173" t="s">
        <v>74</v>
      </c>
      <c r="AT173" t="s">
        <v>74</v>
      </c>
      <c r="AU173">
        <v>2017</v>
      </c>
      <c r="AV173" t="s">
        <v>74</v>
      </c>
      <c r="AW173" t="s">
        <v>74</v>
      </c>
      <c r="AX173" t="s">
        <v>74</v>
      </c>
      <c r="AY173" t="s">
        <v>74</v>
      </c>
      <c r="AZ173" t="s">
        <v>74</v>
      </c>
      <c r="BA173" t="s">
        <v>74</v>
      </c>
      <c r="BB173">
        <v>82</v>
      </c>
      <c r="BC173">
        <v>102</v>
      </c>
      <c r="BD173" t="s">
        <v>74</v>
      </c>
      <c r="BE173" t="s">
        <v>74</v>
      </c>
      <c r="BF173" t="s">
        <v>74</v>
      </c>
      <c r="BG173" t="s">
        <v>3684</v>
      </c>
      <c r="BH173" t="s">
        <v>74</v>
      </c>
      <c r="BI173">
        <v>21</v>
      </c>
      <c r="BJ173" t="s">
        <v>3685</v>
      </c>
      <c r="BK173" t="s">
        <v>2084</v>
      </c>
      <c r="BL173" t="s">
        <v>3686</v>
      </c>
      <c r="BM173" t="s">
        <v>3687</v>
      </c>
      <c r="BN173" t="s">
        <v>74</v>
      </c>
      <c r="BO173" t="s">
        <v>74</v>
      </c>
      <c r="BP173" t="s">
        <v>74</v>
      </c>
      <c r="BQ173" t="s">
        <v>74</v>
      </c>
      <c r="BR173" t="s">
        <v>105</v>
      </c>
      <c r="BS173" t="s">
        <v>3694</v>
      </c>
      <c r="BT173" t="str">
        <f>HYPERLINK("https%3A%2F%2Fwww.webofscience.com%2Fwos%2Fwoscc%2Ffull-record%2FWOS:000434941300006","View Full Record in Web of Science")</f>
        <v>View Full Record in Web of Science</v>
      </c>
    </row>
    <row r="174" spans="1:72" x14ac:dyDescent="0.15">
      <c r="A174" t="s">
        <v>2331</v>
      </c>
      <c r="B174" t="s">
        <v>3675</v>
      </c>
      <c r="C174" t="s">
        <v>3675</v>
      </c>
      <c r="D174" t="s">
        <v>74</v>
      </c>
      <c r="E174" t="s">
        <v>74</v>
      </c>
      <c r="F174" t="s">
        <v>3676</v>
      </c>
      <c r="G174" t="s">
        <v>3675</v>
      </c>
      <c r="H174" t="s">
        <v>74</v>
      </c>
      <c r="I174" t="s">
        <v>3695</v>
      </c>
      <c r="J174" t="s">
        <v>3678</v>
      </c>
      <c r="K174" t="s">
        <v>74</v>
      </c>
      <c r="L174" t="s">
        <v>74</v>
      </c>
      <c r="M174" t="s">
        <v>78</v>
      </c>
      <c r="N174" t="s">
        <v>2067</v>
      </c>
      <c r="O174" t="s">
        <v>74</v>
      </c>
      <c r="P174" t="s">
        <v>74</v>
      </c>
      <c r="Q174" t="s">
        <v>74</v>
      </c>
      <c r="R174" t="s">
        <v>74</v>
      </c>
      <c r="S174" t="s">
        <v>74</v>
      </c>
      <c r="T174" t="s">
        <v>74</v>
      </c>
      <c r="U174" t="s">
        <v>74</v>
      </c>
      <c r="V174" t="s">
        <v>74</v>
      </c>
      <c r="W174" t="s">
        <v>3679</v>
      </c>
      <c r="X174" t="s">
        <v>3680</v>
      </c>
      <c r="Y174" t="s">
        <v>3681</v>
      </c>
      <c r="Z174" t="s">
        <v>74</v>
      </c>
      <c r="AA174" t="s">
        <v>74</v>
      </c>
      <c r="AB174" t="s">
        <v>74</v>
      </c>
      <c r="AC174" t="s">
        <v>74</v>
      </c>
      <c r="AD174" t="s">
        <v>74</v>
      </c>
      <c r="AE174" t="s">
        <v>74</v>
      </c>
      <c r="AF174" t="s">
        <v>74</v>
      </c>
      <c r="AG174">
        <v>0</v>
      </c>
      <c r="AH174">
        <v>0</v>
      </c>
      <c r="AI174">
        <v>0</v>
      </c>
      <c r="AJ174">
        <v>0</v>
      </c>
      <c r="AK174">
        <v>0</v>
      </c>
      <c r="AL174" t="s">
        <v>1610</v>
      </c>
      <c r="AM174" t="s">
        <v>187</v>
      </c>
      <c r="AN174" t="s">
        <v>3682</v>
      </c>
      <c r="AO174" t="s">
        <v>74</v>
      </c>
      <c r="AP174" t="s">
        <v>74</v>
      </c>
      <c r="AQ174" t="s">
        <v>3683</v>
      </c>
      <c r="AR174" t="s">
        <v>74</v>
      </c>
      <c r="AS174" t="s">
        <v>74</v>
      </c>
      <c r="AT174" t="s">
        <v>74</v>
      </c>
      <c r="AU174">
        <v>2017</v>
      </c>
      <c r="AV174" t="s">
        <v>74</v>
      </c>
      <c r="AW174" t="s">
        <v>74</v>
      </c>
      <c r="AX174" t="s">
        <v>74</v>
      </c>
      <c r="AY174" t="s">
        <v>74</v>
      </c>
      <c r="AZ174" t="s">
        <v>74</v>
      </c>
      <c r="BA174" t="s">
        <v>74</v>
      </c>
      <c r="BB174">
        <v>103</v>
      </c>
      <c r="BC174">
        <v>130</v>
      </c>
      <c r="BD174" t="s">
        <v>74</v>
      </c>
      <c r="BE174" t="s">
        <v>74</v>
      </c>
      <c r="BF174" t="s">
        <v>74</v>
      </c>
      <c r="BG174" t="s">
        <v>3684</v>
      </c>
      <c r="BH174" t="s">
        <v>74</v>
      </c>
      <c r="BI174">
        <v>28</v>
      </c>
      <c r="BJ174" t="s">
        <v>3685</v>
      </c>
      <c r="BK174" t="s">
        <v>2084</v>
      </c>
      <c r="BL174" t="s">
        <v>3686</v>
      </c>
      <c r="BM174" t="s">
        <v>3687</v>
      </c>
      <c r="BN174" t="s">
        <v>74</v>
      </c>
      <c r="BO174" t="s">
        <v>74</v>
      </c>
      <c r="BP174" t="s">
        <v>74</v>
      </c>
      <c r="BQ174" t="s">
        <v>74</v>
      </c>
      <c r="BR174" t="s">
        <v>105</v>
      </c>
      <c r="BS174" t="s">
        <v>3696</v>
      </c>
      <c r="BT174" t="str">
        <f>HYPERLINK("https%3A%2F%2Fwww.webofscience.com%2Fwos%2Fwoscc%2Ffull-record%2FWOS:000434941300007","View Full Record in Web of Science")</f>
        <v>View Full Record in Web of Science</v>
      </c>
    </row>
    <row r="175" spans="1:72" x14ac:dyDescent="0.15">
      <c r="A175" t="s">
        <v>2331</v>
      </c>
      <c r="B175" t="s">
        <v>3675</v>
      </c>
      <c r="C175" t="s">
        <v>3675</v>
      </c>
      <c r="D175" t="s">
        <v>74</v>
      </c>
      <c r="E175" t="s">
        <v>74</v>
      </c>
      <c r="F175" t="s">
        <v>3676</v>
      </c>
      <c r="G175" t="s">
        <v>3675</v>
      </c>
      <c r="H175" t="s">
        <v>74</v>
      </c>
      <c r="I175" t="s">
        <v>3697</v>
      </c>
      <c r="J175" t="s">
        <v>3678</v>
      </c>
      <c r="K175" t="s">
        <v>74</v>
      </c>
      <c r="L175" t="s">
        <v>74</v>
      </c>
      <c r="M175" t="s">
        <v>78</v>
      </c>
      <c r="N175" t="s">
        <v>2067</v>
      </c>
      <c r="O175" t="s">
        <v>74</v>
      </c>
      <c r="P175" t="s">
        <v>74</v>
      </c>
      <c r="Q175" t="s">
        <v>74</v>
      </c>
      <c r="R175" t="s">
        <v>74</v>
      </c>
      <c r="S175" t="s">
        <v>74</v>
      </c>
      <c r="T175" t="s">
        <v>74</v>
      </c>
      <c r="U175" t="s">
        <v>74</v>
      </c>
      <c r="V175" t="s">
        <v>74</v>
      </c>
      <c r="W175" t="s">
        <v>3679</v>
      </c>
      <c r="X175" t="s">
        <v>3680</v>
      </c>
      <c r="Y175" t="s">
        <v>3681</v>
      </c>
      <c r="Z175" t="s">
        <v>74</v>
      </c>
      <c r="AA175" t="s">
        <v>74</v>
      </c>
      <c r="AB175" t="s">
        <v>74</v>
      </c>
      <c r="AC175" t="s">
        <v>74</v>
      </c>
      <c r="AD175" t="s">
        <v>74</v>
      </c>
      <c r="AE175" t="s">
        <v>74</v>
      </c>
      <c r="AF175" t="s">
        <v>74</v>
      </c>
      <c r="AG175">
        <v>0</v>
      </c>
      <c r="AH175">
        <v>1</v>
      </c>
      <c r="AI175">
        <v>1</v>
      </c>
      <c r="AJ175">
        <v>0</v>
      </c>
      <c r="AK175">
        <v>1</v>
      </c>
      <c r="AL175" t="s">
        <v>1610</v>
      </c>
      <c r="AM175" t="s">
        <v>187</v>
      </c>
      <c r="AN175" t="s">
        <v>3682</v>
      </c>
      <c r="AO175" t="s">
        <v>74</v>
      </c>
      <c r="AP175" t="s">
        <v>74</v>
      </c>
      <c r="AQ175" t="s">
        <v>3683</v>
      </c>
      <c r="AR175" t="s">
        <v>74</v>
      </c>
      <c r="AS175" t="s">
        <v>74</v>
      </c>
      <c r="AT175" t="s">
        <v>74</v>
      </c>
      <c r="AU175">
        <v>2017</v>
      </c>
      <c r="AV175" t="s">
        <v>74</v>
      </c>
      <c r="AW175" t="s">
        <v>74</v>
      </c>
      <c r="AX175" t="s">
        <v>74</v>
      </c>
      <c r="AY175" t="s">
        <v>74</v>
      </c>
      <c r="AZ175" t="s">
        <v>74</v>
      </c>
      <c r="BA175" t="s">
        <v>74</v>
      </c>
      <c r="BB175">
        <v>131</v>
      </c>
      <c r="BC175">
        <v>162</v>
      </c>
      <c r="BD175" t="s">
        <v>74</v>
      </c>
      <c r="BE175" t="s">
        <v>74</v>
      </c>
      <c r="BF175" t="s">
        <v>74</v>
      </c>
      <c r="BG175" t="s">
        <v>3684</v>
      </c>
      <c r="BH175" t="s">
        <v>74</v>
      </c>
      <c r="BI175">
        <v>32</v>
      </c>
      <c r="BJ175" t="s">
        <v>3685</v>
      </c>
      <c r="BK175" t="s">
        <v>2084</v>
      </c>
      <c r="BL175" t="s">
        <v>3686</v>
      </c>
      <c r="BM175" t="s">
        <v>3687</v>
      </c>
      <c r="BN175" t="s">
        <v>74</v>
      </c>
      <c r="BO175" t="s">
        <v>74</v>
      </c>
      <c r="BP175" t="s">
        <v>74</v>
      </c>
      <c r="BQ175" t="s">
        <v>74</v>
      </c>
      <c r="BR175" t="s">
        <v>105</v>
      </c>
      <c r="BS175" t="s">
        <v>3698</v>
      </c>
      <c r="BT175" t="str">
        <f>HYPERLINK("https%3A%2F%2Fwww.webofscience.com%2Fwos%2Fwoscc%2Ffull-record%2FWOS:000434941300008","View Full Record in Web of Science")</f>
        <v>View Full Record in Web of Science</v>
      </c>
    </row>
    <row r="176" spans="1:72" x14ac:dyDescent="0.15">
      <c r="A176" t="s">
        <v>2331</v>
      </c>
      <c r="B176" t="s">
        <v>3675</v>
      </c>
      <c r="C176" t="s">
        <v>3675</v>
      </c>
      <c r="D176" t="s">
        <v>74</v>
      </c>
      <c r="E176" t="s">
        <v>74</v>
      </c>
      <c r="F176" t="s">
        <v>3676</v>
      </c>
      <c r="G176" t="s">
        <v>3675</v>
      </c>
      <c r="H176" t="s">
        <v>74</v>
      </c>
      <c r="I176" t="s">
        <v>3699</v>
      </c>
      <c r="J176" t="s">
        <v>3678</v>
      </c>
      <c r="K176" t="s">
        <v>74</v>
      </c>
      <c r="L176" t="s">
        <v>74</v>
      </c>
      <c r="M176" t="s">
        <v>78</v>
      </c>
      <c r="N176" t="s">
        <v>2067</v>
      </c>
      <c r="O176" t="s">
        <v>74</v>
      </c>
      <c r="P176" t="s">
        <v>74</v>
      </c>
      <c r="Q176" t="s">
        <v>74</v>
      </c>
      <c r="R176" t="s">
        <v>74</v>
      </c>
      <c r="S176" t="s">
        <v>74</v>
      </c>
      <c r="T176" t="s">
        <v>74</v>
      </c>
      <c r="U176" t="s">
        <v>74</v>
      </c>
      <c r="V176" t="s">
        <v>74</v>
      </c>
      <c r="W176" t="s">
        <v>3679</v>
      </c>
      <c r="X176" t="s">
        <v>3680</v>
      </c>
      <c r="Y176" t="s">
        <v>3681</v>
      </c>
      <c r="Z176" t="s">
        <v>74</v>
      </c>
      <c r="AA176" t="s">
        <v>74</v>
      </c>
      <c r="AB176" t="s">
        <v>74</v>
      </c>
      <c r="AC176" t="s">
        <v>74</v>
      </c>
      <c r="AD176" t="s">
        <v>74</v>
      </c>
      <c r="AE176" t="s">
        <v>74</v>
      </c>
      <c r="AF176" t="s">
        <v>74</v>
      </c>
      <c r="AG176">
        <v>0</v>
      </c>
      <c r="AH176">
        <v>2</v>
      </c>
      <c r="AI176">
        <v>2</v>
      </c>
      <c r="AJ176">
        <v>0</v>
      </c>
      <c r="AK176">
        <v>0</v>
      </c>
      <c r="AL176" t="s">
        <v>1610</v>
      </c>
      <c r="AM176" t="s">
        <v>187</v>
      </c>
      <c r="AN176" t="s">
        <v>3682</v>
      </c>
      <c r="AO176" t="s">
        <v>74</v>
      </c>
      <c r="AP176" t="s">
        <v>74</v>
      </c>
      <c r="AQ176" t="s">
        <v>3683</v>
      </c>
      <c r="AR176" t="s">
        <v>74</v>
      </c>
      <c r="AS176" t="s">
        <v>74</v>
      </c>
      <c r="AT176" t="s">
        <v>74</v>
      </c>
      <c r="AU176">
        <v>2017</v>
      </c>
      <c r="AV176" t="s">
        <v>74</v>
      </c>
      <c r="AW176" t="s">
        <v>74</v>
      </c>
      <c r="AX176" t="s">
        <v>74</v>
      </c>
      <c r="AY176" t="s">
        <v>74</v>
      </c>
      <c r="AZ176" t="s">
        <v>74</v>
      </c>
      <c r="BA176" t="s">
        <v>74</v>
      </c>
      <c r="BB176">
        <v>163</v>
      </c>
      <c r="BC176">
        <v>195</v>
      </c>
      <c r="BD176" t="s">
        <v>74</v>
      </c>
      <c r="BE176" t="s">
        <v>74</v>
      </c>
      <c r="BF176" t="s">
        <v>74</v>
      </c>
      <c r="BG176" t="s">
        <v>3684</v>
      </c>
      <c r="BH176" t="s">
        <v>74</v>
      </c>
      <c r="BI176">
        <v>33</v>
      </c>
      <c r="BJ176" t="s">
        <v>3685</v>
      </c>
      <c r="BK176" t="s">
        <v>2084</v>
      </c>
      <c r="BL176" t="s">
        <v>3686</v>
      </c>
      <c r="BM176" t="s">
        <v>3687</v>
      </c>
      <c r="BN176" t="s">
        <v>74</v>
      </c>
      <c r="BO176" t="s">
        <v>74</v>
      </c>
      <c r="BP176" t="s">
        <v>74</v>
      </c>
      <c r="BQ176" t="s">
        <v>74</v>
      </c>
      <c r="BR176" t="s">
        <v>105</v>
      </c>
      <c r="BS176" t="s">
        <v>3700</v>
      </c>
      <c r="BT176" t="str">
        <f>HYPERLINK("https%3A%2F%2Fwww.webofscience.com%2Fwos%2Fwoscc%2Ffull-record%2FWOS:000434941300009","View Full Record in Web of Science")</f>
        <v>View Full Record in Web of Science</v>
      </c>
    </row>
    <row r="177" spans="1:72" x14ac:dyDescent="0.15">
      <c r="A177" t="s">
        <v>2331</v>
      </c>
      <c r="B177" t="s">
        <v>3675</v>
      </c>
      <c r="C177" t="s">
        <v>3675</v>
      </c>
      <c r="D177" t="s">
        <v>74</v>
      </c>
      <c r="E177" t="s">
        <v>74</v>
      </c>
      <c r="F177" t="s">
        <v>3676</v>
      </c>
      <c r="G177" t="s">
        <v>3675</v>
      </c>
      <c r="H177" t="s">
        <v>74</v>
      </c>
      <c r="I177" t="s">
        <v>3701</v>
      </c>
      <c r="J177" t="s">
        <v>3678</v>
      </c>
      <c r="K177" t="s">
        <v>74</v>
      </c>
      <c r="L177" t="s">
        <v>74</v>
      </c>
      <c r="M177" t="s">
        <v>78</v>
      </c>
      <c r="N177" t="s">
        <v>2067</v>
      </c>
      <c r="O177" t="s">
        <v>74</v>
      </c>
      <c r="P177" t="s">
        <v>74</v>
      </c>
      <c r="Q177" t="s">
        <v>74</v>
      </c>
      <c r="R177" t="s">
        <v>74</v>
      </c>
      <c r="S177" t="s">
        <v>74</v>
      </c>
      <c r="T177" t="s">
        <v>74</v>
      </c>
      <c r="U177" t="s">
        <v>74</v>
      </c>
      <c r="V177" t="s">
        <v>74</v>
      </c>
      <c r="W177" t="s">
        <v>3679</v>
      </c>
      <c r="X177" t="s">
        <v>3680</v>
      </c>
      <c r="Y177" t="s">
        <v>3681</v>
      </c>
      <c r="Z177" t="s">
        <v>74</v>
      </c>
      <c r="AA177" t="s">
        <v>74</v>
      </c>
      <c r="AB177" t="s">
        <v>74</v>
      </c>
      <c r="AC177" t="s">
        <v>74</v>
      </c>
      <c r="AD177" t="s">
        <v>74</v>
      </c>
      <c r="AE177" t="s">
        <v>74</v>
      </c>
      <c r="AF177" t="s">
        <v>74</v>
      </c>
      <c r="AG177">
        <v>0</v>
      </c>
      <c r="AH177">
        <v>0</v>
      </c>
      <c r="AI177">
        <v>0</v>
      </c>
      <c r="AJ177">
        <v>0</v>
      </c>
      <c r="AK177">
        <v>0</v>
      </c>
      <c r="AL177" t="s">
        <v>1610</v>
      </c>
      <c r="AM177" t="s">
        <v>187</v>
      </c>
      <c r="AN177" t="s">
        <v>3682</v>
      </c>
      <c r="AO177" t="s">
        <v>74</v>
      </c>
      <c r="AP177" t="s">
        <v>74</v>
      </c>
      <c r="AQ177" t="s">
        <v>3683</v>
      </c>
      <c r="AR177" t="s">
        <v>74</v>
      </c>
      <c r="AS177" t="s">
        <v>74</v>
      </c>
      <c r="AT177" t="s">
        <v>74</v>
      </c>
      <c r="AU177">
        <v>2017</v>
      </c>
      <c r="AV177" t="s">
        <v>74</v>
      </c>
      <c r="AW177" t="s">
        <v>74</v>
      </c>
      <c r="AX177" t="s">
        <v>74</v>
      </c>
      <c r="AY177" t="s">
        <v>74</v>
      </c>
      <c r="AZ177" t="s">
        <v>74</v>
      </c>
      <c r="BA177" t="s">
        <v>74</v>
      </c>
      <c r="BB177">
        <v>196</v>
      </c>
      <c r="BC177">
        <v>213</v>
      </c>
      <c r="BD177" t="s">
        <v>74</v>
      </c>
      <c r="BE177" t="s">
        <v>74</v>
      </c>
      <c r="BF177" t="s">
        <v>74</v>
      </c>
      <c r="BG177" t="s">
        <v>3684</v>
      </c>
      <c r="BH177" t="s">
        <v>74</v>
      </c>
      <c r="BI177">
        <v>18</v>
      </c>
      <c r="BJ177" t="s">
        <v>3685</v>
      </c>
      <c r="BK177" t="s">
        <v>2084</v>
      </c>
      <c r="BL177" t="s">
        <v>3686</v>
      </c>
      <c r="BM177" t="s">
        <v>3687</v>
      </c>
      <c r="BN177" t="s">
        <v>74</v>
      </c>
      <c r="BO177" t="s">
        <v>74</v>
      </c>
      <c r="BP177" t="s">
        <v>74</v>
      </c>
      <c r="BQ177" t="s">
        <v>74</v>
      </c>
      <c r="BR177" t="s">
        <v>105</v>
      </c>
      <c r="BS177" t="s">
        <v>3702</v>
      </c>
      <c r="BT177" t="str">
        <f>HYPERLINK("https%3A%2F%2Fwww.webofscience.com%2Fwos%2Fwoscc%2Ffull-record%2FWOS:000434941300010","View Full Record in Web of Science")</f>
        <v>View Full Record in Web of Science</v>
      </c>
    </row>
    <row r="178" spans="1:72" x14ac:dyDescent="0.15">
      <c r="A178" t="s">
        <v>2331</v>
      </c>
      <c r="B178" t="s">
        <v>3675</v>
      </c>
      <c r="C178" t="s">
        <v>3675</v>
      </c>
      <c r="D178" t="s">
        <v>74</v>
      </c>
      <c r="E178" t="s">
        <v>74</v>
      </c>
      <c r="F178" t="s">
        <v>3676</v>
      </c>
      <c r="G178" t="s">
        <v>3675</v>
      </c>
      <c r="H178" t="s">
        <v>74</v>
      </c>
      <c r="I178" t="s">
        <v>3703</v>
      </c>
      <c r="J178" t="s">
        <v>3678</v>
      </c>
      <c r="K178" t="s">
        <v>74</v>
      </c>
      <c r="L178" t="s">
        <v>74</v>
      </c>
      <c r="M178" t="s">
        <v>78</v>
      </c>
      <c r="N178" t="s">
        <v>2067</v>
      </c>
      <c r="O178" t="s">
        <v>74</v>
      </c>
      <c r="P178" t="s">
        <v>74</v>
      </c>
      <c r="Q178" t="s">
        <v>74</v>
      </c>
      <c r="R178" t="s">
        <v>74</v>
      </c>
      <c r="S178" t="s">
        <v>74</v>
      </c>
      <c r="T178" t="s">
        <v>74</v>
      </c>
      <c r="U178" t="s">
        <v>74</v>
      </c>
      <c r="V178" t="s">
        <v>74</v>
      </c>
      <c r="W178" t="s">
        <v>3679</v>
      </c>
      <c r="X178" t="s">
        <v>3680</v>
      </c>
      <c r="Y178" t="s">
        <v>3681</v>
      </c>
      <c r="Z178" t="s">
        <v>74</v>
      </c>
      <c r="AA178" t="s">
        <v>74</v>
      </c>
      <c r="AB178" t="s">
        <v>74</v>
      </c>
      <c r="AC178" t="s">
        <v>74</v>
      </c>
      <c r="AD178" t="s">
        <v>74</v>
      </c>
      <c r="AE178" t="s">
        <v>74</v>
      </c>
      <c r="AF178" t="s">
        <v>74</v>
      </c>
      <c r="AG178">
        <v>0</v>
      </c>
      <c r="AH178">
        <v>1</v>
      </c>
      <c r="AI178">
        <v>1</v>
      </c>
      <c r="AJ178">
        <v>0</v>
      </c>
      <c r="AK178">
        <v>0</v>
      </c>
      <c r="AL178" t="s">
        <v>1610</v>
      </c>
      <c r="AM178" t="s">
        <v>187</v>
      </c>
      <c r="AN178" t="s">
        <v>3682</v>
      </c>
      <c r="AO178" t="s">
        <v>74</v>
      </c>
      <c r="AP178" t="s">
        <v>74</v>
      </c>
      <c r="AQ178" t="s">
        <v>3683</v>
      </c>
      <c r="AR178" t="s">
        <v>74</v>
      </c>
      <c r="AS178" t="s">
        <v>74</v>
      </c>
      <c r="AT178" t="s">
        <v>74</v>
      </c>
      <c r="AU178">
        <v>2017</v>
      </c>
      <c r="AV178" t="s">
        <v>74</v>
      </c>
      <c r="AW178" t="s">
        <v>74</v>
      </c>
      <c r="AX178" t="s">
        <v>74</v>
      </c>
      <c r="AY178" t="s">
        <v>74</v>
      </c>
      <c r="AZ178" t="s">
        <v>74</v>
      </c>
      <c r="BA178" t="s">
        <v>74</v>
      </c>
      <c r="BB178">
        <v>214</v>
      </c>
      <c r="BC178">
        <v>244</v>
      </c>
      <c r="BD178" t="s">
        <v>74</v>
      </c>
      <c r="BE178" t="s">
        <v>74</v>
      </c>
      <c r="BF178" t="s">
        <v>74</v>
      </c>
      <c r="BG178" t="s">
        <v>3684</v>
      </c>
      <c r="BH178" t="s">
        <v>74</v>
      </c>
      <c r="BI178">
        <v>31</v>
      </c>
      <c r="BJ178" t="s">
        <v>3685</v>
      </c>
      <c r="BK178" t="s">
        <v>2084</v>
      </c>
      <c r="BL178" t="s">
        <v>3686</v>
      </c>
      <c r="BM178" t="s">
        <v>3687</v>
      </c>
      <c r="BN178" t="s">
        <v>74</v>
      </c>
      <c r="BO178" t="s">
        <v>74</v>
      </c>
      <c r="BP178" t="s">
        <v>74</v>
      </c>
      <c r="BQ178" t="s">
        <v>74</v>
      </c>
      <c r="BR178" t="s">
        <v>105</v>
      </c>
      <c r="BS178" t="s">
        <v>3704</v>
      </c>
      <c r="BT178" t="str">
        <f>HYPERLINK("https%3A%2F%2Fwww.webofscience.com%2Fwos%2Fwoscc%2Ffull-record%2FWOS:000434941300011","View Full Record in Web of Science")</f>
        <v>View Full Record in Web of Science</v>
      </c>
    </row>
    <row r="179" spans="1:72" x14ac:dyDescent="0.15">
      <c r="A179" t="s">
        <v>2331</v>
      </c>
      <c r="B179" t="s">
        <v>3675</v>
      </c>
      <c r="C179" t="s">
        <v>3675</v>
      </c>
      <c r="D179" t="s">
        <v>74</v>
      </c>
      <c r="E179" t="s">
        <v>74</v>
      </c>
      <c r="F179" t="s">
        <v>3676</v>
      </c>
      <c r="G179" t="s">
        <v>3675</v>
      </c>
      <c r="H179" t="s">
        <v>74</v>
      </c>
      <c r="I179" t="s">
        <v>3705</v>
      </c>
      <c r="J179" t="s">
        <v>3678</v>
      </c>
      <c r="K179" t="s">
        <v>74</v>
      </c>
      <c r="L179" t="s">
        <v>74</v>
      </c>
      <c r="M179" t="s">
        <v>78</v>
      </c>
      <c r="N179" t="s">
        <v>2067</v>
      </c>
      <c r="O179" t="s">
        <v>74</v>
      </c>
      <c r="P179" t="s">
        <v>74</v>
      </c>
      <c r="Q179" t="s">
        <v>74</v>
      </c>
      <c r="R179" t="s">
        <v>74</v>
      </c>
      <c r="S179" t="s">
        <v>74</v>
      </c>
      <c r="T179" t="s">
        <v>74</v>
      </c>
      <c r="U179" t="s">
        <v>74</v>
      </c>
      <c r="V179" t="s">
        <v>74</v>
      </c>
      <c r="W179" t="s">
        <v>3679</v>
      </c>
      <c r="X179" t="s">
        <v>3680</v>
      </c>
      <c r="Y179" t="s">
        <v>3681</v>
      </c>
      <c r="Z179" t="s">
        <v>74</v>
      </c>
      <c r="AA179" t="s">
        <v>74</v>
      </c>
      <c r="AB179" t="s">
        <v>74</v>
      </c>
      <c r="AC179" t="s">
        <v>74</v>
      </c>
      <c r="AD179" t="s">
        <v>74</v>
      </c>
      <c r="AE179" t="s">
        <v>74</v>
      </c>
      <c r="AF179" t="s">
        <v>74</v>
      </c>
      <c r="AG179">
        <v>0</v>
      </c>
      <c r="AH179">
        <v>0</v>
      </c>
      <c r="AI179">
        <v>0</v>
      </c>
      <c r="AJ179">
        <v>0</v>
      </c>
      <c r="AK179">
        <v>0</v>
      </c>
      <c r="AL179" t="s">
        <v>1610</v>
      </c>
      <c r="AM179" t="s">
        <v>187</v>
      </c>
      <c r="AN179" t="s">
        <v>3682</v>
      </c>
      <c r="AO179" t="s">
        <v>74</v>
      </c>
      <c r="AP179" t="s">
        <v>74</v>
      </c>
      <c r="AQ179" t="s">
        <v>3683</v>
      </c>
      <c r="AR179" t="s">
        <v>74</v>
      </c>
      <c r="AS179" t="s">
        <v>74</v>
      </c>
      <c r="AT179" t="s">
        <v>74</v>
      </c>
      <c r="AU179">
        <v>2017</v>
      </c>
      <c r="AV179" t="s">
        <v>74</v>
      </c>
      <c r="AW179" t="s">
        <v>74</v>
      </c>
      <c r="AX179" t="s">
        <v>74</v>
      </c>
      <c r="AY179" t="s">
        <v>74</v>
      </c>
      <c r="AZ179" t="s">
        <v>74</v>
      </c>
      <c r="BA179" t="s">
        <v>74</v>
      </c>
      <c r="BB179">
        <v>245</v>
      </c>
      <c r="BC179">
        <v>266</v>
      </c>
      <c r="BD179" t="s">
        <v>74</v>
      </c>
      <c r="BE179" t="s">
        <v>74</v>
      </c>
      <c r="BF179" t="s">
        <v>74</v>
      </c>
      <c r="BG179" t="s">
        <v>3684</v>
      </c>
      <c r="BH179" t="s">
        <v>74</v>
      </c>
      <c r="BI179">
        <v>22</v>
      </c>
      <c r="BJ179" t="s">
        <v>3685</v>
      </c>
      <c r="BK179" t="s">
        <v>2084</v>
      </c>
      <c r="BL179" t="s">
        <v>3686</v>
      </c>
      <c r="BM179" t="s">
        <v>3687</v>
      </c>
      <c r="BN179" t="s">
        <v>74</v>
      </c>
      <c r="BO179" t="s">
        <v>74</v>
      </c>
      <c r="BP179" t="s">
        <v>74</v>
      </c>
      <c r="BQ179" t="s">
        <v>74</v>
      </c>
      <c r="BR179" t="s">
        <v>105</v>
      </c>
      <c r="BS179" t="s">
        <v>3706</v>
      </c>
      <c r="BT179" t="str">
        <f>HYPERLINK("https%3A%2F%2Fwww.webofscience.com%2Fwos%2Fwoscc%2Ffull-record%2FWOS:000434941300012","View Full Record in Web of Science")</f>
        <v>View Full Record in Web of Science</v>
      </c>
    </row>
    <row r="180" spans="1:72" x14ac:dyDescent="0.15">
      <c r="A180" t="s">
        <v>2331</v>
      </c>
      <c r="B180" t="s">
        <v>3675</v>
      </c>
      <c r="C180" t="s">
        <v>3675</v>
      </c>
      <c r="D180" t="s">
        <v>74</v>
      </c>
      <c r="E180" t="s">
        <v>74</v>
      </c>
      <c r="F180" t="s">
        <v>3676</v>
      </c>
      <c r="G180" t="s">
        <v>3675</v>
      </c>
      <c r="H180" t="s">
        <v>74</v>
      </c>
      <c r="I180" t="s">
        <v>3707</v>
      </c>
      <c r="J180" t="s">
        <v>3678</v>
      </c>
      <c r="K180" t="s">
        <v>74</v>
      </c>
      <c r="L180" t="s">
        <v>74</v>
      </c>
      <c r="M180" t="s">
        <v>78</v>
      </c>
      <c r="N180" t="s">
        <v>2067</v>
      </c>
      <c r="O180" t="s">
        <v>74</v>
      </c>
      <c r="P180" t="s">
        <v>74</v>
      </c>
      <c r="Q180" t="s">
        <v>74</v>
      </c>
      <c r="R180" t="s">
        <v>74</v>
      </c>
      <c r="S180" t="s">
        <v>74</v>
      </c>
      <c r="T180" t="s">
        <v>74</v>
      </c>
      <c r="U180" t="s">
        <v>74</v>
      </c>
      <c r="V180" t="s">
        <v>74</v>
      </c>
      <c r="W180" t="s">
        <v>3679</v>
      </c>
      <c r="X180" t="s">
        <v>3680</v>
      </c>
      <c r="Y180" t="s">
        <v>3681</v>
      </c>
      <c r="Z180" t="s">
        <v>74</v>
      </c>
      <c r="AA180" t="s">
        <v>74</v>
      </c>
      <c r="AB180" t="s">
        <v>74</v>
      </c>
      <c r="AC180" t="s">
        <v>74</v>
      </c>
      <c r="AD180" t="s">
        <v>74</v>
      </c>
      <c r="AE180" t="s">
        <v>74</v>
      </c>
      <c r="AF180" t="s">
        <v>74</v>
      </c>
      <c r="AG180">
        <v>0</v>
      </c>
      <c r="AH180">
        <v>0</v>
      </c>
      <c r="AI180">
        <v>0</v>
      </c>
      <c r="AJ180">
        <v>0</v>
      </c>
      <c r="AK180">
        <v>1</v>
      </c>
      <c r="AL180" t="s">
        <v>1610</v>
      </c>
      <c r="AM180" t="s">
        <v>187</v>
      </c>
      <c r="AN180" t="s">
        <v>3682</v>
      </c>
      <c r="AO180" t="s">
        <v>74</v>
      </c>
      <c r="AP180" t="s">
        <v>74</v>
      </c>
      <c r="AQ180" t="s">
        <v>3683</v>
      </c>
      <c r="AR180" t="s">
        <v>74</v>
      </c>
      <c r="AS180" t="s">
        <v>74</v>
      </c>
      <c r="AT180" t="s">
        <v>74</v>
      </c>
      <c r="AU180">
        <v>2017</v>
      </c>
      <c r="AV180" t="s">
        <v>74</v>
      </c>
      <c r="AW180" t="s">
        <v>74</v>
      </c>
      <c r="AX180" t="s">
        <v>74</v>
      </c>
      <c r="AY180" t="s">
        <v>74</v>
      </c>
      <c r="AZ180" t="s">
        <v>74</v>
      </c>
      <c r="BA180" t="s">
        <v>74</v>
      </c>
      <c r="BB180">
        <v>267</v>
      </c>
      <c r="BC180">
        <v>284</v>
      </c>
      <c r="BD180" t="s">
        <v>74</v>
      </c>
      <c r="BE180" t="s">
        <v>74</v>
      </c>
      <c r="BF180" t="s">
        <v>74</v>
      </c>
      <c r="BG180" t="s">
        <v>3684</v>
      </c>
      <c r="BH180" t="s">
        <v>74</v>
      </c>
      <c r="BI180">
        <v>18</v>
      </c>
      <c r="BJ180" t="s">
        <v>3685</v>
      </c>
      <c r="BK180" t="s">
        <v>2084</v>
      </c>
      <c r="BL180" t="s">
        <v>3686</v>
      </c>
      <c r="BM180" t="s">
        <v>3687</v>
      </c>
      <c r="BN180" t="s">
        <v>74</v>
      </c>
      <c r="BO180" t="s">
        <v>74</v>
      </c>
      <c r="BP180" t="s">
        <v>74</v>
      </c>
      <c r="BQ180" t="s">
        <v>74</v>
      </c>
      <c r="BR180" t="s">
        <v>105</v>
      </c>
      <c r="BS180" t="s">
        <v>3708</v>
      </c>
      <c r="BT180" t="str">
        <f>HYPERLINK("https%3A%2F%2Fwww.webofscience.com%2Fwos%2Fwoscc%2Ffull-record%2FWOS:000434941300013","View Full Record in Web of Science")</f>
        <v>View Full Record in Web of Science</v>
      </c>
    </row>
    <row r="181" spans="1:72" x14ac:dyDescent="0.15">
      <c r="A181" t="s">
        <v>2331</v>
      </c>
      <c r="B181" t="s">
        <v>3675</v>
      </c>
      <c r="C181" t="s">
        <v>3675</v>
      </c>
      <c r="D181" t="s">
        <v>74</v>
      </c>
      <c r="E181" t="s">
        <v>74</v>
      </c>
      <c r="F181" t="s">
        <v>3676</v>
      </c>
      <c r="G181" t="s">
        <v>3675</v>
      </c>
      <c r="H181" t="s">
        <v>74</v>
      </c>
      <c r="I181" t="s">
        <v>3709</v>
      </c>
      <c r="J181" t="s">
        <v>3678</v>
      </c>
      <c r="K181" t="s">
        <v>74</v>
      </c>
      <c r="L181" t="s">
        <v>74</v>
      </c>
      <c r="M181" t="s">
        <v>78</v>
      </c>
      <c r="N181" t="s">
        <v>2067</v>
      </c>
      <c r="O181" t="s">
        <v>74</v>
      </c>
      <c r="P181" t="s">
        <v>74</v>
      </c>
      <c r="Q181" t="s">
        <v>74</v>
      </c>
      <c r="R181" t="s">
        <v>74</v>
      </c>
      <c r="S181" t="s">
        <v>74</v>
      </c>
      <c r="T181" t="s">
        <v>74</v>
      </c>
      <c r="U181" t="s">
        <v>74</v>
      </c>
      <c r="V181" t="s">
        <v>74</v>
      </c>
      <c r="W181" t="s">
        <v>3679</v>
      </c>
      <c r="X181" t="s">
        <v>3680</v>
      </c>
      <c r="Y181" t="s">
        <v>3681</v>
      </c>
      <c r="Z181" t="s">
        <v>74</v>
      </c>
      <c r="AA181" t="s">
        <v>74</v>
      </c>
      <c r="AB181" t="s">
        <v>74</v>
      </c>
      <c r="AC181" t="s">
        <v>74</v>
      </c>
      <c r="AD181" t="s">
        <v>74</v>
      </c>
      <c r="AE181" t="s">
        <v>74</v>
      </c>
      <c r="AF181" t="s">
        <v>74</v>
      </c>
      <c r="AG181">
        <v>0</v>
      </c>
      <c r="AH181">
        <v>0</v>
      </c>
      <c r="AI181">
        <v>0</v>
      </c>
      <c r="AJ181">
        <v>0</v>
      </c>
      <c r="AK181">
        <v>0</v>
      </c>
      <c r="AL181" t="s">
        <v>1610</v>
      </c>
      <c r="AM181" t="s">
        <v>187</v>
      </c>
      <c r="AN181" t="s">
        <v>3682</v>
      </c>
      <c r="AO181" t="s">
        <v>74</v>
      </c>
      <c r="AP181" t="s">
        <v>74</v>
      </c>
      <c r="AQ181" t="s">
        <v>3683</v>
      </c>
      <c r="AR181" t="s">
        <v>74</v>
      </c>
      <c r="AS181" t="s">
        <v>74</v>
      </c>
      <c r="AT181" t="s">
        <v>74</v>
      </c>
      <c r="AU181">
        <v>2017</v>
      </c>
      <c r="AV181" t="s">
        <v>74</v>
      </c>
      <c r="AW181" t="s">
        <v>74</v>
      </c>
      <c r="AX181" t="s">
        <v>74</v>
      </c>
      <c r="AY181" t="s">
        <v>74</v>
      </c>
      <c r="AZ181" t="s">
        <v>74</v>
      </c>
      <c r="BA181" t="s">
        <v>74</v>
      </c>
      <c r="BB181">
        <v>285</v>
      </c>
      <c r="BC181">
        <v>307</v>
      </c>
      <c r="BD181" t="s">
        <v>74</v>
      </c>
      <c r="BE181" t="s">
        <v>74</v>
      </c>
      <c r="BF181" t="s">
        <v>74</v>
      </c>
      <c r="BG181" t="s">
        <v>3684</v>
      </c>
      <c r="BH181" t="s">
        <v>74</v>
      </c>
      <c r="BI181">
        <v>23</v>
      </c>
      <c r="BJ181" t="s">
        <v>3685</v>
      </c>
      <c r="BK181" t="s">
        <v>2084</v>
      </c>
      <c r="BL181" t="s">
        <v>3686</v>
      </c>
      <c r="BM181" t="s">
        <v>3687</v>
      </c>
      <c r="BN181" t="s">
        <v>74</v>
      </c>
      <c r="BO181" t="s">
        <v>74</v>
      </c>
      <c r="BP181" t="s">
        <v>74</v>
      </c>
      <c r="BQ181" t="s">
        <v>74</v>
      </c>
      <c r="BR181" t="s">
        <v>105</v>
      </c>
      <c r="BS181" t="s">
        <v>3710</v>
      </c>
      <c r="BT181" t="str">
        <f>HYPERLINK("https%3A%2F%2Fwww.webofscience.com%2Fwos%2Fwoscc%2Ffull-record%2FWOS:000434941300014","View Full Record in Web of Science")</f>
        <v>View Full Record in Web of Science</v>
      </c>
    </row>
    <row r="182" spans="1:72" x14ac:dyDescent="0.15">
      <c r="A182" t="s">
        <v>2331</v>
      </c>
      <c r="B182" t="s">
        <v>3675</v>
      </c>
      <c r="C182" t="s">
        <v>3675</v>
      </c>
      <c r="D182" t="s">
        <v>74</v>
      </c>
      <c r="E182" t="s">
        <v>74</v>
      </c>
      <c r="F182" t="s">
        <v>3676</v>
      </c>
      <c r="G182" t="s">
        <v>3675</v>
      </c>
      <c r="H182" t="s">
        <v>74</v>
      </c>
      <c r="I182" t="s">
        <v>3711</v>
      </c>
      <c r="J182" t="s">
        <v>3678</v>
      </c>
      <c r="K182" t="s">
        <v>74</v>
      </c>
      <c r="L182" t="s">
        <v>74</v>
      </c>
      <c r="M182" t="s">
        <v>78</v>
      </c>
      <c r="N182" t="s">
        <v>2067</v>
      </c>
      <c r="O182" t="s">
        <v>74</v>
      </c>
      <c r="P182" t="s">
        <v>74</v>
      </c>
      <c r="Q182" t="s">
        <v>74</v>
      </c>
      <c r="R182" t="s">
        <v>74</v>
      </c>
      <c r="S182" t="s">
        <v>74</v>
      </c>
      <c r="T182" t="s">
        <v>74</v>
      </c>
      <c r="U182" t="s">
        <v>74</v>
      </c>
      <c r="V182" t="s">
        <v>74</v>
      </c>
      <c r="W182" t="s">
        <v>3679</v>
      </c>
      <c r="X182" t="s">
        <v>3680</v>
      </c>
      <c r="Y182" t="s">
        <v>3681</v>
      </c>
      <c r="Z182" t="s">
        <v>74</v>
      </c>
      <c r="AA182" t="s">
        <v>74</v>
      </c>
      <c r="AB182" t="s">
        <v>74</v>
      </c>
      <c r="AC182" t="s">
        <v>74</v>
      </c>
      <c r="AD182" t="s">
        <v>74</v>
      </c>
      <c r="AE182" t="s">
        <v>74</v>
      </c>
      <c r="AF182" t="s">
        <v>74</v>
      </c>
      <c r="AG182">
        <v>0</v>
      </c>
      <c r="AH182">
        <v>2</v>
      </c>
      <c r="AI182">
        <v>2</v>
      </c>
      <c r="AJ182">
        <v>0</v>
      </c>
      <c r="AK182">
        <v>0</v>
      </c>
      <c r="AL182" t="s">
        <v>1610</v>
      </c>
      <c r="AM182" t="s">
        <v>187</v>
      </c>
      <c r="AN182" t="s">
        <v>3682</v>
      </c>
      <c r="AO182" t="s">
        <v>74</v>
      </c>
      <c r="AP182" t="s">
        <v>74</v>
      </c>
      <c r="AQ182" t="s">
        <v>3683</v>
      </c>
      <c r="AR182" t="s">
        <v>74</v>
      </c>
      <c r="AS182" t="s">
        <v>74</v>
      </c>
      <c r="AT182" t="s">
        <v>74</v>
      </c>
      <c r="AU182">
        <v>2017</v>
      </c>
      <c r="AV182" t="s">
        <v>74</v>
      </c>
      <c r="AW182" t="s">
        <v>74</v>
      </c>
      <c r="AX182" t="s">
        <v>74</v>
      </c>
      <c r="AY182" t="s">
        <v>74</v>
      </c>
      <c r="AZ182" t="s">
        <v>74</v>
      </c>
      <c r="BA182" t="s">
        <v>74</v>
      </c>
      <c r="BB182">
        <v>308</v>
      </c>
      <c r="BC182">
        <v>328</v>
      </c>
      <c r="BD182" t="s">
        <v>74</v>
      </c>
      <c r="BE182" t="s">
        <v>74</v>
      </c>
      <c r="BF182" t="s">
        <v>74</v>
      </c>
      <c r="BG182" t="s">
        <v>3684</v>
      </c>
      <c r="BH182" t="s">
        <v>74</v>
      </c>
      <c r="BI182">
        <v>21</v>
      </c>
      <c r="BJ182" t="s">
        <v>3685</v>
      </c>
      <c r="BK182" t="s">
        <v>2084</v>
      </c>
      <c r="BL182" t="s">
        <v>3686</v>
      </c>
      <c r="BM182" t="s">
        <v>3687</v>
      </c>
      <c r="BN182" t="s">
        <v>74</v>
      </c>
      <c r="BO182" t="s">
        <v>74</v>
      </c>
      <c r="BP182" t="s">
        <v>74</v>
      </c>
      <c r="BQ182" t="s">
        <v>74</v>
      </c>
      <c r="BR182" t="s">
        <v>105</v>
      </c>
      <c r="BS182" t="s">
        <v>3712</v>
      </c>
      <c r="BT182" t="str">
        <f>HYPERLINK("https%3A%2F%2Fwww.webofscience.com%2Fwos%2Fwoscc%2Ffull-record%2FWOS:000434941300015","View Full Record in Web of Science")</f>
        <v>View Full Record in Web of Science</v>
      </c>
    </row>
    <row r="183" spans="1:72" x14ac:dyDescent="0.15">
      <c r="A183" t="s">
        <v>2331</v>
      </c>
      <c r="B183" t="s">
        <v>3675</v>
      </c>
      <c r="C183" t="s">
        <v>3675</v>
      </c>
      <c r="D183" t="s">
        <v>74</v>
      </c>
      <c r="E183" t="s">
        <v>74</v>
      </c>
      <c r="F183" t="s">
        <v>3676</v>
      </c>
      <c r="G183" t="s">
        <v>3675</v>
      </c>
      <c r="H183" t="s">
        <v>74</v>
      </c>
      <c r="I183" t="s">
        <v>3713</v>
      </c>
      <c r="J183" t="s">
        <v>3678</v>
      </c>
      <c r="K183" t="s">
        <v>74</v>
      </c>
      <c r="L183" t="s">
        <v>74</v>
      </c>
      <c r="M183" t="s">
        <v>78</v>
      </c>
      <c r="N183" t="s">
        <v>2067</v>
      </c>
      <c r="O183" t="s">
        <v>74</v>
      </c>
      <c r="P183" t="s">
        <v>74</v>
      </c>
      <c r="Q183" t="s">
        <v>74</v>
      </c>
      <c r="R183" t="s">
        <v>74</v>
      </c>
      <c r="S183" t="s">
        <v>74</v>
      </c>
      <c r="T183" t="s">
        <v>74</v>
      </c>
      <c r="U183" t="s">
        <v>74</v>
      </c>
      <c r="V183" t="s">
        <v>74</v>
      </c>
      <c r="W183" t="s">
        <v>3679</v>
      </c>
      <c r="X183" t="s">
        <v>3680</v>
      </c>
      <c r="Y183" t="s">
        <v>3681</v>
      </c>
      <c r="Z183" t="s">
        <v>74</v>
      </c>
      <c r="AA183" t="s">
        <v>74</v>
      </c>
      <c r="AB183" t="s">
        <v>74</v>
      </c>
      <c r="AC183" t="s">
        <v>74</v>
      </c>
      <c r="AD183" t="s">
        <v>74</v>
      </c>
      <c r="AE183" t="s">
        <v>74</v>
      </c>
      <c r="AF183" t="s">
        <v>74</v>
      </c>
      <c r="AG183">
        <v>0</v>
      </c>
      <c r="AH183">
        <v>0</v>
      </c>
      <c r="AI183">
        <v>0</v>
      </c>
      <c r="AJ183">
        <v>0</v>
      </c>
      <c r="AK183">
        <v>0</v>
      </c>
      <c r="AL183" t="s">
        <v>1610</v>
      </c>
      <c r="AM183" t="s">
        <v>187</v>
      </c>
      <c r="AN183" t="s">
        <v>3682</v>
      </c>
      <c r="AO183" t="s">
        <v>74</v>
      </c>
      <c r="AP183" t="s">
        <v>74</v>
      </c>
      <c r="AQ183" t="s">
        <v>3683</v>
      </c>
      <c r="AR183" t="s">
        <v>74</v>
      </c>
      <c r="AS183" t="s">
        <v>74</v>
      </c>
      <c r="AT183" t="s">
        <v>74</v>
      </c>
      <c r="AU183">
        <v>2017</v>
      </c>
      <c r="AV183" t="s">
        <v>74</v>
      </c>
      <c r="AW183" t="s">
        <v>74</v>
      </c>
      <c r="AX183" t="s">
        <v>74</v>
      </c>
      <c r="AY183" t="s">
        <v>74</v>
      </c>
      <c r="AZ183" t="s">
        <v>74</v>
      </c>
      <c r="BA183" t="s">
        <v>74</v>
      </c>
      <c r="BB183">
        <v>329</v>
      </c>
      <c r="BC183">
        <v>353</v>
      </c>
      <c r="BD183" t="s">
        <v>74</v>
      </c>
      <c r="BE183" t="s">
        <v>74</v>
      </c>
      <c r="BF183" t="s">
        <v>74</v>
      </c>
      <c r="BG183" t="s">
        <v>3684</v>
      </c>
      <c r="BH183" t="s">
        <v>74</v>
      </c>
      <c r="BI183">
        <v>25</v>
      </c>
      <c r="BJ183" t="s">
        <v>3685</v>
      </c>
      <c r="BK183" t="s">
        <v>2084</v>
      </c>
      <c r="BL183" t="s">
        <v>3686</v>
      </c>
      <c r="BM183" t="s">
        <v>3687</v>
      </c>
      <c r="BN183" t="s">
        <v>74</v>
      </c>
      <c r="BO183" t="s">
        <v>74</v>
      </c>
      <c r="BP183" t="s">
        <v>74</v>
      </c>
      <c r="BQ183" t="s">
        <v>74</v>
      </c>
      <c r="BR183" t="s">
        <v>105</v>
      </c>
      <c r="BS183" t="s">
        <v>3714</v>
      </c>
      <c r="BT183" t="str">
        <f>HYPERLINK("https%3A%2F%2Fwww.webofscience.com%2Fwos%2Fwoscc%2Ffull-record%2FWOS:000434941300016","View Full Record in Web of Science")</f>
        <v>View Full Record in Web of Science</v>
      </c>
    </row>
    <row r="184" spans="1:72" x14ac:dyDescent="0.15">
      <c r="A184" t="s">
        <v>2331</v>
      </c>
      <c r="B184" t="s">
        <v>3675</v>
      </c>
      <c r="C184" t="s">
        <v>3675</v>
      </c>
      <c r="D184" t="s">
        <v>74</v>
      </c>
      <c r="E184" t="s">
        <v>74</v>
      </c>
      <c r="F184" t="s">
        <v>3676</v>
      </c>
      <c r="G184" t="s">
        <v>3675</v>
      </c>
      <c r="H184" t="s">
        <v>74</v>
      </c>
      <c r="I184" t="s">
        <v>3715</v>
      </c>
      <c r="J184" t="s">
        <v>3678</v>
      </c>
      <c r="K184" t="s">
        <v>74</v>
      </c>
      <c r="L184" t="s">
        <v>74</v>
      </c>
      <c r="M184" t="s">
        <v>78</v>
      </c>
      <c r="N184" t="s">
        <v>2067</v>
      </c>
      <c r="O184" t="s">
        <v>74</v>
      </c>
      <c r="P184" t="s">
        <v>74</v>
      </c>
      <c r="Q184" t="s">
        <v>74</v>
      </c>
      <c r="R184" t="s">
        <v>74</v>
      </c>
      <c r="S184" t="s">
        <v>74</v>
      </c>
      <c r="T184" t="s">
        <v>74</v>
      </c>
      <c r="U184" t="s">
        <v>74</v>
      </c>
      <c r="V184" t="s">
        <v>74</v>
      </c>
      <c r="W184" t="s">
        <v>3679</v>
      </c>
      <c r="X184" t="s">
        <v>3680</v>
      </c>
      <c r="Y184" t="s">
        <v>3681</v>
      </c>
      <c r="Z184" t="s">
        <v>74</v>
      </c>
      <c r="AA184" t="s">
        <v>74</v>
      </c>
      <c r="AB184" t="s">
        <v>74</v>
      </c>
      <c r="AC184" t="s">
        <v>74</v>
      </c>
      <c r="AD184" t="s">
        <v>74</v>
      </c>
      <c r="AE184" t="s">
        <v>74</v>
      </c>
      <c r="AF184" t="s">
        <v>74</v>
      </c>
      <c r="AG184">
        <v>0</v>
      </c>
      <c r="AH184">
        <v>1</v>
      </c>
      <c r="AI184">
        <v>1</v>
      </c>
      <c r="AJ184">
        <v>0</v>
      </c>
      <c r="AK184">
        <v>2</v>
      </c>
      <c r="AL184" t="s">
        <v>1610</v>
      </c>
      <c r="AM184" t="s">
        <v>187</v>
      </c>
      <c r="AN184" t="s">
        <v>3682</v>
      </c>
      <c r="AO184" t="s">
        <v>74</v>
      </c>
      <c r="AP184" t="s">
        <v>74</v>
      </c>
      <c r="AQ184" t="s">
        <v>3683</v>
      </c>
      <c r="AR184" t="s">
        <v>74</v>
      </c>
      <c r="AS184" t="s">
        <v>74</v>
      </c>
      <c r="AT184" t="s">
        <v>74</v>
      </c>
      <c r="AU184">
        <v>2017</v>
      </c>
      <c r="AV184" t="s">
        <v>74</v>
      </c>
      <c r="AW184" t="s">
        <v>74</v>
      </c>
      <c r="AX184" t="s">
        <v>74</v>
      </c>
      <c r="AY184" t="s">
        <v>74</v>
      </c>
      <c r="AZ184" t="s">
        <v>74</v>
      </c>
      <c r="BA184" t="s">
        <v>74</v>
      </c>
      <c r="BB184">
        <v>354</v>
      </c>
      <c r="BC184">
        <v>390</v>
      </c>
      <c r="BD184" t="s">
        <v>74</v>
      </c>
      <c r="BE184" t="s">
        <v>74</v>
      </c>
      <c r="BF184" t="s">
        <v>74</v>
      </c>
      <c r="BG184" t="s">
        <v>3684</v>
      </c>
      <c r="BH184" t="s">
        <v>74</v>
      </c>
      <c r="BI184">
        <v>37</v>
      </c>
      <c r="BJ184" t="s">
        <v>3685</v>
      </c>
      <c r="BK184" t="s">
        <v>2084</v>
      </c>
      <c r="BL184" t="s">
        <v>3686</v>
      </c>
      <c r="BM184" t="s">
        <v>3687</v>
      </c>
      <c r="BN184" t="s">
        <v>74</v>
      </c>
      <c r="BO184" t="s">
        <v>74</v>
      </c>
      <c r="BP184" t="s">
        <v>74</v>
      </c>
      <c r="BQ184" t="s">
        <v>74</v>
      </c>
      <c r="BR184" t="s">
        <v>105</v>
      </c>
      <c r="BS184" t="s">
        <v>3716</v>
      </c>
      <c r="BT184" t="str">
        <f>HYPERLINK("https%3A%2F%2Fwww.webofscience.com%2Fwos%2Fwoscc%2Ffull-record%2FWOS:000434941300017","View Full Record in Web of Science")</f>
        <v>View Full Record in Web of Science</v>
      </c>
    </row>
    <row r="185" spans="1:72" x14ac:dyDescent="0.15">
      <c r="A185" t="s">
        <v>2331</v>
      </c>
      <c r="B185" t="s">
        <v>3675</v>
      </c>
      <c r="C185" t="s">
        <v>3675</v>
      </c>
      <c r="D185" t="s">
        <v>74</v>
      </c>
      <c r="E185" t="s">
        <v>74</v>
      </c>
      <c r="F185" t="s">
        <v>3676</v>
      </c>
      <c r="G185" t="s">
        <v>3675</v>
      </c>
      <c r="H185" t="s">
        <v>74</v>
      </c>
      <c r="I185" t="s">
        <v>3717</v>
      </c>
      <c r="J185" t="s">
        <v>3678</v>
      </c>
      <c r="K185" t="s">
        <v>74</v>
      </c>
      <c r="L185" t="s">
        <v>74</v>
      </c>
      <c r="M185" t="s">
        <v>78</v>
      </c>
      <c r="N185" t="s">
        <v>2067</v>
      </c>
      <c r="O185" t="s">
        <v>74</v>
      </c>
      <c r="P185" t="s">
        <v>74</v>
      </c>
      <c r="Q185" t="s">
        <v>74</v>
      </c>
      <c r="R185" t="s">
        <v>74</v>
      </c>
      <c r="S185" t="s">
        <v>74</v>
      </c>
      <c r="T185" t="s">
        <v>74</v>
      </c>
      <c r="U185" t="s">
        <v>74</v>
      </c>
      <c r="V185" t="s">
        <v>74</v>
      </c>
      <c r="W185" t="s">
        <v>3679</v>
      </c>
      <c r="X185" t="s">
        <v>3680</v>
      </c>
      <c r="Y185" t="s">
        <v>3681</v>
      </c>
      <c r="Z185" t="s">
        <v>74</v>
      </c>
      <c r="AA185" t="s">
        <v>74</v>
      </c>
      <c r="AB185" t="s">
        <v>74</v>
      </c>
      <c r="AC185" t="s">
        <v>74</v>
      </c>
      <c r="AD185" t="s">
        <v>74</v>
      </c>
      <c r="AE185" t="s">
        <v>74</v>
      </c>
      <c r="AF185" t="s">
        <v>74</v>
      </c>
      <c r="AG185">
        <v>0</v>
      </c>
      <c r="AH185">
        <v>0</v>
      </c>
      <c r="AI185">
        <v>0</v>
      </c>
      <c r="AJ185">
        <v>0</v>
      </c>
      <c r="AK185">
        <v>1</v>
      </c>
      <c r="AL185" t="s">
        <v>1610</v>
      </c>
      <c r="AM185" t="s">
        <v>187</v>
      </c>
      <c r="AN185" t="s">
        <v>3682</v>
      </c>
      <c r="AO185" t="s">
        <v>74</v>
      </c>
      <c r="AP185" t="s">
        <v>74</v>
      </c>
      <c r="AQ185" t="s">
        <v>3683</v>
      </c>
      <c r="AR185" t="s">
        <v>74</v>
      </c>
      <c r="AS185" t="s">
        <v>74</v>
      </c>
      <c r="AT185" t="s">
        <v>74</v>
      </c>
      <c r="AU185">
        <v>2017</v>
      </c>
      <c r="AV185" t="s">
        <v>74</v>
      </c>
      <c r="AW185" t="s">
        <v>74</v>
      </c>
      <c r="AX185" t="s">
        <v>74</v>
      </c>
      <c r="AY185" t="s">
        <v>74</v>
      </c>
      <c r="AZ185" t="s">
        <v>74</v>
      </c>
      <c r="BA185" t="s">
        <v>74</v>
      </c>
      <c r="BB185">
        <v>391</v>
      </c>
      <c r="BC185">
        <v>393</v>
      </c>
      <c r="BD185" t="s">
        <v>74</v>
      </c>
      <c r="BE185" t="s">
        <v>74</v>
      </c>
      <c r="BF185" t="s">
        <v>74</v>
      </c>
      <c r="BG185" t="s">
        <v>3684</v>
      </c>
      <c r="BH185" t="s">
        <v>74</v>
      </c>
      <c r="BI185">
        <v>3</v>
      </c>
      <c r="BJ185" t="s">
        <v>3685</v>
      </c>
      <c r="BK185" t="s">
        <v>2084</v>
      </c>
      <c r="BL185" t="s">
        <v>3686</v>
      </c>
      <c r="BM185" t="s">
        <v>3687</v>
      </c>
      <c r="BN185" t="s">
        <v>74</v>
      </c>
      <c r="BO185" t="s">
        <v>74</v>
      </c>
      <c r="BP185" t="s">
        <v>74</v>
      </c>
      <c r="BQ185" t="s">
        <v>74</v>
      </c>
      <c r="BR185" t="s">
        <v>105</v>
      </c>
      <c r="BS185" t="s">
        <v>3718</v>
      </c>
      <c r="BT185" t="str">
        <f>HYPERLINK("https%3A%2F%2Fwww.webofscience.com%2Fwos%2Fwoscc%2Ffull-record%2FWOS:000434941300018","View Full Record in Web of Science")</f>
        <v>View Full Record in Web of Science</v>
      </c>
    </row>
    <row r="186" spans="1:72" x14ac:dyDescent="0.15">
      <c r="A186" t="s">
        <v>1823</v>
      </c>
      <c r="B186" t="s">
        <v>3719</v>
      </c>
      <c r="C186" t="s">
        <v>74</v>
      </c>
      <c r="D186" t="s">
        <v>3720</v>
      </c>
      <c r="E186" t="s">
        <v>74</v>
      </c>
      <c r="F186" t="s">
        <v>3721</v>
      </c>
      <c r="G186" t="s">
        <v>74</v>
      </c>
      <c r="H186" t="s">
        <v>74</v>
      </c>
      <c r="I186" t="s">
        <v>3722</v>
      </c>
      <c r="J186" t="s">
        <v>3723</v>
      </c>
      <c r="K186" t="s">
        <v>74</v>
      </c>
      <c r="L186" t="s">
        <v>74</v>
      </c>
      <c r="M186" t="s">
        <v>78</v>
      </c>
      <c r="N186" t="s">
        <v>1829</v>
      </c>
      <c r="O186" t="s">
        <v>3724</v>
      </c>
      <c r="P186" t="s">
        <v>3725</v>
      </c>
      <c r="Q186" t="s">
        <v>3726</v>
      </c>
      <c r="R186" t="s">
        <v>74</v>
      </c>
      <c r="S186" t="s">
        <v>3727</v>
      </c>
      <c r="T186" t="s">
        <v>74</v>
      </c>
      <c r="U186" t="s">
        <v>74</v>
      </c>
      <c r="V186" t="s">
        <v>3728</v>
      </c>
      <c r="W186" t="s">
        <v>3729</v>
      </c>
      <c r="X186" t="s">
        <v>3730</v>
      </c>
      <c r="Y186" t="s">
        <v>3731</v>
      </c>
      <c r="Z186" t="s">
        <v>74</v>
      </c>
      <c r="AA186" t="s">
        <v>74</v>
      </c>
      <c r="AB186" t="s">
        <v>74</v>
      </c>
      <c r="AC186" t="s">
        <v>74</v>
      </c>
      <c r="AD186" t="s">
        <v>74</v>
      </c>
      <c r="AE186" t="s">
        <v>74</v>
      </c>
      <c r="AF186" t="s">
        <v>74</v>
      </c>
      <c r="AG186">
        <v>22</v>
      </c>
      <c r="AH186">
        <v>0</v>
      </c>
      <c r="AI186">
        <v>0</v>
      </c>
      <c r="AJ186">
        <v>0</v>
      </c>
      <c r="AK186">
        <v>0</v>
      </c>
      <c r="AL186" t="s">
        <v>3732</v>
      </c>
      <c r="AM186" t="s">
        <v>3733</v>
      </c>
      <c r="AN186" t="s">
        <v>3734</v>
      </c>
      <c r="AO186" t="s">
        <v>74</v>
      </c>
      <c r="AP186" t="s">
        <v>74</v>
      </c>
      <c r="AQ186" t="s">
        <v>3735</v>
      </c>
      <c r="AR186" t="s">
        <v>74</v>
      </c>
      <c r="AS186" t="s">
        <v>74</v>
      </c>
      <c r="AT186" t="s">
        <v>74</v>
      </c>
      <c r="AU186">
        <v>2017</v>
      </c>
      <c r="AV186" t="s">
        <v>74</v>
      </c>
      <c r="AW186" t="s">
        <v>74</v>
      </c>
      <c r="AX186" t="s">
        <v>74</v>
      </c>
      <c r="AY186" t="s">
        <v>74</v>
      </c>
      <c r="AZ186" t="s">
        <v>74</v>
      </c>
      <c r="BA186" t="s">
        <v>74</v>
      </c>
      <c r="BB186">
        <v>185</v>
      </c>
      <c r="BC186">
        <v>188</v>
      </c>
      <c r="BD186" t="s">
        <v>74</v>
      </c>
      <c r="BE186" t="s">
        <v>74</v>
      </c>
      <c r="BF186" t="s">
        <v>74</v>
      </c>
      <c r="BG186" t="s">
        <v>74</v>
      </c>
      <c r="BH186" t="s">
        <v>74</v>
      </c>
      <c r="BI186">
        <v>4</v>
      </c>
      <c r="BJ186" t="s">
        <v>3736</v>
      </c>
      <c r="BK186" t="s">
        <v>1844</v>
      </c>
      <c r="BL186" t="s">
        <v>3737</v>
      </c>
      <c r="BM186" t="s">
        <v>3738</v>
      </c>
      <c r="BN186" t="s">
        <v>74</v>
      </c>
      <c r="BO186" t="s">
        <v>74</v>
      </c>
      <c r="BP186" t="s">
        <v>74</v>
      </c>
      <c r="BQ186" t="s">
        <v>74</v>
      </c>
      <c r="BR186" t="s">
        <v>105</v>
      </c>
      <c r="BS186" t="s">
        <v>3739</v>
      </c>
      <c r="BT186" t="str">
        <f>HYPERLINK("https%3A%2F%2Fwww.webofscience.com%2Fwos%2Fwoscc%2Ffull-record%2FWOS:000434340800047","View Full Record in Web of Science")</f>
        <v>View Full Record in Web of Science</v>
      </c>
    </row>
    <row r="187" spans="1:72" x14ac:dyDescent="0.15">
      <c r="A187" t="s">
        <v>72</v>
      </c>
      <c r="B187" t="s">
        <v>3740</v>
      </c>
      <c r="C187" t="s">
        <v>74</v>
      </c>
      <c r="D187" t="s">
        <v>74</v>
      </c>
      <c r="E187" t="s">
        <v>74</v>
      </c>
      <c r="F187" t="s">
        <v>3741</v>
      </c>
      <c r="G187" t="s">
        <v>74</v>
      </c>
      <c r="H187" t="s">
        <v>74</v>
      </c>
      <c r="I187" t="s">
        <v>3742</v>
      </c>
      <c r="J187" t="s">
        <v>3743</v>
      </c>
      <c r="K187" t="s">
        <v>74</v>
      </c>
      <c r="L187" t="s">
        <v>74</v>
      </c>
      <c r="M187" t="s">
        <v>3744</v>
      </c>
      <c r="N187" t="s">
        <v>79</v>
      </c>
      <c r="O187" t="s">
        <v>74</v>
      </c>
      <c r="P187" t="s">
        <v>74</v>
      </c>
      <c r="Q187" t="s">
        <v>74</v>
      </c>
      <c r="R187" t="s">
        <v>74</v>
      </c>
      <c r="S187" t="s">
        <v>74</v>
      </c>
      <c r="T187" t="s">
        <v>74</v>
      </c>
      <c r="U187" t="s">
        <v>74</v>
      </c>
      <c r="V187" t="s">
        <v>74</v>
      </c>
      <c r="W187" t="s">
        <v>3745</v>
      </c>
      <c r="X187" t="s">
        <v>3746</v>
      </c>
      <c r="Y187" t="s">
        <v>3747</v>
      </c>
      <c r="Z187" t="s">
        <v>74</v>
      </c>
      <c r="AA187" t="s">
        <v>3748</v>
      </c>
      <c r="AB187" t="s">
        <v>3749</v>
      </c>
      <c r="AC187" t="s">
        <v>74</v>
      </c>
      <c r="AD187" t="s">
        <v>74</v>
      </c>
      <c r="AE187" t="s">
        <v>74</v>
      </c>
      <c r="AF187" t="s">
        <v>74</v>
      </c>
      <c r="AG187">
        <v>22</v>
      </c>
      <c r="AH187">
        <v>0</v>
      </c>
      <c r="AI187">
        <v>0</v>
      </c>
      <c r="AJ187">
        <v>0</v>
      </c>
      <c r="AK187">
        <v>0</v>
      </c>
      <c r="AL187" t="s">
        <v>3750</v>
      </c>
      <c r="AM187" t="s">
        <v>3751</v>
      </c>
      <c r="AN187" t="s">
        <v>3752</v>
      </c>
      <c r="AO187" t="s">
        <v>3753</v>
      </c>
      <c r="AP187" t="s">
        <v>3754</v>
      </c>
      <c r="AQ187" t="s">
        <v>74</v>
      </c>
      <c r="AR187" t="s">
        <v>3755</v>
      </c>
      <c r="AS187" t="s">
        <v>3756</v>
      </c>
      <c r="AT187" t="s">
        <v>74</v>
      </c>
      <c r="AU187">
        <v>2017</v>
      </c>
      <c r="AV187" t="s">
        <v>74</v>
      </c>
      <c r="AW187">
        <v>47</v>
      </c>
      <c r="AX187" t="s">
        <v>74</v>
      </c>
      <c r="AY187" t="s">
        <v>74</v>
      </c>
      <c r="AZ187" t="s">
        <v>74</v>
      </c>
      <c r="BA187" t="s">
        <v>74</v>
      </c>
      <c r="BB187">
        <v>153</v>
      </c>
      <c r="BC187">
        <v>160</v>
      </c>
      <c r="BD187" t="s">
        <v>74</v>
      </c>
      <c r="BE187" t="s">
        <v>74</v>
      </c>
      <c r="BF187" t="s">
        <v>74</v>
      </c>
      <c r="BG187" t="s">
        <v>74</v>
      </c>
      <c r="BH187" t="s">
        <v>74</v>
      </c>
      <c r="BI187">
        <v>8</v>
      </c>
      <c r="BJ187" t="s">
        <v>670</v>
      </c>
      <c r="BK187" t="s">
        <v>2057</v>
      </c>
      <c r="BL187" t="s">
        <v>670</v>
      </c>
      <c r="BM187" t="s">
        <v>3757</v>
      </c>
      <c r="BN187" t="s">
        <v>74</v>
      </c>
      <c r="BO187" t="s">
        <v>74</v>
      </c>
      <c r="BP187" t="s">
        <v>74</v>
      </c>
      <c r="BQ187" t="s">
        <v>74</v>
      </c>
      <c r="BR187" t="s">
        <v>105</v>
      </c>
      <c r="BS187" t="s">
        <v>3758</v>
      </c>
      <c r="BT187" t="str">
        <f>HYPERLINK("https%3A%2F%2Fwww.webofscience.com%2Fwos%2Fwoscc%2Ffull-record%2FWOS:000434452700020","View Full Record in Web of Science")</f>
        <v>View Full Record in Web of Science</v>
      </c>
    </row>
    <row r="188" spans="1:72" x14ac:dyDescent="0.15">
      <c r="A188" t="s">
        <v>2331</v>
      </c>
      <c r="B188" t="s">
        <v>3759</v>
      </c>
      <c r="C188" t="s">
        <v>74</v>
      </c>
      <c r="D188" t="s">
        <v>3760</v>
      </c>
      <c r="E188" t="s">
        <v>74</v>
      </c>
      <c r="F188" t="s">
        <v>3761</v>
      </c>
      <c r="G188" t="s">
        <v>74</v>
      </c>
      <c r="H188" t="s">
        <v>74</v>
      </c>
      <c r="I188" t="s">
        <v>3762</v>
      </c>
      <c r="J188" t="s">
        <v>3763</v>
      </c>
      <c r="K188" t="s">
        <v>3764</v>
      </c>
      <c r="L188" t="s">
        <v>74</v>
      </c>
      <c r="M188" t="s">
        <v>78</v>
      </c>
      <c r="N188" t="s">
        <v>2067</v>
      </c>
      <c r="O188" t="s">
        <v>74</v>
      </c>
      <c r="P188" t="s">
        <v>74</v>
      </c>
      <c r="Q188" t="s">
        <v>74</v>
      </c>
      <c r="R188" t="s">
        <v>74</v>
      </c>
      <c r="S188" t="s">
        <v>74</v>
      </c>
      <c r="T188" t="s">
        <v>74</v>
      </c>
      <c r="U188" t="s">
        <v>74</v>
      </c>
      <c r="V188" t="s">
        <v>74</v>
      </c>
      <c r="W188" t="s">
        <v>3765</v>
      </c>
      <c r="X188" t="s">
        <v>3766</v>
      </c>
      <c r="Y188" t="s">
        <v>3767</v>
      </c>
      <c r="Z188" t="s">
        <v>3768</v>
      </c>
      <c r="AA188" t="s">
        <v>3769</v>
      </c>
      <c r="AB188" t="s">
        <v>3770</v>
      </c>
      <c r="AC188" t="s">
        <v>74</v>
      </c>
      <c r="AD188" t="s">
        <v>74</v>
      </c>
      <c r="AE188" t="s">
        <v>74</v>
      </c>
      <c r="AF188" t="s">
        <v>74</v>
      </c>
      <c r="AG188">
        <v>19</v>
      </c>
      <c r="AH188">
        <v>0</v>
      </c>
      <c r="AI188">
        <v>0</v>
      </c>
      <c r="AJ188">
        <v>1</v>
      </c>
      <c r="AK188">
        <v>1</v>
      </c>
      <c r="AL188" t="s">
        <v>3771</v>
      </c>
      <c r="AM188" t="s">
        <v>93</v>
      </c>
      <c r="AN188" t="s">
        <v>3772</v>
      </c>
      <c r="AO188" t="s">
        <v>74</v>
      </c>
      <c r="AP188" t="s">
        <v>74</v>
      </c>
      <c r="AQ188" t="s">
        <v>3773</v>
      </c>
      <c r="AR188" t="s">
        <v>3774</v>
      </c>
      <c r="AS188" t="s">
        <v>74</v>
      </c>
      <c r="AT188" t="s">
        <v>74</v>
      </c>
      <c r="AU188">
        <v>2017</v>
      </c>
      <c r="AV188" t="s">
        <v>74</v>
      </c>
      <c r="AW188" t="s">
        <v>74</v>
      </c>
      <c r="AX188" t="s">
        <v>74</v>
      </c>
      <c r="AY188" t="s">
        <v>74</v>
      </c>
      <c r="AZ188" t="s">
        <v>74</v>
      </c>
      <c r="BA188" t="s">
        <v>74</v>
      </c>
      <c r="BB188">
        <v>87</v>
      </c>
      <c r="BC188">
        <v>108</v>
      </c>
      <c r="BD188" t="s">
        <v>74</v>
      </c>
      <c r="BE188" t="s">
        <v>3775</v>
      </c>
      <c r="BF188" t="str">
        <f>HYPERLINK("http://dx.doi.org/10.1016/B978-0-08-100664-1.00006-5","http://dx.doi.org/10.1016/B978-0-08-100664-1.00006-5")</f>
        <v>http://dx.doi.org/10.1016/B978-0-08-100664-1.00006-5</v>
      </c>
      <c r="BG188" t="s">
        <v>74</v>
      </c>
      <c r="BH188" t="s">
        <v>74</v>
      </c>
      <c r="BI188">
        <v>22</v>
      </c>
      <c r="BJ188" t="s">
        <v>3776</v>
      </c>
      <c r="BK188" t="s">
        <v>3212</v>
      </c>
      <c r="BL188" t="s">
        <v>3777</v>
      </c>
      <c r="BM188" t="s">
        <v>3778</v>
      </c>
      <c r="BN188" t="s">
        <v>74</v>
      </c>
      <c r="BO188" t="s">
        <v>74</v>
      </c>
      <c r="BP188" t="s">
        <v>74</v>
      </c>
      <c r="BQ188" t="s">
        <v>74</v>
      </c>
      <c r="BR188" t="s">
        <v>105</v>
      </c>
      <c r="BS188" t="s">
        <v>3779</v>
      </c>
      <c r="BT188" t="str">
        <f>HYPERLINK("https%3A%2F%2Fwww.webofscience.com%2Fwos%2Fwoscc%2Ffull-record%2FWOS:000433057200007","View Full Record in Web of Science")</f>
        <v>View Full Record in Web of Science</v>
      </c>
    </row>
    <row r="189" spans="1:72" x14ac:dyDescent="0.15">
      <c r="A189" t="s">
        <v>72</v>
      </c>
      <c r="B189" t="s">
        <v>3780</v>
      </c>
      <c r="C189" t="s">
        <v>74</v>
      </c>
      <c r="D189" t="s">
        <v>74</v>
      </c>
      <c r="E189" t="s">
        <v>74</v>
      </c>
      <c r="F189" t="s">
        <v>3781</v>
      </c>
      <c r="G189" t="s">
        <v>74</v>
      </c>
      <c r="H189" t="s">
        <v>74</v>
      </c>
      <c r="I189" t="s">
        <v>3782</v>
      </c>
      <c r="J189" t="s">
        <v>3248</v>
      </c>
      <c r="K189" t="s">
        <v>74</v>
      </c>
      <c r="L189" t="s">
        <v>74</v>
      </c>
      <c r="M189" t="s">
        <v>78</v>
      </c>
      <c r="N189" t="s">
        <v>79</v>
      </c>
      <c r="O189" t="s">
        <v>74</v>
      </c>
      <c r="P189" t="s">
        <v>74</v>
      </c>
      <c r="Q189" t="s">
        <v>74</v>
      </c>
      <c r="R189" t="s">
        <v>74</v>
      </c>
      <c r="S189" t="s">
        <v>74</v>
      </c>
      <c r="T189" t="s">
        <v>74</v>
      </c>
      <c r="U189" t="s">
        <v>3783</v>
      </c>
      <c r="V189" t="s">
        <v>3784</v>
      </c>
      <c r="W189" t="s">
        <v>3785</v>
      </c>
      <c r="X189" t="s">
        <v>3786</v>
      </c>
      <c r="Y189" t="s">
        <v>3787</v>
      </c>
      <c r="Z189" t="s">
        <v>3788</v>
      </c>
      <c r="AA189" t="s">
        <v>3789</v>
      </c>
      <c r="AB189" t="s">
        <v>3790</v>
      </c>
      <c r="AC189" t="s">
        <v>3791</v>
      </c>
      <c r="AD189" t="s">
        <v>3792</v>
      </c>
      <c r="AE189" t="s">
        <v>3793</v>
      </c>
      <c r="AF189" t="s">
        <v>74</v>
      </c>
      <c r="AG189">
        <v>34</v>
      </c>
      <c r="AH189">
        <v>3</v>
      </c>
      <c r="AI189">
        <v>3</v>
      </c>
      <c r="AJ189">
        <v>2</v>
      </c>
      <c r="AK189">
        <v>9</v>
      </c>
      <c r="AL189" t="s">
        <v>3260</v>
      </c>
      <c r="AM189" t="s">
        <v>3261</v>
      </c>
      <c r="AN189" t="s">
        <v>3262</v>
      </c>
      <c r="AO189" t="s">
        <v>3263</v>
      </c>
      <c r="AP189" t="s">
        <v>74</v>
      </c>
      <c r="AQ189" t="s">
        <v>74</v>
      </c>
      <c r="AR189" t="s">
        <v>3248</v>
      </c>
      <c r="AS189" t="s">
        <v>3248</v>
      </c>
      <c r="AT189" t="s">
        <v>74</v>
      </c>
      <c r="AU189">
        <v>2017</v>
      </c>
      <c r="AV189">
        <v>13</v>
      </c>
      <c r="AW189" t="s">
        <v>74</v>
      </c>
      <c r="AX189" t="s">
        <v>74</v>
      </c>
      <c r="AY189" t="s">
        <v>74</v>
      </c>
      <c r="AZ189" t="s">
        <v>74</v>
      </c>
      <c r="BA189" t="s">
        <v>74</v>
      </c>
      <c r="BB189">
        <v>224</v>
      </c>
      <c r="BC189">
        <v>229</v>
      </c>
      <c r="BD189" t="s">
        <v>74</v>
      </c>
      <c r="BE189" t="s">
        <v>3794</v>
      </c>
      <c r="BF189" t="str">
        <f>HYPERLINK("http://dx.doi.org/10.2151/sola.2017-041","http://dx.doi.org/10.2151/sola.2017-041")</f>
        <v>http://dx.doi.org/10.2151/sola.2017-041</v>
      </c>
      <c r="BG189" t="s">
        <v>74</v>
      </c>
      <c r="BH189" t="s">
        <v>74</v>
      </c>
      <c r="BI189">
        <v>6</v>
      </c>
      <c r="BJ189" t="s">
        <v>747</v>
      </c>
      <c r="BK189" t="s">
        <v>101</v>
      </c>
      <c r="BL189" t="s">
        <v>747</v>
      </c>
      <c r="BM189" t="s">
        <v>3795</v>
      </c>
      <c r="BN189" t="s">
        <v>74</v>
      </c>
      <c r="BO189" t="s">
        <v>892</v>
      </c>
      <c r="BP189" t="s">
        <v>74</v>
      </c>
      <c r="BQ189" t="s">
        <v>74</v>
      </c>
      <c r="BR189" t="s">
        <v>105</v>
      </c>
      <c r="BS189" t="s">
        <v>3796</v>
      </c>
      <c r="BT189" t="str">
        <f>HYPERLINK("https%3A%2F%2Fwww.webofscience.com%2Fwos%2Fwoscc%2Ffull-record%2FWOS:000432659700015","View Full Record in Web of Science")</f>
        <v>View Full Record in Web of Science</v>
      </c>
    </row>
    <row r="190" spans="1:72" x14ac:dyDescent="0.15">
      <c r="A190" t="s">
        <v>1823</v>
      </c>
      <c r="B190" t="s">
        <v>3797</v>
      </c>
      <c r="C190" t="s">
        <v>74</v>
      </c>
      <c r="D190" t="s">
        <v>3798</v>
      </c>
      <c r="E190" t="s">
        <v>74</v>
      </c>
      <c r="F190" t="s">
        <v>3799</v>
      </c>
      <c r="G190" t="s">
        <v>74</v>
      </c>
      <c r="H190" t="s">
        <v>74</v>
      </c>
      <c r="I190" t="s">
        <v>3800</v>
      </c>
      <c r="J190" t="s">
        <v>3801</v>
      </c>
      <c r="K190" t="s">
        <v>3802</v>
      </c>
      <c r="L190" t="s">
        <v>74</v>
      </c>
      <c r="M190" t="s">
        <v>78</v>
      </c>
      <c r="N190" t="s">
        <v>1829</v>
      </c>
      <c r="O190" t="s">
        <v>3803</v>
      </c>
      <c r="P190" t="s">
        <v>3804</v>
      </c>
      <c r="Q190" t="s">
        <v>3805</v>
      </c>
      <c r="R190" t="s">
        <v>74</v>
      </c>
      <c r="S190" t="s">
        <v>74</v>
      </c>
      <c r="T190" t="s">
        <v>3806</v>
      </c>
      <c r="U190" t="s">
        <v>3807</v>
      </c>
      <c r="V190" t="s">
        <v>3808</v>
      </c>
      <c r="W190" t="s">
        <v>3809</v>
      </c>
      <c r="X190" t="s">
        <v>74</v>
      </c>
      <c r="Y190" t="s">
        <v>3810</v>
      </c>
      <c r="Z190" t="s">
        <v>3811</v>
      </c>
      <c r="AA190" t="s">
        <v>3812</v>
      </c>
      <c r="AB190" t="s">
        <v>74</v>
      </c>
      <c r="AC190" t="s">
        <v>3813</v>
      </c>
      <c r="AD190" t="s">
        <v>3814</v>
      </c>
      <c r="AE190" t="s">
        <v>3815</v>
      </c>
      <c r="AF190" t="s">
        <v>74</v>
      </c>
      <c r="AG190">
        <v>9</v>
      </c>
      <c r="AH190">
        <v>0</v>
      </c>
      <c r="AI190">
        <v>0</v>
      </c>
      <c r="AJ190">
        <v>0</v>
      </c>
      <c r="AK190">
        <v>3</v>
      </c>
      <c r="AL190" t="s">
        <v>211</v>
      </c>
      <c r="AM190" t="s">
        <v>187</v>
      </c>
      <c r="AN190" t="s">
        <v>3816</v>
      </c>
      <c r="AO190" t="s">
        <v>3817</v>
      </c>
      <c r="AP190" t="s">
        <v>3818</v>
      </c>
      <c r="AQ190" t="s">
        <v>3819</v>
      </c>
      <c r="AR190" t="s">
        <v>3820</v>
      </c>
      <c r="AS190" t="s">
        <v>74</v>
      </c>
      <c r="AT190" t="s">
        <v>74</v>
      </c>
      <c r="AU190">
        <v>2017</v>
      </c>
      <c r="AV190">
        <v>439</v>
      </c>
      <c r="AW190" t="s">
        <v>74</v>
      </c>
      <c r="AX190" t="s">
        <v>74</v>
      </c>
      <c r="AY190" t="s">
        <v>74</v>
      </c>
      <c r="AZ190" t="s">
        <v>74</v>
      </c>
      <c r="BA190" t="s">
        <v>74</v>
      </c>
      <c r="BB190">
        <v>443</v>
      </c>
      <c r="BC190">
        <v>452</v>
      </c>
      <c r="BD190" t="s">
        <v>74</v>
      </c>
      <c r="BE190" t="s">
        <v>3821</v>
      </c>
      <c r="BF190" t="str">
        <f>HYPERLINK("http://dx.doi.org/10.1007/978-981-10-4594-3_36","http://dx.doi.org/10.1007/978-981-10-4594-3_36")</f>
        <v>http://dx.doi.org/10.1007/978-981-10-4594-3_36</v>
      </c>
      <c r="BG190" t="s">
        <v>74</v>
      </c>
      <c r="BH190" t="s">
        <v>74</v>
      </c>
      <c r="BI190">
        <v>10</v>
      </c>
      <c r="BJ190" t="s">
        <v>3822</v>
      </c>
      <c r="BK190" t="s">
        <v>1844</v>
      </c>
      <c r="BL190" t="s">
        <v>3823</v>
      </c>
      <c r="BM190" t="s">
        <v>3824</v>
      </c>
      <c r="BN190" t="s">
        <v>74</v>
      </c>
      <c r="BO190" t="s">
        <v>74</v>
      </c>
      <c r="BP190" t="s">
        <v>74</v>
      </c>
      <c r="BQ190" t="s">
        <v>74</v>
      </c>
      <c r="BR190" t="s">
        <v>105</v>
      </c>
      <c r="BS190" t="s">
        <v>3825</v>
      </c>
      <c r="BT190" t="str">
        <f>HYPERLINK("https%3A%2F%2Fwww.webofscience.com%2Fwos%2Fwoscc%2Ffull-record%2FWOS:000432207800036","View Full Record in Web of Science")</f>
        <v>View Full Record in Web of Science</v>
      </c>
    </row>
    <row r="191" spans="1:72" x14ac:dyDescent="0.15">
      <c r="A191" t="s">
        <v>1921</v>
      </c>
      <c r="B191" t="s">
        <v>3826</v>
      </c>
      <c r="C191" t="s">
        <v>74</v>
      </c>
      <c r="D191" t="s">
        <v>3827</v>
      </c>
      <c r="E191" t="s">
        <v>74</v>
      </c>
      <c r="F191" t="s">
        <v>3828</v>
      </c>
      <c r="G191" t="s">
        <v>74</v>
      </c>
      <c r="H191" t="s">
        <v>74</v>
      </c>
      <c r="I191" t="s">
        <v>3829</v>
      </c>
      <c r="J191" t="s">
        <v>3830</v>
      </c>
      <c r="K191" t="s">
        <v>3831</v>
      </c>
      <c r="L191" t="s">
        <v>74</v>
      </c>
      <c r="M191" t="s">
        <v>78</v>
      </c>
      <c r="N191" t="s">
        <v>2067</v>
      </c>
      <c r="O191" t="s">
        <v>74</v>
      </c>
      <c r="P191" t="s">
        <v>74</v>
      </c>
      <c r="Q191" t="s">
        <v>74</v>
      </c>
      <c r="R191" t="s">
        <v>74</v>
      </c>
      <c r="S191" t="s">
        <v>74</v>
      </c>
      <c r="T191" t="s">
        <v>3832</v>
      </c>
      <c r="U191" t="s">
        <v>3833</v>
      </c>
      <c r="V191" t="s">
        <v>3834</v>
      </c>
      <c r="W191" t="s">
        <v>3835</v>
      </c>
      <c r="X191" t="s">
        <v>3836</v>
      </c>
      <c r="Y191" t="s">
        <v>3837</v>
      </c>
      <c r="Z191" t="s">
        <v>3838</v>
      </c>
      <c r="AA191" t="s">
        <v>3839</v>
      </c>
      <c r="AB191" t="s">
        <v>3840</v>
      </c>
      <c r="AC191" t="s">
        <v>74</v>
      </c>
      <c r="AD191" t="s">
        <v>74</v>
      </c>
      <c r="AE191" t="s">
        <v>74</v>
      </c>
      <c r="AF191" t="s">
        <v>74</v>
      </c>
      <c r="AG191">
        <v>112</v>
      </c>
      <c r="AH191">
        <v>9</v>
      </c>
      <c r="AI191">
        <v>9</v>
      </c>
      <c r="AJ191">
        <v>3</v>
      </c>
      <c r="AK191">
        <v>10</v>
      </c>
      <c r="AL191" t="s">
        <v>3841</v>
      </c>
      <c r="AM191" t="s">
        <v>3261</v>
      </c>
      <c r="AN191" t="s">
        <v>3842</v>
      </c>
      <c r="AO191" t="s">
        <v>3843</v>
      </c>
      <c r="AP191" t="s">
        <v>3844</v>
      </c>
      <c r="AQ191" t="s">
        <v>3845</v>
      </c>
      <c r="AR191" t="s">
        <v>3846</v>
      </c>
      <c r="AS191" t="s">
        <v>74</v>
      </c>
      <c r="AT191" t="s">
        <v>74</v>
      </c>
      <c r="AU191">
        <v>2017</v>
      </c>
      <c r="AV191" t="s">
        <v>74</v>
      </c>
      <c r="AW191" t="s">
        <v>74</v>
      </c>
      <c r="AX191" t="s">
        <v>74</v>
      </c>
      <c r="AY191" t="s">
        <v>74</v>
      </c>
      <c r="AZ191" t="s">
        <v>74</v>
      </c>
      <c r="BA191" t="s">
        <v>74</v>
      </c>
      <c r="BB191">
        <v>267</v>
      </c>
      <c r="BC191">
        <v>284</v>
      </c>
      <c r="BD191" t="s">
        <v>74</v>
      </c>
      <c r="BE191" t="s">
        <v>3847</v>
      </c>
      <c r="BF191" t="str">
        <f>HYPERLINK("http://dx.doi.org/10.1007/978-4-431-56432-4_10","http://dx.doi.org/10.1007/978-4-431-56432-4_10")</f>
        <v>http://dx.doi.org/10.1007/978-4-431-56432-4_10</v>
      </c>
      <c r="BG191" t="s">
        <v>3848</v>
      </c>
      <c r="BH191" t="s">
        <v>74</v>
      </c>
      <c r="BI191">
        <v>18</v>
      </c>
      <c r="BJ191" t="s">
        <v>3849</v>
      </c>
      <c r="BK191" t="s">
        <v>2084</v>
      </c>
      <c r="BL191" t="s">
        <v>3850</v>
      </c>
      <c r="BM191" t="s">
        <v>3851</v>
      </c>
      <c r="BN191" t="s">
        <v>74</v>
      </c>
      <c r="BO191" t="s">
        <v>74</v>
      </c>
      <c r="BP191" t="s">
        <v>74</v>
      </c>
      <c r="BQ191" t="s">
        <v>74</v>
      </c>
      <c r="BR191" t="s">
        <v>105</v>
      </c>
      <c r="BS191" t="s">
        <v>3852</v>
      </c>
      <c r="BT191" t="str">
        <f>HYPERLINK("https%3A%2F%2Fwww.webofscience.com%2Fwos%2Fwoscc%2Ffull-record%2FWOS:000430132000011","View Full Record in Web of Science")</f>
        <v>View Full Record in Web of Science</v>
      </c>
    </row>
    <row r="192" spans="1:72" x14ac:dyDescent="0.15">
      <c r="A192" t="s">
        <v>1921</v>
      </c>
      <c r="B192" t="s">
        <v>3853</v>
      </c>
      <c r="C192" t="s">
        <v>3853</v>
      </c>
      <c r="D192" t="s">
        <v>74</v>
      </c>
      <c r="E192" t="s">
        <v>74</v>
      </c>
      <c r="F192" t="s">
        <v>3854</v>
      </c>
      <c r="G192" t="s">
        <v>3853</v>
      </c>
      <c r="H192" t="s">
        <v>74</v>
      </c>
      <c r="I192" t="s">
        <v>3855</v>
      </c>
      <c r="J192" t="s">
        <v>3856</v>
      </c>
      <c r="K192" t="s">
        <v>3857</v>
      </c>
      <c r="L192" t="s">
        <v>74</v>
      </c>
      <c r="M192" t="s">
        <v>78</v>
      </c>
      <c r="N192" t="s">
        <v>2067</v>
      </c>
      <c r="O192" t="s">
        <v>74</v>
      </c>
      <c r="P192" t="s">
        <v>74</v>
      </c>
      <c r="Q192" t="s">
        <v>74</v>
      </c>
      <c r="R192" t="s">
        <v>74</v>
      </c>
      <c r="S192" t="s">
        <v>74</v>
      </c>
      <c r="T192" t="s">
        <v>74</v>
      </c>
      <c r="U192" t="s">
        <v>74</v>
      </c>
      <c r="V192" t="s">
        <v>3858</v>
      </c>
      <c r="W192" t="s">
        <v>3859</v>
      </c>
      <c r="X192" t="s">
        <v>3860</v>
      </c>
      <c r="Y192" t="s">
        <v>3861</v>
      </c>
      <c r="Z192" t="s">
        <v>74</v>
      </c>
      <c r="AA192" t="s">
        <v>74</v>
      </c>
      <c r="AB192" t="s">
        <v>74</v>
      </c>
      <c r="AC192" t="s">
        <v>74</v>
      </c>
      <c r="AD192" t="s">
        <v>74</v>
      </c>
      <c r="AE192" t="s">
        <v>74</v>
      </c>
      <c r="AF192" t="s">
        <v>74</v>
      </c>
      <c r="AG192">
        <v>13</v>
      </c>
      <c r="AH192">
        <v>0</v>
      </c>
      <c r="AI192">
        <v>0</v>
      </c>
      <c r="AJ192">
        <v>0</v>
      </c>
      <c r="AK192">
        <v>2</v>
      </c>
      <c r="AL192" t="s">
        <v>211</v>
      </c>
      <c r="AM192" t="s">
        <v>212</v>
      </c>
      <c r="AN192" t="s">
        <v>3862</v>
      </c>
      <c r="AO192" t="s">
        <v>3863</v>
      </c>
      <c r="AP192" t="s">
        <v>74</v>
      </c>
      <c r="AQ192" t="s">
        <v>3864</v>
      </c>
      <c r="AR192" t="s">
        <v>3865</v>
      </c>
      <c r="AS192" t="s">
        <v>74</v>
      </c>
      <c r="AT192" t="s">
        <v>74</v>
      </c>
      <c r="AU192">
        <v>2017</v>
      </c>
      <c r="AV192">
        <v>13</v>
      </c>
      <c r="AW192" t="s">
        <v>74</v>
      </c>
      <c r="AX192" t="s">
        <v>74</v>
      </c>
      <c r="AY192" t="s">
        <v>74</v>
      </c>
      <c r="AZ192" t="s">
        <v>74</v>
      </c>
      <c r="BA192" t="s">
        <v>74</v>
      </c>
      <c r="BB192">
        <v>97</v>
      </c>
      <c r="BC192">
        <v>108</v>
      </c>
      <c r="BD192" t="s">
        <v>74</v>
      </c>
      <c r="BE192" t="s">
        <v>3866</v>
      </c>
      <c r="BF192" t="str">
        <f>HYPERLINK("http://dx.doi.org/10.1007/978-3-319-57237-6_4","http://dx.doi.org/10.1007/978-3-319-57237-6_4")</f>
        <v>http://dx.doi.org/10.1007/978-3-319-57237-6_4</v>
      </c>
      <c r="BG192" t="s">
        <v>3867</v>
      </c>
      <c r="BH192" t="s">
        <v>74</v>
      </c>
      <c r="BI192">
        <v>12</v>
      </c>
      <c r="BJ192" t="s">
        <v>3868</v>
      </c>
      <c r="BK192" t="s">
        <v>2084</v>
      </c>
      <c r="BL192" t="s">
        <v>982</v>
      </c>
      <c r="BM192" t="s">
        <v>3869</v>
      </c>
      <c r="BN192" t="s">
        <v>74</v>
      </c>
      <c r="BO192" t="s">
        <v>74</v>
      </c>
      <c r="BP192" t="s">
        <v>74</v>
      </c>
      <c r="BQ192" t="s">
        <v>74</v>
      </c>
      <c r="BR192" t="s">
        <v>105</v>
      </c>
      <c r="BS192" t="s">
        <v>3870</v>
      </c>
      <c r="BT192" t="str">
        <f>HYPERLINK("https%3A%2F%2Fwww.webofscience.com%2Fwos%2Fwoscc%2Ffull-record%2FWOS:000430272000006","View Full Record in Web of Science")</f>
        <v>View Full Record in Web of Science</v>
      </c>
    </row>
    <row r="193" spans="1:72" x14ac:dyDescent="0.15">
      <c r="A193" t="s">
        <v>1823</v>
      </c>
      <c r="B193" t="s">
        <v>3871</v>
      </c>
      <c r="C193" t="s">
        <v>74</v>
      </c>
      <c r="D193" t="s">
        <v>74</v>
      </c>
      <c r="E193" t="s">
        <v>1825</v>
      </c>
      <c r="F193" t="s">
        <v>3872</v>
      </c>
      <c r="G193" t="s">
        <v>74</v>
      </c>
      <c r="H193" t="s">
        <v>74</v>
      </c>
      <c r="I193" t="s">
        <v>3873</v>
      </c>
      <c r="J193" t="s">
        <v>3874</v>
      </c>
      <c r="K193" t="s">
        <v>3875</v>
      </c>
      <c r="L193" t="s">
        <v>74</v>
      </c>
      <c r="M193" t="s">
        <v>78</v>
      </c>
      <c r="N193" t="s">
        <v>1829</v>
      </c>
      <c r="O193" t="s">
        <v>3876</v>
      </c>
      <c r="P193" t="s">
        <v>3877</v>
      </c>
      <c r="Q193" t="s">
        <v>3878</v>
      </c>
      <c r="R193" t="s">
        <v>74</v>
      </c>
      <c r="S193" t="s">
        <v>74</v>
      </c>
      <c r="T193" t="s">
        <v>74</v>
      </c>
      <c r="U193" t="s">
        <v>3879</v>
      </c>
      <c r="V193" t="s">
        <v>3880</v>
      </c>
      <c r="W193" t="s">
        <v>3881</v>
      </c>
      <c r="X193" t="s">
        <v>3882</v>
      </c>
      <c r="Y193" t="s">
        <v>3883</v>
      </c>
      <c r="Z193" t="s">
        <v>74</v>
      </c>
      <c r="AA193" t="s">
        <v>3884</v>
      </c>
      <c r="AB193" t="s">
        <v>3885</v>
      </c>
      <c r="AC193" t="s">
        <v>3886</v>
      </c>
      <c r="AD193" t="s">
        <v>3280</v>
      </c>
      <c r="AE193" t="s">
        <v>3887</v>
      </c>
      <c r="AF193" t="s">
        <v>74</v>
      </c>
      <c r="AG193">
        <v>8</v>
      </c>
      <c r="AH193">
        <v>0</v>
      </c>
      <c r="AI193">
        <v>0</v>
      </c>
      <c r="AJ193">
        <v>0</v>
      </c>
      <c r="AK193">
        <v>0</v>
      </c>
      <c r="AL193" t="s">
        <v>1825</v>
      </c>
      <c r="AM193" t="s">
        <v>187</v>
      </c>
      <c r="AN193" t="s">
        <v>1842</v>
      </c>
      <c r="AO193" t="s">
        <v>3888</v>
      </c>
      <c r="AP193" t="s">
        <v>74</v>
      </c>
      <c r="AQ193" t="s">
        <v>3889</v>
      </c>
      <c r="AR193" t="s">
        <v>3890</v>
      </c>
      <c r="AS193" t="s">
        <v>74</v>
      </c>
      <c r="AT193" t="s">
        <v>74</v>
      </c>
      <c r="AU193">
        <v>2017</v>
      </c>
      <c r="AV193" t="s">
        <v>74</v>
      </c>
      <c r="AW193" t="s">
        <v>74</v>
      </c>
      <c r="AX193" t="s">
        <v>74</v>
      </c>
      <c r="AY193" t="s">
        <v>74</v>
      </c>
      <c r="AZ193" t="s">
        <v>74</v>
      </c>
      <c r="BA193" t="s">
        <v>74</v>
      </c>
      <c r="BB193">
        <v>2376</v>
      </c>
      <c r="BC193">
        <v>2379</v>
      </c>
      <c r="BD193" t="s">
        <v>74</v>
      </c>
      <c r="BE193" t="s">
        <v>74</v>
      </c>
      <c r="BF193" t="s">
        <v>74</v>
      </c>
      <c r="BG193" t="s">
        <v>74</v>
      </c>
      <c r="BH193" t="s">
        <v>74</v>
      </c>
      <c r="BI193">
        <v>4</v>
      </c>
      <c r="BJ193" t="s">
        <v>3891</v>
      </c>
      <c r="BK193" t="s">
        <v>1844</v>
      </c>
      <c r="BL193" t="s">
        <v>3892</v>
      </c>
      <c r="BM193" t="s">
        <v>3893</v>
      </c>
      <c r="BN193" t="s">
        <v>74</v>
      </c>
      <c r="BO193" t="s">
        <v>74</v>
      </c>
      <c r="BP193" t="s">
        <v>74</v>
      </c>
      <c r="BQ193" t="s">
        <v>74</v>
      </c>
      <c r="BR193" t="s">
        <v>105</v>
      </c>
      <c r="BS193" t="s">
        <v>3894</v>
      </c>
      <c r="BT193" t="str">
        <f>HYPERLINK("https%3A%2F%2Fwww.webofscience.com%2Fwos%2Fwoscc%2Ffull-record%2FWOS:000428518302071","View Full Record in Web of Science")</f>
        <v>View Full Record in Web of Science</v>
      </c>
    </row>
    <row r="194" spans="1:72" x14ac:dyDescent="0.15">
      <c r="A194" t="s">
        <v>1823</v>
      </c>
      <c r="B194" t="s">
        <v>3895</v>
      </c>
      <c r="C194" t="s">
        <v>74</v>
      </c>
      <c r="D194" t="s">
        <v>74</v>
      </c>
      <c r="E194" t="s">
        <v>1825</v>
      </c>
      <c r="F194" t="s">
        <v>3896</v>
      </c>
      <c r="G194" t="s">
        <v>74</v>
      </c>
      <c r="H194" t="s">
        <v>74</v>
      </c>
      <c r="I194" t="s">
        <v>3897</v>
      </c>
      <c r="J194" t="s">
        <v>3898</v>
      </c>
      <c r="K194" t="s">
        <v>74</v>
      </c>
      <c r="L194" t="s">
        <v>74</v>
      </c>
      <c r="M194" t="s">
        <v>78</v>
      </c>
      <c r="N194" t="s">
        <v>1829</v>
      </c>
      <c r="O194" t="s">
        <v>3899</v>
      </c>
      <c r="P194" t="s">
        <v>3900</v>
      </c>
      <c r="Q194" t="s">
        <v>3901</v>
      </c>
      <c r="R194" t="s">
        <v>74</v>
      </c>
      <c r="S194" t="s">
        <v>74</v>
      </c>
      <c r="T194" t="s">
        <v>74</v>
      </c>
      <c r="U194" t="s">
        <v>74</v>
      </c>
      <c r="V194" t="s">
        <v>3902</v>
      </c>
      <c r="W194" t="s">
        <v>3903</v>
      </c>
      <c r="X194" t="s">
        <v>3904</v>
      </c>
      <c r="Y194" t="s">
        <v>3905</v>
      </c>
      <c r="Z194" t="s">
        <v>74</v>
      </c>
      <c r="AA194" t="s">
        <v>74</v>
      </c>
      <c r="AB194" t="s">
        <v>74</v>
      </c>
      <c r="AC194" t="s">
        <v>3906</v>
      </c>
      <c r="AD194" t="s">
        <v>3907</v>
      </c>
      <c r="AE194" t="s">
        <v>3908</v>
      </c>
      <c r="AF194" t="s">
        <v>74</v>
      </c>
      <c r="AG194">
        <v>9</v>
      </c>
      <c r="AH194">
        <v>0</v>
      </c>
      <c r="AI194">
        <v>0</v>
      </c>
      <c r="AJ194">
        <v>0</v>
      </c>
      <c r="AK194">
        <v>2</v>
      </c>
      <c r="AL194" t="s">
        <v>1825</v>
      </c>
      <c r="AM194" t="s">
        <v>187</v>
      </c>
      <c r="AN194" t="s">
        <v>1842</v>
      </c>
      <c r="AO194" t="s">
        <v>74</v>
      </c>
      <c r="AP194" t="s">
        <v>74</v>
      </c>
      <c r="AQ194" t="s">
        <v>3909</v>
      </c>
      <c r="AR194" t="s">
        <v>74</v>
      </c>
      <c r="AS194" t="s">
        <v>74</v>
      </c>
      <c r="AT194" t="s">
        <v>74</v>
      </c>
      <c r="AU194">
        <v>2017</v>
      </c>
      <c r="AV194" t="s">
        <v>74</v>
      </c>
      <c r="AW194" t="s">
        <v>74</v>
      </c>
      <c r="AX194" t="s">
        <v>74</v>
      </c>
      <c r="AY194" t="s">
        <v>74</v>
      </c>
      <c r="AZ194" t="s">
        <v>74</v>
      </c>
      <c r="BA194" t="s">
        <v>74</v>
      </c>
      <c r="BB194">
        <v>1960</v>
      </c>
      <c r="BC194">
        <v>1965</v>
      </c>
      <c r="BD194" t="s">
        <v>74</v>
      </c>
      <c r="BE194" t="s">
        <v>74</v>
      </c>
      <c r="BF194" t="s">
        <v>74</v>
      </c>
      <c r="BG194" t="s">
        <v>74</v>
      </c>
      <c r="BH194" t="s">
        <v>74</v>
      </c>
      <c r="BI194">
        <v>6</v>
      </c>
      <c r="BJ194" t="s">
        <v>3910</v>
      </c>
      <c r="BK194" t="s">
        <v>1844</v>
      </c>
      <c r="BL194" t="s">
        <v>3911</v>
      </c>
      <c r="BM194" t="s">
        <v>3912</v>
      </c>
      <c r="BN194" t="s">
        <v>74</v>
      </c>
      <c r="BO194" t="s">
        <v>74</v>
      </c>
      <c r="BP194" t="s">
        <v>74</v>
      </c>
      <c r="BQ194" t="s">
        <v>74</v>
      </c>
      <c r="BR194" t="s">
        <v>105</v>
      </c>
      <c r="BS194" t="s">
        <v>3913</v>
      </c>
      <c r="BT194" t="str">
        <f>HYPERLINK("https%3A%2F%2Fwww.webofscience.com%2Fwos%2Fwoscc%2Ffull-record%2FWOS:000427596701183","View Full Record in Web of Science")</f>
        <v>View Full Record in Web of Science</v>
      </c>
    </row>
    <row r="195" spans="1:72" x14ac:dyDescent="0.15">
      <c r="A195" t="s">
        <v>1823</v>
      </c>
      <c r="B195" t="s">
        <v>3914</v>
      </c>
      <c r="C195" t="s">
        <v>74</v>
      </c>
      <c r="D195" t="s">
        <v>74</v>
      </c>
      <c r="E195" t="s">
        <v>1825</v>
      </c>
      <c r="F195" t="s">
        <v>3915</v>
      </c>
      <c r="G195" t="s">
        <v>74</v>
      </c>
      <c r="H195" t="s">
        <v>74</v>
      </c>
      <c r="I195" t="s">
        <v>3916</v>
      </c>
      <c r="J195" t="s">
        <v>3898</v>
      </c>
      <c r="K195" t="s">
        <v>74</v>
      </c>
      <c r="L195" t="s">
        <v>74</v>
      </c>
      <c r="M195" t="s">
        <v>78</v>
      </c>
      <c r="N195" t="s">
        <v>1829</v>
      </c>
      <c r="O195" t="s">
        <v>3899</v>
      </c>
      <c r="P195" t="s">
        <v>3900</v>
      </c>
      <c r="Q195" t="s">
        <v>3901</v>
      </c>
      <c r="R195" t="s">
        <v>74</v>
      </c>
      <c r="S195" t="s">
        <v>74</v>
      </c>
      <c r="T195" t="s">
        <v>74</v>
      </c>
      <c r="U195" t="s">
        <v>74</v>
      </c>
      <c r="V195" t="s">
        <v>3917</v>
      </c>
      <c r="W195" t="s">
        <v>3918</v>
      </c>
      <c r="X195" t="s">
        <v>3919</v>
      </c>
      <c r="Y195" t="s">
        <v>3920</v>
      </c>
      <c r="Z195" t="s">
        <v>74</v>
      </c>
      <c r="AA195" t="s">
        <v>3921</v>
      </c>
      <c r="AB195" t="s">
        <v>74</v>
      </c>
      <c r="AC195" t="s">
        <v>3922</v>
      </c>
      <c r="AD195" t="s">
        <v>3923</v>
      </c>
      <c r="AE195" t="s">
        <v>3924</v>
      </c>
      <c r="AF195" t="s">
        <v>74</v>
      </c>
      <c r="AG195">
        <v>7</v>
      </c>
      <c r="AH195">
        <v>0</v>
      </c>
      <c r="AI195">
        <v>0</v>
      </c>
      <c r="AJ195">
        <v>0</v>
      </c>
      <c r="AK195">
        <v>2</v>
      </c>
      <c r="AL195" t="s">
        <v>1825</v>
      </c>
      <c r="AM195" t="s">
        <v>187</v>
      </c>
      <c r="AN195" t="s">
        <v>1842</v>
      </c>
      <c r="AO195" t="s">
        <v>74</v>
      </c>
      <c r="AP195" t="s">
        <v>74</v>
      </c>
      <c r="AQ195" t="s">
        <v>3909</v>
      </c>
      <c r="AR195" t="s">
        <v>74</v>
      </c>
      <c r="AS195" t="s">
        <v>74</v>
      </c>
      <c r="AT195" t="s">
        <v>74</v>
      </c>
      <c r="AU195">
        <v>2017</v>
      </c>
      <c r="AV195" t="s">
        <v>74</v>
      </c>
      <c r="AW195" t="s">
        <v>74</v>
      </c>
      <c r="AX195" t="s">
        <v>74</v>
      </c>
      <c r="AY195" t="s">
        <v>74</v>
      </c>
      <c r="AZ195" t="s">
        <v>74</v>
      </c>
      <c r="BA195" t="s">
        <v>74</v>
      </c>
      <c r="BB195">
        <v>1985</v>
      </c>
      <c r="BC195">
        <v>1989</v>
      </c>
      <c r="BD195" t="s">
        <v>74</v>
      </c>
      <c r="BE195" t="s">
        <v>74</v>
      </c>
      <c r="BF195" t="s">
        <v>74</v>
      </c>
      <c r="BG195" t="s">
        <v>74</v>
      </c>
      <c r="BH195" t="s">
        <v>74</v>
      </c>
      <c r="BI195">
        <v>5</v>
      </c>
      <c r="BJ195" t="s">
        <v>3910</v>
      </c>
      <c r="BK195" t="s">
        <v>1844</v>
      </c>
      <c r="BL195" t="s">
        <v>3911</v>
      </c>
      <c r="BM195" t="s">
        <v>3912</v>
      </c>
      <c r="BN195" t="s">
        <v>74</v>
      </c>
      <c r="BO195" t="s">
        <v>74</v>
      </c>
      <c r="BP195" t="s">
        <v>74</v>
      </c>
      <c r="BQ195" t="s">
        <v>74</v>
      </c>
      <c r="BR195" t="s">
        <v>105</v>
      </c>
      <c r="BS195" t="s">
        <v>3925</v>
      </c>
      <c r="BT195" t="str">
        <f>HYPERLINK("https%3A%2F%2Fwww.webofscience.com%2Fwos%2Fwoscc%2Ffull-record%2FWOS:000427596701188","View Full Record in Web of Science")</f>
        <v>View Full Record in Web of Science</v>
      </c>
    </row>
    <row r="196" spans="1:72" x14ac:dyDescent="0.15">
      <c r="A196" t="s">
        <v>1823</v>
      </c>
      <c r="B196" t="s">
        <v>3926</v>
      </c>
      <c r="C196" t="s">
        <v>74</v>
      </c>
      <c r="D196" t="s">
        <v>3927</v>
      </c>
      <c r="E196" t="s">
        <v>74</v>
      </c>
      <c r="F196" t="s">
        <v>3928</v>
      </c>
      <c r="G196" t="s">
        <v>74</v>
      </c>
      <c r="H196" t="s">
        <v>74</v>
      </c>
      <c r="I196" t="s">
        <v>3929</v>
      </c>
      <c r="J196" t="s">
        <v>3930</v>
      </c>
      <c r="K196" t="s">
        <v>3931</v>
      </c>
      <c r="L196" t="s">
        <v>74</v>
      </c>
      <c r="M196" t="s">
        <v>78</v>
      </c>
      <c r="N196" t="s">
        <v>1829</v>
      </c>
      <c r="O196" t="s">
        <v>3932</v>
      </c>
      <c r="P196" t="s">
        <v>3933</v>
      </c>
      <c r="Q196" t="s">
        <v>3934</v>
      </c>
      <c r="R196" t="s">
        <v>74</v>
      </c>
      <c r="S196" t="s">
        <v>74</v>
      </c>
      <c r="T196" t="s">
        <v>3935</v>
      </c>
      <c r="U196" t="s">
        <v>74</v>
      </c>
      <c r="V196" t="s">
        <v>3936</v>
      </c>
      <c r="W196" t="s">
        <v>3937</v>
      </c>
      <c r="X196" t="s">
        <v>3938</v>
      </c>
      <c r="Y196" t="s">
        <v>3939</v>
      </c>
      <c r="Z196" t="s">
        <v>3940</v>
      </c>
      <c r="AA196" t="s">
        <v>74</v>
      </c>
      <c r="AB196" t="s">
        <v>74</v>
      </c>
      <c r="AC196" t="s">
        <v>74</v>
      </c>
      <c r="AD196" t="s">
        <v>74</v>
      </c>
      <c r="AE196" t="s">
        <v>74</v>
      </c>
      <c r="AF196" t="s">
        <v>74</v>
      </c>
      <c r="AG196">
        <v>23</v>
      </c>
      <c r="AH196">
        <v>2</v>
      </c>
      <c r="AI196">
        <v>2</v>
      </c>
      <c r="AJ196">
        <v>0</v>
      </c>
      <c r="AK196">
        <v>0</v>
      </c>
      <c r="AL196" t="s">
        <v>3941</v>
      </c>
      <c r="AM196" t="s">
        <v>3942</v>
      </c>
      <c r="AN196" t="s">
        <v>3943</v>
      </c>
      <c r="AO196" t="s">
        <v>3944</v>
      </c>
      <c r="AP196" t="s">
        <v>3945</v>
      </c>
      <c r="AQ196" t="s">
        <v>74</v>
      </c>
      <c r="AR196" t="s">
        <v>3946</v>
      </c>
      <c r="AS196" t="s">
        <v>74</v>
      </c>
      <c r="AT196" t="s">
        <v>74</v>
      </c>
      <c r="AU196">
        <v>2017</v>
      </c>
      <c r="AV196" t="s">
        <v>74</v>
      </c>
      <c r="AW196" t="s">
        <v>74</v>
      </c>
      <c r="AX196" t="s">
        <v>74</v>
      </c>
      <c r="AY196" t="s">
        <v>74</v>
      </c>
      <c r="AZ196" t="s">
        <v>74</v>
      </c>
      <c r="BA196" t="s">
        <v>74</v>
      </c>
      <c r="BB196">
        <v>54</v>
      </c>
      <c r="BC196">
        <v>64</v>
      </c>
      <c r="BD196" t="s">
        <v>74</v>
      </c>
      <c r="BE196" t="s">
        <v>74</v>
      </c>
      <c r="BF196" t="s">
        <v>74</v>
      </c>
      <c r="BG196" t="s">
        <v>74</v>
      </c>
      <c r="BH196" t="s">
        <v>74</v>
      </c>
      <c r="BI196">
        <v>11</v>
      </c>
      <c r="BJ196" t="s">
        <v>3947</v>
      </c>
      <c r="BK196" t="s">
        <v>3948</v>
      </c>
      <c r="BL196" t="s">
        <v>3949</v>
      </c>
      <c r="BM196" t="s">
        <v>3950</v>
      </c>
      <c r="BN196" t="s">
        <v>74</v>
      </c>
      <c r="BO196" t="s">
        <v>74</v>
      </c>
      <c r="BP196" t="s">
        <v>74</v>
      </c>
      <c r="BQ196" t="s">
        <v>74</v>
      </c>
      <c r="BR196" t="s">
        <v>105</v>
      </c>
      <c r="BS196" t="s">
        <v>3951</v>
      </c>
      <c r="BT196" t="str">
        <f>HYPERLINK("https%3A%2F%2Fwww.webofscience.com%2Fwos%2Fwoscc%2Ffull-record%2FWOS:000428762800007","View Full Record in Web of Science")</f>
        <v>View Full Record in Web of Science</v>
      </c>
    </row>
    <row r="197" spans="1:72" x14ac:dyDescent="0.15">
      <c r="A197" t="s">
        <v>72</v>
      </c>
      <c r="B197" t="s">
        <v>3952</v>
      </c>
      <c r="C197" t="s">
        <v>74</v>
      </c>
      <c r="D197" t="s">
        <v>74</v>
      </c>
      <c r="E197" t="s">
        <v>74</v>
      </c>
      <c r="F197" t="s">
        <v>3953</v>
      </c>
      <c r="G197" t="s">
        <v>74</v>
      </c>
      <c r="H197" t="s">
        <v>74</v>
      </c>
      <c r="I197" t="s">
        <v>3954</v>
      </c>
      <c r="J197" t="s">
        <v>3955</v>
      </c>
      <c r="K197" t="s">
        <v>74</v>
      </c>
      <c r="L197" t="s">
        <v>74</v>
      </c>
      <c r="M197" t="s">
        <v>78</v>
      </c>
      <c r="N197" t="s">
        <v>79</v>
      </c>
      <c r="O197" t="s">
        <v>74</v>
      </c>
      <c r="P197" t="s">
        <v>74</v>
      </c>
      <c r="Q197" t="s">
        <v>74</v>
      </c>
      <c r="R197" t="s">
        <v>74</v>
      </c>
      <c r="S197" t="s">
        <v>74</v>
      </c>
      <c r="T197" t="s">
        <v>74</v>
      </c>
      <c r="U197" t="s">
        <v>3956</v>
      </c>
      <c r="V197" t="s">
        <v>3957</v>
      </c>
      <c r="W197" t="s">
        <v>3958</v>
      </c>
      <c r="X197" t="s">
        <v>3959</v>
      </c>
      <c r="Y197" t="s">
        <v>3960</v>
      </c>
      <c r="Z197" t="s">
        <v>3961</v>
      </c>
      <c r="AA197" t="s">
        <v>74</v>
      </c>
      <c r="AB197" t="s">
        <v>74</v>
      </c>
      <c r="AC197" t="s">
        <v>3962</v>
      </c>
      <c r="AD197" t="s">
        <v>3963</v>
      </c>
      <c r="AE197" t="s">
        <v>3964</v>
      </c>
      <c r="AF197" t="s">
        <v>74</v>
      </c>
      <c r="AG197">
        <v>69</v>
      </c>
      <c r="AH197">
        <v>8</v>
      </c>
      <c r="AI197">
        <v>9</v>
      </c>
      <c r="AJ197">
        <v>8</v>
      </c>
      <c r="AK197">
        <v>44</v>
      </c>
      <c r="AL197" t="s">
        <v>2276</v>
      </c>
      <c r="AM197" t="s">
        <v>2277</v>
      </c>
      <c r="AN197" t="s">
        <v>2278</v>
      </c>
      <c r="AO197" t="s">
        <v>3965</v>
      </c>
      <c r="AP197" t="s">
        <v>3966</v>
      </c>
      <c r="AQ197" t="s">
        <v>74</v>
      </c>
      <c r="AR197" t="s">
        <v>3967</v>
      </c>
      <c r="AS197" t="s">
        <v>3968</v>
      </c>
      <c r="AT197" t="s">
        <v>74</v>
      </c>
      <c r="AU197">
        <v>2017</v>
      </c>
      <c r="AV197">
        <v>14</v>
      </c>
      <c r="AW197">
        <v>8</v>
      </c>
      <c r="AX197" t="s">
        <v>74</v>
      </c>
      <c r="AY197" t="s">
        <v>74</v>
      </c>
      <c r="AZ197" t="s">
        <v>74</v>
      </c>
      <c r="BA197" t="s">
        <v>74</v>
      </c>
      <c r="BB197">
        <v>502</v>
      </c>
      <c r="BC197">
        <v>514</v>
      </c>
      <c r="BD197" t="s">
        <v>74</v>
      </c>
      <c r="BE197" t="s">
        <v>3969</v>
      </c>
      <c r="BF197" t="str">
        <f>HYPERLINK("http://dx.doi.org/10.1071/EN17095","http://dx.doi.org/10.1071/EN17095")</f>
        <v>http://dx.doi.org/10.1071/EN17095</v>
      </c>
      <c r="BG197" t="s">
        <v>74</v>
      </c>
      <c r="BH197" t="s">
        <v>74</v>
      </c>
      <c r="BI197">
        <v>13</v>
      </c>
      <c r="BJ197" t="s">
        <v>3970</v>
      </c>
      <c r="BK197" t="s">
        <v>101</v>
      </c>
      <c r="BL197" t="s">
        <v>3971</v>
      </c>
      <c r="BM197" t="s">
        <v>3972</v>
      </c>
      <c r="BN197" t="s">
        <v>74</v>
      </c>
      <c r="BO197" t="s">
        <v>74</v>
      </c>
      <c r="BP197" t="s">
        <v>74</v>
      </c>
      <c r="BQ197" t="s">
        <v>74</v>
      </c>
      <c r="BR197" t="s">
        <v>105</v>
      </c>
      <c r="BS197" t="s">
        <v>3973</v>
      </c>
      <c r="BT197" t="str">
        <f>HYPERLINK("https%3A%2F%2Fwww.webofscience.com%2Fwos%2Fwoscc%2Ffull-record%2FWOS:000428386200005","View Full Record in Web of Science")</f>
        <v>View Full Record in Web of Science</v>
      </c>
    </row>
    <row r="198" spans="1:72" x14ac:dyDescent="0.15">
      <c r="A198" t="s">
        <v>1823</v>
      </c>
      <c r="B198" t="s">
        <v>3974</v>
      </c>
      <c r="C198" t="s">
        <v>74</v>
      </c>
      <c r="D198" t="s">
        <v>74</v>
      </c>
      <c r="E198" t="s">
        <v>1825</v>
      </c>
      <c r="F198" t="s">
        <v>3975</v>
      </c>
      <c r="G198" t="s">
        <v>74</v>
      </c>
      <c r="H198" t="s">
        <v>74</v>
      </c>
      <c r="I198" t="s">
        <v>3976</v>
      </c>
      <c r="J198" t="s">
        <v>3977</v>
      </c>
      <c r="K198" t="s">
        <v>74</v>
      </c>
      <c r="L198" t="s">
        <v>74</v>
      </c>
      <c r="M198" t="s">
        <v>78</v>
      </c>
      <c r="N198" t="s">
        <v>1829</v>
      </c>
      <c r="O198" t="s">
        <v>3978</v>
      </c>
      <c r="P198" t="s">
        <v>3979</v>
      </c>
      <c r="Q198" t="s">
        <v>3980</v>
      </c>
      <c r="R198" t="s">
        <v>74</v>
      </c>
      <c r="S198" t="s">
        <v>74</v>
      </c>
      <c r="T198" t="s">
        <v>3981</v>
      </c>
      <c r="U198" t="s">
        <v>3982</v>
      </c>
      <c r="V198" t="s">
        <v>3983</v>
      </c>
      <c r="W198" t="s">
        <v>3984</v>
      </c>
      <c r="X198" t="s">
        <v>3985</v>
      </c>
      <c r="Y198" t="s">
        <v>3986</v>
      </c>
      <c r="Z198" t="s">
        <v>3987</v>
      </c>
      <c r="AA198" t="s">
        <v>74</v>
      </c>
      <c r="AB198" t="s">
        <v>74</v>
      </c>
      <c r="AC198" t="s">
        <v>3988</v>
      </c>
      <c r="AD198" t="s">
        <v>3989</v>
      </c>
      <c r="AE198" t="s">
        <v>3990</v>
      </c>
      <c r="AF198" t="s">
        <v>74</v>
      </c>
      <c r="AG198">
        <v>11</v>
      </c>
      <c r="AH198">
        <v>0</v>
      </c>
      <c r="AI198">
        <v>0</v>
      </c>
      <c r="AJ198">
        <v>0</v>
      </c>
      <c r="AK198">
        <v>0</v>
      </c>
      <c r="AL198" t="s">
        <v>1825</v>
      </c>
      <c r="AM198" t="s">
        <v>187</v>
      </c>
      <c r="AN198" t="s">
        <v>1842</v>
      </c>
      <c r="AO198" t="s">
        <v>74</v>
      </c>
      <c r="AP198" t="s">
        <v>74</v>
      </c>
      <c r="AQ198" t="s">
        <v>3991</v>
      </c>
      <c r="AR198" t="s">
        <v>74</v>
      </c>
      <c r="AS198" t="s">
        <v>74</v>
      </c>
      <c r="AT198" t="s">
        <v>74</v>
      </c>
      <c r="AU198">
        <v>2017</v>
      </c>
      <c r="AV198" t="s">
        <v>74</v>
      </c>
      <c r="AW198" t="s">
        <v>74</v>
      </c>
      <c r="AX198" t="s">
        <v>74</v>
      </c>
      <c r="AY198" t="s">
        <v>74</v>
      </c>
      <c r="AZ198" t="s">
        <v>74</v>
      </c>
      <c r="BA198" t="s">
        <v>74</v>
      </c>
      <c r="BB198">
        <v>123</v>
      </c>
      <c r="BC198">
        <v>126</v>
      </c>
      <c r="BD198" t="s">
        <v>74</v>
      </c>
      <c r="BE198" t="s">
        <v>74</v>
      </c>
      <c r="BF198" t="s">
        <v>74</v>
      </c>
      <c r="BG198" t="s">
        <v>74</v>
      </c>
      <c r="BH198" t="s">
        <v>74</v>
      </c>
      <c r="BI198">
        <v>4</v>
      </c>
      <c r="BJ198" t="s">
        <v>3992</v>
      </c>
      <c r="BK198" t="s">
        <v>1844</v>
      </c>
      <c r="BL198" t="s">
        <v>3993</v>
      </c>
      <c r="BM198" t="s">
        <v>3994</v>
      </c>
      <c r="BN198" t="s">
        <v>74</v>
      </c>
      <c r="BO198" t="s">
        <v>74</v>
      </c>
      <c r="BP198" t="s">
        <v>74</v>
      </c>
      <c r="BQ198" t="s">
        <v>74</v>
      </c>
      <c r="BR198" t="s">
        <v>105</v>
      </c>
      <c r="BS198" t="s">
        <v>3995</v>
      </c>
      <c r="BT198" t="str">
        <f>HYPERLINK("https%3A%2F%2Fwww.webofscience.com%2Fwos%2Fwoscc%2Ffull-record%2FWOS:000427458600034","View Full Record in Web of Science")</f>
        <v>View Full Record in Web of Science</v>
      </c>
    </row>
    <row r="199" spans="1:72" x14ac:dyDescent="0.15">
      <c r="A199" t="s">
        <v>1823</v>
      </c>
      <c r="B199" t="s">
        <v>3996</v>
      </c>
      <c r="C199" t="s">
        <v>74</v>
      </c>
      <c r="D199" t="s">
        <v>74</v>
      </c>
      <c r="E199" t="s">
        <v>1825</v>
      </c>
      <c r="F199" t="s">
        <v>3997</v>
      </c>
      <c r="G199" t="s">
        <v>74</v>
      </c>
      <c r="H199" t="s">
        <v>74</v>
      </c>
      <c r="I199" t="s">
        <v>3998</v>
      </c>
      <c r="J199" t="s">
        <v>3999</v>
      </c>
      <c r="K199" t="s">
        <v>4000</v>
      </c>
      <c r="L199" t="s">
        <v>74</v>
      </c>
      <c r="M199" t="s">
        <v>78</v>
      </c>
      <c r="N199" t="s">
        <v>1829</v>
      </c>
      <c r="O199" t="s">
        <v>4001</v>
      </c>
      <c r="P199" t="s">
        <v>4002</v>
      </c>
      <c r="Q199" t="s">
        <v>4003</v>
      </c>
      <c r="R199" t="s">
        <v>74</v>
      </c>
      <c r="S199" t="s">
        <v>74</v>
      </c>
      <c r="T199" t="s">
        <v>74</v>
      </c>
      <c r="U199" t="s">
        <v>4004</v>
      </c>
      <c r="V199" t="s">
        <v>4005</v>
      </c>
      <c r="W199" t="s">
        <v>4006</v>
      </c>
      <c r="X199" t="s">
        <v>4007</v>
      </c>
      <c r="Y199" t="s">
        <v>4008</v>
      </c>
      <c r="Z199" t="s">
        <v>4009</v>
      </c>
      <c r="AA199" t="s">
        <v>4010</v>
      </c>
      <c r="AB199" t="s">
        <v>4011</v>
      </c>
      <c r="AC199" t="s">
        <v>4012</v>
      </c>
      <c r="AD199" t="s">
        <v>4013</v>
      </c>
      <c r="AE199" t="s">
        <v>4014</v>
      </c>
      <c r="AF199" t="s">
        <v>74</v>
      </c>
      <c r="AG199">
        <v>16</v>
      </c>
      <c r="AH199">
        <v>3</v>
      </c>
      <c r="AI199">
        <v>3</v>
      </c>
      <c r="AJ199">
        <v>0</v>
      </c>
      <c r="AK199">
        <v>2</v>
      </c>
      <c r="AL199" t="s">
        <v>1825</v>
      </c>
      <c r="AM199" t="s">
        <v>187</v>
      </c>
      <c r="AN199" t="s">
        <v>1842</v>
      </c>
      <c r="AO199" t="s">
        <v>4015</v>
      </c>
      <c r="AP199" t="s">
        <v>74</v>
      </c>
      <c r="AQ199" t="s">
        <v>4016</v>
      </c>
      <c r="AR199" t="s">
        <v>4017</v>
      </c>
      <c r="AS199" t="s">
        <v>74</v>
      </c>
      <c r="AT199" t="s">
        <v>74</v>
      </c>
      <c r="AU199">
        <v>2017</v>
      </c>
      <c r="AV199" t="s">
        <v>74</v>
      </c>
      <c r="AW199" t="s">
        <v>74</v>
      </c>
      <c r="AX199" t="s">
        <v>74</v>
      </c>
      <c r="AY199" t="s">
        <v>74</v>
      </c>
      <c r="AZ199" t="s">
        <v>74</v>
      </c>
      <c r="BA199" t="s">
        <v>74</v>
      </c>
      <c r="BB199">
        <v>2319</v>
      </c>
      <c r="BC199">
        <v>2323</v>
      </c>
      <c r="BD199" t="s">
        <v>74</v>
      </c>
      <c r="BE199" t="s">
        <v>74</v>
      </c>
      <c r="BF199" t="s">
        <v>74</v>
      </c>
      <c r="BG199" t="s">
        <v>74</v>
      </c>
      <c r="BH199" t="s">
        <v>74</v>
      </c>
      <c r="BI199">
        <v>5</v>
      </c>
      <c r="BJ199" t="s">
        <v>4018</v>
      </c>
      <c r="BK199" t="s">
        <v>1844</v>
      </c>
      <c r="BL199" t="s">
        <v>4019</v>
      </c>
      <c r="BM199" t="s">
        <v>4020</v>
      </c>
      <c r="BN199" t="s">
        <v>74</v>
      </c>
      <c r="BO199" t="s">
        <v>378</v>
      </c>
      <c r="BP199" t="s">
        <v>74</v>
      </c>
      <c r="BQ199" t="s">
        <v>74</v>
      </c>
      <c r="BR199" t="s">
        <v>105</v>
      </c>
      <c r="BS199" t="s">
        <v>4021</v>
      </c>
      <c r="BT199" t="str">
        <f>HYPERLINK("https%3A%2F%2Fwww.webofscience.com%2Fwos%2Fwoscc%2Ffull-record%2FWOS:000426986000468","View Full Record in Web of Science")</f>
        <v>View Full Record in Web of Science</v>
      </c>
    </row>
    <row r="200" spans="1:72" x14ac:dyDescent="0.15">
      <c r="A200" t="s">
        <v>1823</v>
      </c>
      <c r="B200" t="s">
        <v>4022</v>
      </c>
      <c r="C200" t="s">
        <v>74</v>
      </c>
      <c r="D200" t="s">
        <v>74</v>
      </c>
      <c r="E200" t="s">
        <v>1825</v>
      </c>
      <c r="F200" t="s">
        <v>4023</v>
      </c>
      <c r="G200" t="s">
        <v>74</v>
      </c>
      <c r="H200" t="s">
        <v>74</v>
      </c>
      <c r="I200" t="s">
        <v>4024</v>
      </c>
      <c r="J200" t="s">
        <v>1851</v>
      </c>
      <c r="K200" t="s">
        <v>1852</v>
      </c>
      <c r="L200" t="s">
        <v>74</v>
      </c>
      <c r="M200" t="s">
        <v>78</v>
      </c>
      <c r="N200" t="s">
        <v>1829</v>
      </c>
      <c r="O200" t="s">
        <v>4025</v>
      </c>
      <c r="P200" t="s">
        <v>1854</v>
      </c>
      <c r="Q200" t="s">
        <v>1855</v>
      </c>
      <c r="R200" t="s">
        <v>74</v>
      </c>
      <c r="S200" t="s">
        <v>74</v>
      </c>
      <c r="T200" t="s">
        <v>4026</v>
      </c>
      <c r="U200" t="s">
        <v>74</v>
      </c>
      <c r="V200" t="s">
        <v>4027</v>
      </c>
      <c r="W200" t="s">
        <v>4028</v>
      </c>
      <c r="X200" t="s">
        <v>4029</v>
      </c>
      <c r="Y200" t="s">
        <v>4030</v>
      </c>
      <c r="Z200" t="s">
        <v>74</v>
      </c>
      <c r="AA200" t="s">
        <v>4031</v>
      </c>
      <c r="AB200" t="s">
        <v>4032</v>
      </c>
      <c r="AC200" t="s">
        <v>4033</v>
      </c>
      <c r="AD200" t="s">
        <v>4034</v>
      </c>
      <c r="AE200" t="s">
        <v>4035</v>
      </c>
      <c r="AF200" t="s">
        <v>74</v>
      </c>
      <c r="AG200">
        <v>5</v>
      </c>
      <c r="AH200">
        <v>4</v>
      </c>
      <c r="AI200">
        <v>4</v>
      </c>
      <c r="AJ200">
        <v>0</v>
      </c>
      <c r="AK200">
        <v>3</v>
      </c>
      <c r="AL200" t="s">
        <v>1825</v>
      </c>
      <c r="AM200" t="s">
        <v>187</v>
      </c>
      <c r="AN200" t="s">
        <v>1842</v>
      </c>
      <c r="AO200" t="s">
        <v>1861</v>
      </c>
      <c r="AP200" t="s">
        <v>74</v>
      </c>
      <c r="AQ200" t="s">
        <v>1862</v>
      </c>
      <c r="AR200" t="s">
        <v>1863</v>
      </c>
      <c r="AS200" t="s">
        <v>74</v>
      </c>
      <c r="AT200" t="s">
        <v>74</v>
      </c>
      <c r="AU200">
        <v>2017</v>
      </c>
      <c r="AV200" t="s">
        <v>74</v>
      </c>
      <c r="AW200" t="s">
        <v>74</v>
      </c>
      <c r="AX200" t="s">
        <v>74</v>
      </c>
      <c r="AY200" t="s">
        <v>74</v>
      </c>
      <c r="AZ200" t="s">
        <v>74</v>
      </c>
      <c r="BA200" t="s">
        <v>74</v>
      </c>
      <c r="BB200">
        <v>330</v>
      </c>
      <c r="BC200">
        <v>333</v>
      </c>
      <c r="BD200" t="s">
        <v>74</v>
      </c>
      <c r="BE200" t="s">
        <v>74</v>
      </c>
      <c r="BF200" t="s">
        <v>74</v>
      </c>
      <c r="BG200" t="s">
        <v>74</v>
      </c>
      <c r="BH200" t="s">
        <v>74</v>
      </c>
      <c r="BI200">
        <v>4</v>
      </c>
      <c r="BJ200" t="s">
        <v>1864</v>
      </c>
      <c r="BK200" t="s">
        <v>1844</v>
      </c>
      <c r="BL200" t="s">
        <v>1865</v>
      </c>
      <c r="BM200" t="s">
        <v>1866</v>
      </c>
      <c r="BN200" t="s">
        <v>74</v>
      </c>
      <c r="BO200" t="s">
        <v>74</v>
      </c>
      <c r="BP200" t="s">
        <v>74</v>
      </c>
      <c r="BQ200" t="s">
        <v>74</v>
      </c>
      <c r="BR200" t="s">
        <v>105</v>
      </c>
      <c r="BS200" t="s">
        <v>4036</v>
      </c>
      <c r="BT200" t="str">
        <f>HYPERLINK("https%3A%2F%2Fwww.webofscience.com%2Fwos%2Fwoscc%2Ffull-record%2FWOS:000426954600086","View Full Record in Web of Science")</f>
        <v>View Full Record in Web of Science</v>
      </c>
    </row>
    <row r="201" spans="1:72" x14ac:dyDescent="0.15">
      <c r="A201" t="s">
        <v>1823</v>
      </c>
      <c r="B201" t="s">
        <v>4037</v>
      </c>
      <c r="C201" t="s">
        <v>74</v>
      </c>
      <c r="D201" t="s">
        <v>74</v>
      </c>
      <c r="E201" t="s">
        <v>1825</v>
      </c>
      <c r="F201" t="s">
        <v>4038</v>
      </c>
      <c r="G201" t="s">
        <v>74</v>
      </c>
      <c r="H201" t="s">
        <v>74</v>
      </c>
      <c r="I201" t="s">
        <v>4039</v>
      </c>
      <c r="J201" t="s">
        <v>1851</v>
      </c>
      <c r="K201" t="s">
        <v>1852</v>
      </c>
      <c r="L201" t="s">
        <v>74</v>
      </c>
      <c r="M201" t="s">
        <v>78</v>
      </c>
      <c r="N201" t="s">
        <v>1829</v>
      </c>
      <c r="O201" t="s">
        <v>4025</v>
      </c>
      <c r="P201" t="s">
        <v>1854</v>
      </c>
      <c r="Q201" t="s">
        <v>1855</v>
      </c>
      <c r="R201" t="s">
        <v>74</v>
      </c>
      <c r="S201" t="s">
        <v>74</v>
      </c>
      <c r="T201" t="s">
        <v>4040</v>
      </c>
      <c r="U201" t="s">
        <v>4041</v>
      </c>
      <c r="V201" t="s">
        <v>4042</v>
      </c>
      <c r="W201" t="s">
        <v>4043</v>
      </c>
      <c r="X201" t="s">
        <v>4044</v>
      </c>
      <c r="Y201" t="s">
        <v>4045</v>
      </c>
      <c r="Z201" t="s">
        <v>74</v>
      </c>
      <c r="AA201" t="s">
        <v>74</v>
      </c>
      <c r="AB201" t="s">
        <v>74</v>
      </c>
      <c r="AC201" t="s">
        <v>74</v>
      </c>
      <c r="AD201" t="s">
        <v>74</v>
      </c>
      <c r="AE201" t="s">
        <v>74</v>
      </c>
      <c r="AF201" t="s">
        <v>74</v>
      </c>
      <c r="AG201">
        <v>11</v>
      </c>
      <c r="AH201">
        <v>3</v>
      </c>
      <c r="AI201">
        <v>3</v>
      </c>
      <c r="AJ201">
        <v>0</v>
      </c>
      <c r="AK201">
        <v>4</v>
      </c>
      <c r="AL201" t="s">
        <v>1825</v>
      </c>
      <c r="AM201" t="s">
        <v>187</v>
      </c>
      <c r="AN201" t="s">
        <v>1842</v>
      </c>
      <c r="AO201" t="s">
        <v>1861</v>
      </c>
      <c r="AP201" t="s">
        <v>74</v>
      </c>
      <c r="AQ201" t="s">
        <v>1862</v>
      </c>
      <c r="AR201" t="s">
        <v>1863</v>
      </c>
      <c r="AS201" t="s">
        <v>74</v>
      </c>
      <c r="AT201" t="s">
        <v>74</v>
      </c>
      <c r="AU201">
        <v>2017</v>
      </c>
      <c r="AV201" t="s">
        <v>74</v>
      </c>
      <c r="AW201" t="s">
        <v>74</v>
      </c>
      <c r="AX201" t="s">
        <v>74</v>
      </c>
      <c r="AY201" t="s">
        <v>74</v>
      </c>
      <c r="AZ201" t="s">
        <v>74</v>
      </c>
      <c r="BA201" t="s">
        <v>74</v>
      </c>
      <c r="BB201">
        <v>882</v>
      </c>
      <c r="BC201">
        <v>885</v>
      </c>
      <c r="BD201" t="s">
        <v>74</v>
      </c>
      <c r="BE201" t="s">
        <v>74</v>
      </c>
      <c r="BF201" t="s">
        <v>74</v>
      </c>
      <c r="BG201" t="s">
        <v>74</v>
      </c>
      <c r="BH201" t="s">
        <v>74</v>
      </c>
      <c r="BI201">
        <v>4</v>
      </c>
      <c r="BJ201" t="s">
        <v>1864</v>
      </c>
      <c r="BK201" t="s">
        <v>1844</v>
      </c>
      <c r="BL201" t="s">
        <v>1865</v>
      </c>
      <c r="BM201" t="s">
        <v>1866</v>
      </c>
      <c r="BN201" t="s">
        <v>74</v>
      </c>
      <c r="BO201" t="s">
        <v>74</v>
      </c>
      <c r="BP201" t="s">
        <v>74</v>
      </c>
      <c r="BQ201" t="s">
        <v>74</v>
      </c>
      <c r="BR201" t="s">
        <v>105</v>
      </c>
      <c r="BS201" t="s">
        <v>4046</v>
      </c>
      <c r="BT201" t="str">
        <f>HYPERLINK("https%3A%2F%2Fwww.webofscience.com%2Fwos%2Fwoscc%2Ffull-record%2FWOS:000426954601009","View Full Record in Web of Science")</f>
        <v>View Full Record in Web of Science</v>
      </c>
    </row>
    <row r="202" spans="1:72" x14ac:dyDescent="0.15">
      <c r="A202" t="s">
        <v>1823</v>
      </c>
      <c r="B202" t="s">
        <v>4047</v>
      </c>
      <c r="C202" t="s">
        <v>74</v>
      </c>
      <c r="D202" t="s">
        <v>74</v>
      </c>
      <c r="E202" t="s">
        <v>1825</v>
      </c>
      <c r="F202" t="s">
        <v>4048</v>
      </c>
      <c r="G202" t="s">
        <v>74</v>
      </c>
      <c r="H202" t="s">
        <v>74</v>
      </c>
      <c r="I202" t="s">
        <v>4049</v>
      </c>
      <c r="J202" t="s">
        <v>1851</v>
      </c>
      <c r="K202" t="s">
        <v>1852</v>
      </c>
      <c r="L202" t="s">
        <v>74</v>
      </c>
      <c r="M202" t="s">
        <v>78</v>
      </c>
      <c r="N202" t="s">
        <v>1829</v>
      </c>
      <c r="O202" t="s">
        <v>1853</v>
      </c>
      <c r="P202" t="s">
        <v>1854</v>
      </c>
      <c r="Q202" t="s">
        <v>1855</v>
      </c>
      <c r="R202" t="s">
        <v>74</v>
      </c>
      <c r="S202" t="s">
        <v>74</v>
      </c>
      <c r="T202" t="s">
        <v>4050</v>
      </c>
      <c r="U202" t="s">
        <v>74</v>
      </c>
      <c r="V202" t="s">
        <v>4051</v>
      </c>
      <c r="W202" t="s">
        <v>4052</v>
      </c>
      <c r="X202" t="s">
        <v>74</v>
      </c>
      <c r="Y202" t="s">
        <v>4053</v>
      </c>
      <c r="Z202" t="s">
        <v>74</v>
      </c>
      <c r="AA202" t="s">
        <v>74</v>
      </c>
      <c r="AB202" t="s">
        <v>74</v>
      </c>
      <c r="AC202" t="s">
        <v>4054</v>
      </c>
      <c r="AD202" t="s">
        <v>4055</v>
      </c>
      <c r="AE202" t="s">
        <v>4056</v>
      </c>
      <c r="AF202" t="s">
        <v>74</v>
      </c>
      <c r="AG202">
        <v>7</v>
      </c>
      <c r="AH202">
        <v>5</v>
      </c>
      <c r="AI202">
        <v>5</v>
      </c>
      <c r="AJ202">
        <v>0</v>
      </c>
      <c r="AK202">
        <v>2</v>
      </c>
      <c r="AL202" t="s">
        <v>1825</v>
      </c>
      <c r="AM202" t="s">
        <v>187</v>
      </c>
      <c r="AN202" t="s">
        <v>1842</v>
      </c>
      <c r="AO202" t="s">
        <v>1861</v>
      </c>
      <c r="AP202" t="s">
        <v>74</v>
      </c>
      <c r="AQ202" t="s">
        <v>1862</v>
      </c>
      <c r="AR202" t="s">
        <v>1863</v>
      </c>
      <c r="AS202" t="s">
        <v>74</v>
      </c>
      <c r="AT202" t="s">
        <v>74</v>
      </c>
      <c r="AU202">
        <v>2017</v>
      </c>
      <c r="AV202" t="s">
        <v>74</v>
      </c>
      <c r="AW202" t="s">
        <v>74</v>
      </c>
      <c r="AX202" t="s">
        <v>74</v>
      </c>
      <c r="AY202" t="s">
        <v>74</v>
      </c>
      <c r="AZ202" t="s">
        <v>74</v>
      </c>
      <c r="BA202" t="s">
        <v>74</v>
      </c>
      <c r="BB202">
        <v>2294</v>
      </c>
      <c r="BC202">
        <v>2297</v>
      </c>
      <c r="BD202" t="s">
        <v>74</v>
      </c>
      <c r="BE202" t="s">
        <v>74</v>
      </c>
      <c r="BF202" t="s">
        <v>74</v>
      </c>
      <c r="BG202" t="s">
        <v>74</v>
      </c>
      <c r="BH202" t="s">
        <v>74</v>
      </c>
      <c r="BI202">
        <v>4</v>
      </c>
      <c r="BJ202" t="s">
        <v>1864</v>
      </c>
      <c r="BK202" t="s">
        <v>1844</v>
      </c>
      <c r="BL202" t="s">
        <v>1865</v>
      </c>
      <c r="BM202" t="s">
        <v>1866</v>
      </c>
      <c r="BN202" t="s">
        <v>74</v>
      </c>
      <c r="BO202" t="s">
        <v>74</v>
      </c>
      <c r="BP202" t="s">
        <v>74</v>
      </c>
      <c r="BQ202" t="s">
        <v>74</v>
      </c>
      <c r="BR202" t="s">
        <v>105</v>
      </c>
      <c r="BS202" t="s">
        <v>4057</v>
      </c>
      <c r="BT202" t="str">
        <f>HYPERLINK("https%3A%2F%2Fwww.webofscience.com%2Fwos%2Fwoscc%2Ffull-record%2FWOS:000426954602104","View Full Record in Web of Science")</f>
        <v>View Full Record in Web of Science</v>
      </c>
    </row>
    <row r="203" spans="1:72" x14ac:dyDescent="0.15">
      <c r="A203" t="s">
        <v>1823</v>
      </c>
      <c r="B203" t="s">
        <v>4058</v>
      </c>
      <c r="C203" t="s">
        <v>74</v>
      </c>
      <c r="D203" t="s">
        <v>74</v>
      </c>
      <c r="E203" t="s">
        <v>1825</v>
      </c>
      <c r="F203" t="s">
        <v>4059</v>
      </c>
      <c r="G203" t="s">
        <v>74</v>
      </c>
      <c r="H203" t="s">
        <v>74</v>
      </c>
      <c r="I203" t="s">
        <v>4060</v>
      </c>
      <c r="J203" t="s">
        <v>1851</v>
      </c>
      <c r="K203" t="s">
        <v>1852</v>
      </c>
      <c r="L203" t="s">
        <v>74</v>
      </c>
      <c r="M203" t="s">
        <v>78</v>
      </c>
      <c r="N203" t="s">
        <v>1829</v>
      </c>
      <c r="O203" t="s">
        <v>1853</v>
      </c>
      <c r="P203" t="s">
        <v>1854</v>
      </c>
      <c r="Q203" t="s">
        <v>1855</v>
      </c>
      <c r="R203" t="s">
        <v>74</v>
      </c>
      <c r="S203" t="s">
        <v>74</v>
      </c>
      <c r="T203" t="s">
        <v>4061</v>
      </c>
      <c r="U203" t="s">
        <v>4062</v>
      </c>
      <c r="V203" t="s">
        <v>4063</v>
      </c>
      <c r="W203" t="s">
        <v>4064</v>
      </c>
      <c r="X203" t="s">
        <v>4065</v>
      </c>
      <c r="Y203" t="s">
        <v>4066</v>
      </c>
      <c r="Z203" t="s">
        <v>74</v>
      </c>
      <c r="AA203" t="s">
        <v>4067</v>
      </c>
      <c r="AB203" t="s">
        <v>4068</v>
      </c>
      <c r="AC203" t="s">
        <v>74</v>
      </c>
      <c r="AD203" t="s">
        <v>74</v>
      </c>
      <c r="AE203" t="s">
        <v>74</v>
      </c>
      <c r="AF203" t="s">
        <v>74</v>
      </c>
      <c r="AG203">
        <v>8</v>
      </c>
      <c r="AH203">
        <v>1</v>
      </c>
      <c r="AI203">
        <v>1</v>
      </c>
      <c r="AJ203">
        <v>0</v>
      </c>
      <c r="AK203">
        <v>2</v>
      </c>
      <c r="AL203" t="s">
        <v>1825</v>
      </c>
      <c r="AM203" t="s">
        <v>187</v>
      </c>
      <c r="AN203" t="s">
        <v>1842</v>
      </c>
      <c r="AO203" t="s">
        <v>1861</v>
      </c>
      <c r="AP203" t="s">
        <v>74</v>
      </c>
      <c r="AQ203" t="s">
        <v>1862</v>
      </c>
      <c r="AR203" t="s">
        <v>1863</v>
      </c>
      <c r="AS203" t="s">
        <v>74</v>
      </c>
      <c r="AT203" t="s">
        <v>74</v>
      </c>
      <c r="AU203">
        <v>2017</v>
      </c>
      <c r="AV203" t="s">
        <v>74</v>
      </c>
      <c r="AW203" t="s">
        <v>74</v>
      </c>
      <c r="AX203" t="s">
        <v>74</v>
      </c>
      <c r="AY203" t="s">
        <v>74</v>
      </c>
      <c r="AZ203" t="s">
        <v>74</v>
      </c>
      <c r="BA203" t="s">
        <v>74</v>
      </c>
      <c r="BB203">
        <v>2829</v>
      </c>
      <c r="BC203">
        <v>2831</v>
      </c>
      <c r="BD203" t="s">
        <v>74</v>
      </c>
      <c r="BE203" t="s">
        <v>74</v>
      </c>
      <c r="BF203" t="s">
        <v>74</v>
      </c>
      <c r="BG203" t="s">
        <v>74</v>
      </c>
      <c r="BH203" t="s">
        <v>74</v>
      </c>
      <c r="BI203">
        <v>3</v>
      </c>
      <c r="BJ203" t="s">
        <v>1864</v>
      </c>
      <c r="BK203" t="s">
        <v>1844</v>
      </c>
      <c r="BL203" t="s">
        <v>1865</v>
      </c>
      <c r="BM203" t="s">
        <v>1866</v>
      </c>
      <c r="BN203" t="s">
        <v>74</v>
      </c>
      <c r="BO203" t="s">
        <v>74</v>
      </c>
      <c r="BP203" t="s">
        <v>74</v>
      </c>
      <c r="BQ203" t="s">
        <v>74</v>
      </c>
      <c r="BR203" t="s">
        <v>105</v>
      </c>
      <c r="BS203" t="s">
        <v>4069</v>
      </c>
      <c r="BT203" t="str">
        <f>HYPERLINK("https%3A%2F%2Fwww.webofscience.com%2Fwos%2Fwoscc%2Ffull-record%2FWOS:000426954602243","View Full Record in Web of Science")</f>
        <v>View Full Record in Web of Science</v>
      </c>
    </row>
    <row r="204" spans="1:72" x14ac:dyDescent="0.15">
      <c r="A204" t="s">
        <v>1823</v>
      </c>
      <c r="B204" t="s">
        <v>4070</v>
      </c>
      <c r="C204" t="s">
        <v>74</v>
      </c>
      <c r="D204" t="s">
        <v>74</v>
      </c>
      <c r="E204" t="s">
        <v>1825</v>
      </c>
      <c r="F204" t="s">
        <v>4071</v>
      </c>
      <c r="G204" t="s">
        <v>74</v>
      </c>
      <c r="H204" t="s">
        <v>74</v>
      </c>
      <c r="I204" t="s">
        <v>4072</v>
      </c>
      <c r="J204" t="s">
        <v>1851</v>
      </c>
      <c r="K204" t="s">
        <v>1852</v>
      </c>
      <c r="L204" t="s">
        <v>74</v>
      </c>
      <c r="M204" t="s">
        <v>78</v>
      </c>
      <c r="N204" t="s">
        <v>1829</v>
      </c>
      <c r="O204" t="s">
        <v>1853</v>
      </c>
      <c r="P204" t="s">
        <v>1854</v>
      </c>
      <c r="Q204" t="s">
        <v>1855</v>
      </c>
      <c r="R204" t="s">
        <v>74</v>
      </c>
      <c r="S204" t="s">
        <v>74</v>
      </c>
      <c r="T204" t="s">
        <v>4073</v>
      </c>
      <c r="U204" t="s">
        <v>74</v>
      </c>
      <c r="V204" t="s">
        <v>4074</v>
      </c>
      <c r="W204" t="s">
        <v>4075</v>
      </c>
      <c r="X204" t="s">
        <v>4076</v>
      </c>
      <c r="Y204" t="s">
        <v>4077</v>
      </c>
      <c r="Z204" t="s">
        <v>74</v>
      </c>
      <c r="AA204" t="s">
        <v>74</v>
      </c>
      <c r="AB204" t="s">
        <v>74</v>
      </c>
      <c r="AC204" t="s">
        <v>74</v>
      </c>
      <c r="AD204" t="s">
        <v>74</v>
      </c>
      <c r="AE204" t="s">
        <v>74</v>
      </c>
      <c r="AF204" t="s">
        <v>74</v>
      </c>
      <c r="AG204">
        <v>3</v>
      </c>
      <c r="AH204">
        <v>2</v>
      </c>
      <c r="AI204">
        <v>3</v>
      </c>
      <c r="AJ204">
        <v>0</v>
      </c>
      <c r="AK204">
        <v>1</v>
      </c>
      <c r="AL204" t="s">
        <v>1825</v>
      </c>
      <c r="AM204" t="s">
        <v>187</v>
      </c>
      <c r="AN204" t="s">
        <v>1842</v>
      </c>
      <c r="AO204" t="s">
        <v>1861</v>
      </c>
      <c r="AP204" t="s">
        <v>74</v>
      </c>
      <c r="AQ204" t="s">
        <v>1862</v>
      </c>
      <c r="AR204" t="s">
        <v>1863</v>
      </c>
      <c r="AS204" t="s">
        <v>74</v>
      </c>
      <c r="AT204" t="s">
        <v>74</v>
      </c>
      <c r="AU204">
        <v>2017</v>
      </c>
      <c r="AV204" t="s">
        <v>74</v>
      </c>
      <c r="AW204" t="s">
        <v>74</v>
      </c>
      <c r="AX204" t="s">
        <v>74</v>
      </c>
      <c r="AY204" t="s">
        <v>74</v>
      </c>
      <c r="AZ204" t="s">
        <v>74</v>
      </c>
      <c r="BA204" t="s">
        <v>74</v>
      </c>
      <c r="BB204">
        <v>2832</v>
      </c>
      <c r="BC204">
        <v>2835</v>
      </c>
      <c r="BD204" t="s">
        <v>74</v>
      </c>
      <c r="BE204" t="s">
        <v>74</v>
      </c>
      <c r="BF204" t="s">
        <v>74</v>
      </c>
      <c r="BG204" t="s">
        <v>74</v>
      </c>
      <c r="BH204" t="s">
        <v>74</v>
      </c>
      <c r="BI204">
        <v>4</v>
      </c>
      <c r="BJ204" t="s">
        <v>1864</v>
      </c>
      <c r="BK204" t="s">
        <v>1844</v>
      </c>
      <c r="BL204" t="s">
        <v>1865</v>
      </c>
      <c r="BM204" t="s">
        <v>1866</v>
      </c>
      <c r="BN204" t="s">
        <v>74</v>
      </c>
      <c r="BO204" t="s">
        <v>74</v>
      </c>
      <c r="BP204" t="s">
        <v>74</v>
      </c>
      <c r="BQ204" t="s">
        <v>74</v>
      </c>
      <c r="BR204" t="s">
        <v>105</v>
      </c>
      <c r="BS204" t="s">
        <v>4078</v>
      </c>
      <c r="BT204" t="str">
        <f>HYPERLINK("https%3A%2F%2Fwww.webofscience.com%2Fwos%2Fwoscc%2Ffull-record%2FWOS:000426954602244","View Full Record in Web of Science")</f>
        <v>View Full Record in Web of Science</v>
      </c>
    </row>
    <row r="205" spans="1:72" x14ac:dyDescent="0.15">
      <c r="A205" t="s">
        <v>1823</v>
      </c>
      <c r="B205" t="s">
        <v>4079</v>
      </c>
      <c r="C205" t="s">
        <v>74</v>
      </c>
      <c r="D205" t="s">
        <v>74</v>
      </c>
      <c r="E205" t="s">
        <v>1825</v>
      </c>
      <c r="F205" t="s">
        <v>4080</v>
      </c>
      <c r="G205" t="s">
        <v>74</v>
      </c>
      <c r="H205" t="s">
        <v>74</v>
      </c>
      <c r="I205" t="s">
        <v>4081</v>
      </c>
      <c r="J205" t="s">
        <v>1851</v>
      </c>
      <c r="K205" t="s">
        <v>1852</v>
      </c>
      <c r="L205" t="s">
        <v>74</v>
      </c>
      <c r="M205" t="s">
        <v>78</v>
      </c>
      <c r="N205" t="s">
        <v>1829</v>
      </c>
      <c r="O205" t="s">
        <v>1853</v>
      </c>
      <c r="P205" t="s">
        <v>1854</v>
      </c>
      <c r="Q205" t="s">
        <v>1855</v>
      </c>
      <c r="R205" t="s">
        <v>74</v>
      </c>
      <c r="S205" t="s">
        <v>74</v>
      </c>
      <c r="T205" t="s">
        <v>4082</v>
      </c>
      <c r="U205" t="s">
        <v>4083</v>
      </c>
      <c r="V205" t="s">
        <v>4084</v>
      </c>
      <c r="W205" t="s">
        <v>4085</v>
      </c>
      <c r="X205" t="s">
        <v>4086</v>
      </c>
      <c r="Y205" t="s">
        <v>4087</v>
      </c>
      <c r="Z205" t="s">
        <v>74</v>
      </c>
      <c r="AA205" t="s">
        <v>74</v>
      </c>
      <c r="AB205" t="s">
        <v>74</v>
      </c>
      <c r="AC205" t="s">
        <v>4088</v>
      </c>
      <c r="AD205" t="s">
        <v>4089</v>
      </c>
      <c r="AE205" t="s">
        <v>4090</v>
      </c>
      <c r="AF205" t="s">
        <v>74</v>
      </c>
      <c r="AG205">
        <v>15</v>
      </c>
      <c r="AH205">
        <v>1</v>
      </c>
      <c r="AI205">
        <v>2</v>
      </c>
      <c r="AJ205">
        <v>1</v>
      </c>
      <c r="AK205">
        <v>4</v>
      </c>
      <c r="AL205" t="s">
        <v>1825</v>
      </c>
      <c r="AM205" t="s">
        <v>187</v>
      </c>
      <c r="AN205" t="s">
        <v>1842</v>
      </c>
      <c r="AO205" t="s">
        <v>1861</v>
      </c>
      <c r="AP205" t="s">
        <v>74</v>
      </c>
      <c r="AQ205" t="s">
        <v>1862</v>
      </c>
      <c r="AR205" t="s">
        <v>1863</v>
      </c>
      <c r="AS205" t="s">
        <v>74</v>
      </c>
      <c r="AT205" t="s">
        <v>74</v>
      </c>
      <c r="AU205">
        <v>2017</v>
      </c>
      <c r="AV205" t="s">
        <v>74</v>
      </c>
      <c r="AW205" t="s">
        <v>74</v>
      </c>
      <c r="AX205" t="s">
        <v>74</v>
      </c>
      <c r="AY205" t="s">
        <v>74</v>
      </c>
      <c r="AZ205" t="s">
        <v>74</v>
      </c>
      <c r="BA205" t="s">
        <v>74</v>
      </c>
      <c r="BB205">
        <v>2836</v>
      </c>
      <c r="BC205">
        <v>2839</v>
      </c>
      <c r="BD205" t="s">
        <v>74</v>
      </c>
      <c r="BE205" t="s">
        <v>74</v>
      </c>
      <c r="BF205" t="s">
        <v>74</v>
      </c>
      <c r="BG205" t="s">
        <v>74</v>
      </c>
      <c r="BH205" t="s">
        <v>74</v>
      </c>
      <c r="BI205">
        <v>4</v>
      </c>
      <c r="BJ205" t="s">
        <v>1864</v>
      </c>
      <c r="BK205" t="s">
        <v>1844</v>
      </c>
      <c r="BL205" t="s">
        <v>1865</v>
      </c>
      <c r="BM205" t="s">
        <v>1866</v>
      </c>
      <c r="BN205" t="s">
        <v>74</v>
      </c>
      <c r="BO205" t="s">
        <v>378</v>
      </c>
      <c r="BP205" t="s">
        <v>74</v>
      </c>
      <c r="BQ205" t="s">
        <v>74</v>
      </c>
      <c r="BR205" t="s">
        <v>105</v>
      </c>
      <c r="BS205" t="s">
        <v>4091</v>
      </c>
      <c r="BT205" t="str">
        <f>HYPERLINK("https%3A%2F%2Fwww.webofscience.com%2Fwos%2Fwoscc%2Ffull-record%2FWOS:000426954602245","View Full Record in Web of Science")</f>
        <v>View Full Record in Web of Science</v>
      </c>
    </row>
    <row r="206" spans="1:72" x14ac:dyDescent="0.15">
      <c r="A206" t="s">
        <v>1823</v>
      </c>
      <c r="B206" t="s">
        <v>4092</v>
      </c>
      <c r="C206" t="s">
        <v>74</v>
      </c>
      <c r="D206" t="s">
        <v>74</v>
      </c>
      <c r="E206" t="s">
        <v>1825</v>
      </c>
      <c r="F206" t="s">
        <v>4093</v>
      </c>
      <c r="G206" t="s">
        <v>74</v>
      </c>
      <c r="H206" t="s">
        <v>74</v>
      </c>
      <c r="I206" t="s">
        <v>4094</v>
      </c>
      <c r="J206" t="s">
        <v>1851</v>
      </c>
      <c r="K206" t="s">
        <v>1852</v>
      </c>
      <c r="L206" t="s">
        <v>74</v>
      </c>
      <c r="M206" t="s">
        <v>78</v>
      </c>
      <c r="N206" t="s">
        <v>1829</v>
      </c>
      <c r="O206" t="s">
        <v>4025</v>
      </c>
      <c r="P206" t="s">
        <v>1854</v>
      </c>
      <c r="Q206" t="s">
        <v>1855</v>
      </c>
      <c r="R206" t="s">
        <v>74</v>
      </c>
      <c r="S206" t="s">
        <v>74</v>
      </c>
      <c r="T206" t="s">
        <v>4095</v>
      </c>
      <c r="U206" t="s">
        <v>74</v>
      </c>
      <c r="V206" t="s">
        <v>4096</v>
      </c>
      <c r="W206" t="s">
        <v>4097</v>
      </c>
      <c r="X206" t="s">
        <v>4098</v>
      </c>
      <c r="Y206" t="s">
        <v>4099</v>
      </c>
      <c r="Z206" t="s">
        <v>74</v>
      </c>
      <c r="AA206" t="s">
        <v>4100</v>
      </c>
      <c r="AB206" t="s">
        <v>4101</v>
      </c>
      <c r="AC206" t="s">
        <v>4102</v>
      </c>
      <c r="AD206" t="s">
        <v>4103</v>
      </c>
      <c r="AE206" t="s">
        <v>4104</v>
      </c>
      <c r="AF206" t="s">
        <v>74</v>
      </c>
      <c r="AG206">
        <v>8</v>
      </c>
      <c r="AH206">
        <v>1</v>
      </c>
      <c r="AI206">
        <v>1</v>
      </c>
      <c r="AJ206">
        <v>0</v>
      </c>
      <c r="AK206">
        <v>1</v>
      </c>
      <c r="AL206" t="s">
        <v>1825</v>
      </c>
      <c r="AM206" t="s">
        <v>187</v>
      </c>
      <c r="AN206" t="s">
        <v>1842</v>
      </c>
      <c r="AO206" t="s">
        <v>1861</v>
      </c>
      <c r="AP206" t="s">
        <v>74</v>
      </c>
      <c r="AQ206" t="s">
        <v>1862</v>
      </c>
      <c r="AR206" t="s">
        <v>1863</v>
      </c>
      <c r="AS206" t="s">
        <v>74</v>
      </c>
      <c r="AT206" t="s">
        <v>74</v>
      </c>
      <c r="AU206">
        <v>2017</v>
      </c>
      <c r="AV206" t="s">
        <v>74</v>
      </c>
      <c r="AW206" t="s">
        <v>74</v>
      </c>
      <c r="AX206" t="s">
        <v>74</v>
      </c>
      <c r="AY206" t="s">
        <v>74</v>
      </c>
      <c r="AZ206" t="s">
        <v>74</v>
      </c>
      <c r="BA206" t="s">
        <v>74</v>
      </c>
      <c r="BB206">
        <v>3011</v>
      </c>
      <c r="BC206">
        <v>3014</v>
      </c>
      <c r="BD206" t="s">
        <v>74</v>
      </c>
      <c r="BE206" t="s">
        <v>74</v>
      </c>
      <c r="BF206" t="s">
        <v>74</v>
      </c>
      <c r="BG206" t="s">
        <v>74</v>
      </c>
      <c r="BH206" t="s">
        <v>74</v>
      </c>
      <c r="BI206">
        <v>4</v>
      </c>
      <c r="BJ206" t="s">
        <v>1864</v>
      </c>
      <c r="BK206" t="s">
        <v>1844</v>
      </c>
      <c r="BL206" t="s">
        <v>1865</v>
      </c>
      <c r="BM206" t="s">
        <v>1866</v>
      </c>
      <c r="BN206" t="s">
        <v>74</v>
      </c>
      <c r="BO206" t="s">
        <v>74</v>
      </c>
      <c r="BP206" t="s">
        <v>74</v>
      </c>
      <c r="BQ206" t="s">
        <v>74</v>
      </c>
      <c r="BR206" t="s">
        <v>105</v>
      </c>
      <c r="BS206" t="s">
        <v>4105</v>
      </c>
      <c r="BT206" t="str">
        <f>HYPERLINK("https%3A%2F%2Fwww.webofscience.com%2Fwos%2Fwoscc%2Ffull-record%2FWOS:000426954603027","View Full Record in Web of Science")</f>
        <v>View Full Record in Web of Science</v>
      </c>
    </row>
    <row r="207" spans="1:72" x14ac:dyDescent="0.15">
      <c r="A207" t="s">
        <v>1823</v>
      </c>
      <c r="B207" t="s">
        <v>4106</v>
      </c>
      <c r="C207" t="s">
        <v>74</v>
      </c>
      <c r="D207" t="s">
        <v>74</v>
      </c>
      <c r="E207" t="s">
        <v>1825</v>
      </c>
      <c r="F207" t="s">
        <v>4107</v>
      </c>
      <c r="G207" t="s">
        <v>74</v>
      </c>
      <c r="H207" t="s">
        <v>74</v>
      </c>
      <c r="I207" t="s">
        <v>4108</v>
      </c>
      <c r="J207" t="s">
        <v>1851</v>
      </c>
      <c r="K207" t="s">
        <v>1852</v>
      </c>
      <c r="L207" t="s">
        <v>74</v>
      </c>
      <c r="M207" t="s">
        <v>78</v>
      </c>
      <c r="N207" t="s">
        <v>1829</v>
      </c>
      <c r="O207" t="s">
        <v>1853</v>
      </c>
      <c r="P207" t="s">
        <v>1854</v>
      </c>
      <c r="Q207" t="s">
        <v>1855</v>
      </c>
      <c r="R207" t="s">
        <v>74</v>
      </c>
      <c r="S207" t="s">
        <v>74</v>
      </c>
      <c r="T207" t="s">
        <v>4109</v>
      </c>
      <c r="U207" t="s">
        <v>74</v>
      </c>
      <c r="V207" t="s">
        <v>4110</v>
      </c>
      <c r="W207" t="s">
        <v>4111</v>
      </c>
      <c r="X207" t="s">
        <v>4112</v>
      </c>
      <c r="Y207" t="s">
        <v>4113</v>
      </c>
      <c r="Z207" t="s">
        <v>4114</v>
      </c>
      <c r="AA207" t="s">
        <v>74</v>
      </c>
      <c r="AB207" t="s">
        <v>74</v>
      </c>
      <c r="AC207" t="s">
        <v>74</v>
      </c>
      <c r="AD207" t="s">
        <v>74</v>
      </c>
      <c r="AE207" t="s">
        <v>74</v>
      </c>
      <c r="AF207" t="s">
        <v>74</v>
      </c>
      <c r="AG207">
        <v>5</v>
      </c>
      <c r="AH207">
        <v>1</v>
      </c>
      <c r="AI207">
        <v>1</v>
      </c>
      <c r="AJ207">
        <v>0</v>
      </c>
      <c r="AK207">
        <v>3</v>
      </c>
      <c r="AL207" t="s">
        <v>1825</v>
      </c>
      <c r="AM207" t="s">
        <v>187</v>
      </c>
      <c r="AN207" t="s">
        <v>1842</v>
      </c>
      <c r="AO207" t="s">
        <v>1861</v>
      </c>
      <c r="AP207" t="s">
        <v>74</v>
      </c>
      <c r="AQ207" t="s">
        <v>1862</v>
      </c>
      <c r="AR207" t="s">
        <v>1863</v>
      </c>
      <c r="AS207" t="s">
        <v>74</v>
      </c>
      <c r="AT207" t="s">
        <v>74</v>
      </c>
      <c r="AU207">
        <v>2017</v>
      </c>
      <c r="AV207" t="s">
        <v>74</v>
      </c>
      <c r="AW207" t="s">
        <v>74</v>
      </c>
      <c r="AX207" t="s">
        <v>74</v>
      </c>
      <c r="AY207" t="s">
        <v>74</v>
      </c>
      <c r="AZ207" t="s">
        <v>74</v>
      </c>
      <c r="BA207" t="s">
        <v>74</v>
      </c>
      <c r="BB207">
        <v>3541</v>
      </c>
      <c r="BC207">
        <v>3543</v>
      </c>
      <c r="BD207" t="s">
        <v>74</v>
      </c>
      <c r="BE207" t="s">
        <v>74</v>
      </c>
      <c r="BF207" t="s">
        <v>74</v>
      </c>
      <c r="BG207" t="s">
        <v>74</v>
      </c>
      <c r="BH207" t="s">
        <v>74</v>
      </c>
      <c r="BI207">
        <v>3</v>
      </c>
      <c r="BJ207" t="s">
        <v>1864</v>
      </c>
      <c r="BK207" t="s">
        <v>1844</v>
      </c>
      <c r="BL207" t="s">
        <v>1865</v>
      </c>
      <c r="BM207" t="s">
        <v>1866</v>
      </c>
      <c r="BN207" t="s">
        <v>74</v>
      </c>
      <c r="BO207" t="s">
        <v>74</v>
      </c>
      <c r="BP207" t="s">
        <v>74</v>
      </c>
      <c r="BQ207" t="s">
        <v>74</v>
      </c>
      <c r="BR207" t="s">
        <v>105</v>
      </c>
      <c r="BS207" t="s">
        <v>4115</v>
      </c>
      <c r="BT207" t="str">
        <f>HYPERLINK("https%3A%2F%2Fwww.webofscience.com%2Fwos%2Fwoscc%2Ffull-record%2FWOS:000426954603158","View Full Record in Web of Science")</f>
        <v>View Full Record in Web of Science</v>
      </c>
    </row>
    <row r="208" spans="1:72" x14ac:dyDescent="0.15">
      <c r="A208" t="s">
        <v>1823</v>
      </c>
      <c r="B208" t="s">
        <v>4116</v>
      </c>
      <c r="C208" t="s">
        <v>74</v>
      </c>
      <c r="D208" t="s">
        <v>74</v>
      </c>
      <c r="E208" t="s">
        <v>1825</v>
      </c>
      <c r="F208" t="s">
        <v>4117</v>
      </c>
      <c r="G208" t="s">
        <v>74</v>
      </c>
      <c r="H208" t="s">
        <v>74</v>
      </c>
      <c r="I208" t="s">
        <v>4118</v>
      </c>
      <c r="J208" t="s">
        <v>1851</v>
      </c>
      <c r="K208" t="s">
        <v>1852</v>
      </c>
      <c r="L208" t="s">
        <v>74</v>
      </c>
      <c r="M208" t="s">
        <v>78</v>
      </c>
      <c r="N208" t="s">
        <v>1829</v>
      </c>
      <c r="O208" t="s">
        <v>1853</v>
      </c>
      <c r="P208" t="s">
        <v>1854</v>
      </c>
      <c r="Q208" t="s">
        <v>1855</v>
      </c>
      <c r="R208" t="s">
        <v>74</v>
      </c>
      <c r="S208" t="s">
        <v>74</v>
      </c>
      <c r="T208" t="s">
        <v>4119</v>
      </c>
      <c r="U208" t="s">
        <v>4120</v>
      </c>
      <c r="V208" t="s">
        <v>4121</v>
      </c>
      <c r="W208" t="s">
        <v>4122</v>
      </c>
      <c r="X208" t="s">
        <v>4123</v>
      </c>
      <c r="Y208" t="s">
        <v>4124</v>
      </c>
      <c r="Z208" t="s">
        <v>74</v>
      </c>
      <c r="AA208" t="s">
        <v>4125</v>
      </c>
      <c r="AB208" t="s">
        <v>4126</v>
      </c>
      <c r="AC208" t="s">
        <v>74</v>
      </c>
      <c r="AD208" t="s">
        <v>74</v>
      </c>
      <c r="AE208" t="s">
        <v>74</v>
      </c>
      <c r="AF208" t="s">
        <v>74</v>
      </c>
      <c r="AG208">
        <v>5</v>
      </c>
      <c r="AH208">
        <v>0</v>
      </c>
      <c r="AI208">
        <v>0</v>
      </c>
      <c r="AJ208">
        <v>0</v>
      </c>
      <c r="AK208">
        <v>5</v>
      </c>
      <c r="AL208" t="s">
        <v>1825</v>
      </c>
      <c r="AM208" t="s">
        <v>187</v>
      </c>
      <c r="AN208" t="s">
        <v>1842</v>
      </c>
      <c r="AO208" t="s">
        <v>1861</v>
      </c>
      <c r="AP208" t="s">
        <v>74</v>
      </c>
      <c r="AQ208" t="s">
        <v>1862</v>
      </c>
      <c r="AR208" t="s">
        <v>1863</v>
      </c>
      <c r="AS208" t="s">
        <v>74</v>
      </c>
      <c r="AT208" t="s">
        <v>74</v>
      </c>
      <c r="AU208">
        <v>2017</v>
      </c>
      <c r="AV208" t="s">
        <v>74</v>
      </c>
      <c r="AW208" t="s">
        <v>74</v>
      </c>
      <c r="AX208" t="s">
        <v>74</v>
      </c>
      <c r="AY208" t="s">
        <v>74</v>
      </c>
      <c r="AZ208" t="s">
        <v>74</v>
      </c>
      <c r="BA208" t="s">
        <v>74</v>
      </c>
      <c r="BB208">
        <v>3575</v>
      </c>
      <c r="BC208">
        <v>3577</v>
      </c>
      <c r="BD208" t="s">
        <v>74</v>
      </c>
      <c r="BE208" t="s">
        <v>74</v>
      </c>
      <c r="BF208" t="s">
        <v>74</v>
      </c>
      <c r="BG208" t="s">
        <v>74</v>
      </c>
      <c r="BH208" t="s">
        <v>74</v>
      </c>
      <c r="BI208">
        <v>3</v>
      </c>
      <c r="BJ208" t="s">
        <v>1864</v>
      </c>
      <c r="BK208" t="s">
        <v>1844</v>
      </c>
      <c r="BL208" t="s">
        <v>1865</v>
      </c>
      <c r="BM208" t="s">
        <v>1866</v>
      </c>
      <c r="BN208" t="s">
        <v>74</v>
      </c>
      <c r="BO208" t="s">
        <v>74</v>
      </c>
      <c r="BP208" t="s">
        <v>74</v>
      </c>
      <c r="BQ208" t="s">
        <v>74</v>
      </c>
      <c r="BR208" t="s">
        <v>105</v>
      </c>
      <c r="BS208" t="s">
        <v>4127</v>
      </c>
      <c r="BT208" t="str">
        <f>HYPERLINK("https%3A%2F%2Fwww.webofscience.com%2Fwos%2Fwoscc%2Ffull-record%2FWOS:000426954603167","View Full Record in Web of Science")</f>
        <v>View Full Record in Web of Science</v>
      </c>
    </row>
    <row r="209" spans="1:72" x14ac:dyDescent="0.15">
      <c r="A209" t="s">
        <v>1823</v>
      </c>
      <c r="B209" t="s">
        <v>4128</v>
      </c>
      <c r="C209" t="s">
        <v>74</v>
      </c>
      <c r="D209" t="s">
        <v>74</v>
      </c>
      <c r="E209" t="s">
        <v>1825</v>
      </c>
      <c r="F209" t="s">
        <v>4129</v>
      </c>
      <c r="G209" t="s">
        <v>74</v>
      </c>
      <c r="H209" t="s">
        <v>74</v>
      </c>
      <c r="I209" t="s">
        <v>4130</v>
      </c>
      <c r="J209" t="s">
        <v>1851</v>
      </c>
      <c r="K209" t="s">
        <v>1852</v>
      </c>
      <c r="L209" t="s">
        <v>74</v>
      </c>
      <c r="M209" t="s">
        <v>78</v>
      </c>
      <c r="N209" t="s">
        <v>1829</v>
      </c>
      <c r="O209" t="s">
        <v>1853</v>
      </c>
      <c r="P209" t="s">
        <v>1854</v>
      </c>
      <c r="Q209" t="s">
        <v>1855</v>
      </c>
      <c r="R209" t="s">
        <v>74</v>
      </c>
      <c r="S209" t="s">
        <v>74</v>
      </c>
      <c r="T209" t="s">
        <v>4131</v>
      </c>
      <c r="U209" t="s">
        <v>74</v>
      </c>
      <c r="V209" t="s">
        <v>4132</v>
      </c>
      <c r="W209" t="s">
        <v>4133</v>
      </c>
      <c r="X209" t="s">
        <v>4134</v>
      </c>
      <c r="Y209" t="s">
        <v>4135</v>
      </c>
      <c r="Z209" t="s">
        <v>4136</v>
      </c>
      <c r="AA209" t="s">
        <v>74</v>
      </c>
      <c r="AB209" t="s">
        <v>74</v>
      </c>
      <c r="AC209" t="s">
        <v>74</v>
      </c>
      <c r="AD209" t="s">
        <v>74</v>
      </c>
      <c r="AE209" t="s">
        <v>74</v>
      </c>
      <c r="AF209" t="s">
        <v>74</v>
      </c>
      <c r="AG209">
        <v>6</v>
      </c>
      <c r="AH209">
        <v>1</v>
      </c>
      <c r="AI209">
        <v>2</v>
      </c>
      <c r="AJ209">
        <v>0</v>
      </c>
      <c r="AK209">
        <v>1</v>
      </c>
      <c r="AL209" t="s">
        <v>1825</v>
      </c>
      <c r="AM209" t="s">
        <v>187</v>
      </c>
      <c r="AN209" t="s">
        <v>1842</v>
      </c>
      <c r="AO209" t="s">
        <v>1861</v>
      </c>
      <c r="AP209" t="s">
        <v>74</v>
      </c>
      <c r="AQ209" t="s">
        <v>1862</v>
      </c>
      <c r="AR209" t="s">
        <v>1863</v>
      </c>
      <c r="AS209" t="s">
        <v>74</v>
      </c>
      <c r="AT209" t="s">
        <v>74</v>
      </c>
      <c r="AU209">
        <v>2017</v>
      </c>
      <c r="AV209" t="s">
        <v>74</v>
      </c>
      <c r="AW209" t="s">
        <v>74</v>
      </c>
      <c r="AX209" t="s">
        <v>74</v>
      </c>
      <c r="AY209" t="s">
        <v>74</v>
      </c>
      <c r="AZ209" t="s">
        <v>74</v>
      </c>
      <c r="BA209" t="s">
        <v>74</v>
      </c>
      <c r="BB209">
        <v>3585</v>
      </c>
      <c r="BC209">
        <v>3588</v>
      </c>
      <c r="BD209" t="s">
        <v>74</v>
      </c>
      <c r="BE209" t="s">
        <v>74</v>
      </c>
      <c r="BF209" t="s">
        <v>74</v>
      </c>
      <c r="BG209" t="s">
        <v>74</v>
      </c>
      <c r="BH209" t="s">
        <v>74</v>
      </c>
      <c r="BI209">
        <v>4</v>
      </c>
      <c r="BJ209" t="s">
        <v>1864</v>
      </c>
      <c r="BK209" t="s">
        <v>1844</v>
      </c>
      <c r="BL209" t="s">
        <v>1865</v>
      </c>
      <c r="BM209" t="s">
        <v>1866</v>
      </c>
      <c r="BN209" t="s">
        <v>74</v>
      </c>
      <c r="BO209" t="s">
        <v>74</v>
      </c>
      <c r="BP209" t="s">
        <v>74</v>
      </c>
      <c r="BQ209" t="s">
        <v>74</v>
      </c>
      <c r="BR209" t="s">
        <v>105</v>
      </c>
      <c r="BS209" t="s">
        <v>4137</v>
      </c>
      <c r="BT209" t="str">
        <f>HYPERLINK("https%3A%2F%2Fwww.webofscience.com%2Fwos%2Fwoscc%2Ffull-record%2FWOS:000426954603170","View Full Record in Web of Science")</f>
        <v>View Full Record in Web of Science</v>
      </c>
    </row>
    <row r="210" spans="1:72" x14ac:dyDescent="0.15">
      <c r="A210" t="s">
        <v>1823</v>
      </c>
      <c r="B210" t="s">
        <v>4138</v>
      </c>
      <c r="C210" t="s">
        <v>74</v>
      </c>
      <c r="D210" t="s">
        <v>74</v>
      </c>
      <c r="E210" t="s">
        <v>1825</v>
      </c>
      <c r="F210" t="s">
        <v>4139</v>
      </c>
      <c r="G210" t="s">
        <v>74</v>
      </c>
      <c r="H210" t="s">
        <v>74</v>
      </c>
      <c r="I210" t="s">
        <v>4140</v>
      </c>
      <c r="J210" t="s">
        <v>1851</v>
      </c>
      <c r="K210" t="s">
        <v>1852</v>
      </c>
      <c r="L210" t="s">
        <v>74</v>
      </c>
      <c r="M210" t="s">
        <v>78</v>
      </c>
      <c r="N210" t="s">
        <v>1829</v>
      </c>
      <c r="O210" t="s">
        <v>4025</v>
      </c>
      <c r="P210" t="s">
        <v>1854</v>
      </c>
      <c r="Q210" t="s">
        <v>1855</v>
      </c>
      <c r="R210" t="s">
        <v>74</v>
      </c>
      <c r="S210" t="s">
        <v>74</v>
      </c>
      <c r="T210" t="s">
        <v>4141</v>
      </c>
      <c r="U210" t="s">
        <v>4142</v>
      </c>
      <c r="V210" t="s">
        <v>4143</v>
      </c>
      <c r="W210" t="s">
        <v>4144</v>
      </c>
      <c r="X210" t="s">
        <v>4145</v>
      </c>
      <c r="Y210" t="s">
        <v>4146</v>
      </c>
      <c r="Z210" t="s">
        <v>74</v>
      </c>
      <c r="AA210" t="s">
        <v>4147</v>
      </c>
      <c r="AB210" t="s">
        <v>4148</v>
      </c>
      <c r="AC210" t="s">
        <v>74</v>
      </c>
      <c r="AD210" t="s">
        <v>74</v>
      </c>
      <c r="AE210" t="s">
        <v>74</v>
      </c>
      <c r="AF210" t="s">
        <v>74</v>
      </c>
      <c r="AG210">
        <v>12</v>
      </c>
      <c r="AH210">
        <v>1</v>
      </c>
      <c r="AI210">
        <v>1</v>
      </c>
      <c r="AJ210">
        <v>1</v>
      </c>
      <c r="AK210">
        <v>7</v>
      </c>
      <c r="AL210" t="s">
        <v>1825</v>
      </c>
      <c r="AM210" t="s">
        <v>187</v>
      </c>
      <c r="AN210" t="s">
        <v>1842</v>
      </c>
      <c r="AO210" t="s">
        <v>1861</v>
      </c>
      <c r="AP210" t="s">
        <v>74</v>
      </c>
      <c r="AQ210" t="s">
        <v>1862</v>
      </c>
      <c r="AR210" t="s">
        <v>1863</v>
      </c>
      <c r="AS210" t="s">
        <v>74</v>
      </c>
      <c r="AT210" t="s">
        <v>74</v>
      </c>
      <c r="AU210">
        <v>2017</v>
      </c>
      <c r="AV210" t="s">
        <v>74</v>
      </c>
      <c r="AW210" t="s">
        <v>74</v>
      </c>
      <c r="AX210" t="s">
        <v>74</v>
      </c>
      <c r="AY210" t="s">
        <v>74</v>
      </c>
      <c r="AZ210" t="s">
        <v>74</v>
      </c>
      <c r="BA210" t="s">
        <v>74</v>
      </c>
      <c r="BB210">
        <v>5268</v>
      </c>
      <c r="BC210">
        <v>5271</v>
      </c>
      <c r="BD210" t="s">
        <v>74</v>
      </c>
      <c r="BE210" t="s">
        <v>74</v>
      </c>
      <c r="BF210" t="s">
        <v>74</v>
      </c>
      <c r="BG210" t="s">
        <v>74</v>
      </c>
      <c r="BH210" t="s">
        <v>74</v>
      </c>
      <c r="BI210">
        <v>4</v>
      </c>
      <c r="BJ210" t="s">
        <v>1864</v>
      </c>
      <c r="BK210" t="s">
        <v>1844</v>
      </c>
      <c r="BL210" t="s">
        <v>1865</v>
      </c>
      <c r="BM210" t="s">
        <v>1866</v>
      </c>
      <c r="BN210" t="s">
        <v>74</v>
      </c>
      <c r="BO210" t="s">
        <v>74</v>
      </c>
      <c r="BP210" t="s">
        <v>74</v>
      </c>
      <c r="BQ210" t="s">
        <v>74</v>
      </c>
      <c r="BR210" t="s">
        <v>105</v>
      </c>
      <c r="BS210" t="s">
        <v>4149</v>
      </c>
      <c r="BT210" t="str">
        <f>HYPERLINK("https%3A%2F%2Fwww.webofscience.com%2Fwos%2Fwoscc%2Ffull-record%2FWOS:000426954605065","View Full Record in Web of Science")</f>
        <v>View Full Record in Web of Science</v>
      </c>
    </row>
    <row r="211" spans="1:72" x14ac:dyDescent="0.15">
      <c r="A211" t="s">
        <v>1823</v>
      </c>
      <c r="B211" t="s">
        <v>4150</v>
      </c>
      <c r="C211" t="s">
        <v>74</v>
      </c>
      <c r="D211" t="s">
        <v>74</v>
      </c>
      <c r="E211" t="s">
        <v>1825</v>
      </c>
      <c r="F211" t="s">
        <v>4151</v>
      </c>
      <c r="G211" t="s">
        <v>74</v>
      </c>
      <c r="H211" t="s">
        <v>74</v>
      </c>
      <c r="I211" t="s">
        <v>4152</v>
      </c>
      <c r="J211" t="s">
        <v>1851</v>
      </c>
      <c r="K211" t="s">
        <v>1852</v>
      </c>
      <c r="L211" t="s">
        <v>74</v>
      </c>
      <c r="M211" t="s">
        <v>78</v>
      </c>
      <c r="N211" t="s">
        <v>1829</v>
      </c>
      <c r="O211" t="s">
        <v>4025</v>
      </c>
      <c r="P211" t="s">
        <v>1854</v>
      </c>
      <c r="Q211" t="s">
        <v>1855</v>
      </c>
      <c r="R211" t="s">
        <v>74</v>
      </c>
      <c r="S211" t="s">
        <v>74</v>
      </c>
      <c r="T211" t="s">
        <v>4153</v>
      </c>
      <c r="U211" t="s">
        <v>74</v>
      </c>
      <c r="V211" t="s">
        <v>4154</v>
      </c>
      <c r="W211" t="s">
        <v>4155</v>
      </c>
      <c r="X211" t="s">
        <v>4156</v>
      </c>
      <c r="Y211" t="s">
        <v>4157</v>
      </c>
      <c r="Z211" t="s">
        <v>4158</v>
      </c>
      <c r="AA211" t="s">
        <v>74</v>
      </c>
      <c r="AB211" t="s">
        <v>74</v>
      </c>
      <c r="AC211" t="s">
        <v>4159</v>
      </c>
      <c r="AD211" t="s">
        <v>4160</v>
      </c>
      <c r="AE211" t="s">
        <v>4161</v>
      </c>
      <c r="AF211" t="s">
        <v>74</v>
      </c>
      <c r="AG211">
        <v>13</v>
      </c>
      <c r="AH211">
        <v>6</v>
      </c>
      <c r="AI211">
        <v>6</v>
      </c>
      <c r="AJ211">
        <v>0</v>
      </c>
      <c r="AK211">
        <v>5</v>
      </c>
      <c r="AL211" t="s">
        <v>1825</v>
      </c>
      <c r="AM211" t="s">
        <v>187</v>
      </c>
      <c r="AN211" t="s">
        <v>1842</v>
      </c>
      <c r="AO211" t="s">
        <v>1861</v>
      </c>
      <c r="AP211" t="s">
        <v>74</v>
      </c>
      <c r="AQ211" t="s">
        <v>1862</v>
      </c>
      <c r="AR211" t="s">
        <v>1863</v>
      </c>
      <c r="AS211" t="s">
        <v>74</v>
      </c>
      <c r="AT211" t="s">
        <v>74</v>
      </c>
      <c r="AU211">
        <v>2017</v>
      </c>
      <c r="AV211" t="s">
        <v>74</v>
      </c>
      <c r="AW211" t="s">
        <v>74</v>
      </c>
      <c r="AX211" t="s">
        <v>74</v>
      </c>
      <c r="AY211" t="s">
        <v>74</v>
      </c>
      <c r="AZ211" t="s">
        <v>74</v>
      </c>
      <c r="BA211" t="s">
        <v>74</v>
      </c>
      <c r="BB211">
        <v>5755</v>
      </c>
      <c r="BC211">
        <v>5758</v>
      </c>
      <c r="BD211" t="s">
        <v>74</v>
      </c>
      <c r="BE211" t="s">
        <v>74</v>
      </c>
      <c r="BF211" t="s">
        <v>74</v>
      </c>
      <c r="BG211" t="s">
        <v>74</v>
      </c>
      <c r="BH211" t="s">
        <v>74</v>
      </c>
      <c r="BI211">
        <v>4</v>
      </c>
      <c r="BJ211" t="s">
        <v>1864</v>
      </c>
      <c r="BK211" t="s">
        <v>1844</v>
      </c>
      <c r="BL211" t="s">
        <v>1865</v>
      </c>
      <c r="BM211" t="s">
        <v>1866</v>
      </c>
      <c r="BN211" t="s">
        <v>74</v>
      </c>
      <c r="BO211" t="s">
        <v>74</v>
      </c>
      <c r="BP211" t="s">
        <v>74</v>
      </c>
      <c r="BQ211" t="s">
        <v>74</v>
      </c>
      <c r="BR211" t="s">
        <v>105</v>
      </c>
      <c r="BS211" t="s">
        <v>4162</v>
      </c>
      <c r="BT211" t="str">
        <f>HYPERLINK("https%3A%2F%2Fwww.webofscience.com%2Fwos%2Fwoscc%2Ffull-record%2FWOS:000426954605190","View Full Record in Web of Science")</f>
        <v>View Full Record in Web of Science</v>
      </c>
    </row>
    <row r="212" spans="1:72" x14ac:dyDescent="0.15">
      <c r="A212" t="s">
        <v>1823</v>
      </c>
      <c r="B212" t="s">
        <v>4163</v>
      </c>
      <c r="C212" t="s">
        <v>74</v>
      </c>
      <c r="D212" t="s">
        <v>74</v>
      </c>
      <c r="E212" t="s">
        <v>1825</v>
      </c>
      <c r="F212" t="s">
        <v>4164</v>
      </c>
      <c r="G212" t="s">
        <v>74</v>
      </c>
      <c r="H212" t="s">
        <v>74</v>
      </c>
      <c r="I212" t="s">
        <v>4165</v>
      </c>
      <c r="J212" t="s">
        <v>3036</v>
      </c>
      <c r="K212" t="s">
        <v>3037</v>
      </c>
      <c r="L212" t="s">
        <v>74</v>
      </c>
      <c r="M212" t="s">
        <v>78</v>
      </c>
      <c r="N212" t="s">
        <v>1829</v>
      </c>
      <c r="O212" t="s">
        <v>3038</v>
      </c>
      <c r="P212" t="s">
        <v>3039</v>
      </c>
      <c r="Q212" t="s">
        <v>3040</v>
      </c>
      <c r="R212" t="s">
        <v>74</v>
      </c>
      <c r="S212" t="s">
        <v>74</v>
      </c>
      <c r="T212" t="s">
        <v>4166</v>
      </c>
      <c r="U212" t="s">
        <v>4167</v>
      </c>
      <c r="V212" t="s">
        <v>4168</v>
      </c>
      <c r="W212" t="s">
        <v>4169</v>
      </c>
      <c r="X212" t="s">
        <v>4170</v>
      </c>
      <c r="Y212" t="s">
        <v>4171</v>
      </c>
      <c r="Z212" t="s">
        <v>4172</v>
      </c>
      <c r="AA212" t="s">
        <v>74</v>
      </c>
      <c r="AB212" t="s">
        <v>74</v>
      </c>
      <c r="AC212" t="s">
        <v>74</v>
      </c>
      <c r="AD212" t="s">
        <v>74</v>
      </c>
      <c r="AE212" t="s">
        <v>74</v>
      </c>
      <c r="AF212" t="s">
        <v>74</v>
      </c>
      <c r="AG212">
        <v>16</v>
      </c>
      <c r="AH212">
        <v>0</v>
      </c>
      <c r="AI212">
        <v>0</v>
      </c>
      <c r="AJ212">
        <v>0</v>
      </c>
      <c r="AK212">
        <v>2</v>
      </c>
      <c r="AL212" t="s">
        <v>1825</v>
      </c>
      <c r="AM212" t="s">
        <v>187</v>
      </c>
      <c r="AN212" t="s">
        <v>1842</v>
      </c>
      <c r="AO212" t="s">
        <v>3052</v>
      </c>
      <c r="AP212" t="s">
        <v>74</v>
      </c>
      <c r="AQ212" t="s">
        <v>3053</v>
      </c>
      <c r="AR212" t="s">
        <v>3037</v>
      </c>
      <c r="AS212" t="s">
        <v>74</v>
      </c>
      <c r="AT212" t="s">
        <v>74</v>
      </c>
      <c r="AU212">
        <v>2017</v>
      </c>
      <c r="AV212" t="s">
        <v>74</v>
      </c>
      <c r="AW212" t="s">
        <v>74</v>
      </c>
      <c r="AX212" t="s">
        <v>74</v>
      </c>
      <c r="AY212" t="s">
        <v>74</v>
      </c>
      <c r="AZ212" t="s">
        <v>74</v>
      </c>
      <c r="BA212" t="s">
        <v>74</v>
      </c>
      <c r="BB212" t="s">
        <v>74</v>
      </c>
      <c r="BC212" t="s">
        <v>74</v>
      </c>
      <c r="BD212" t="s">
        <v>74</v>
      </c>
      <c r="BE212" t="s">
        <v>74</v>
      </c>
      <c r="BF212" t="s">
        <v>74</v>
      </c>
      <c r="BG212" t="s">
        <v>74</v>
      </c>
      <c r="BH212" t="s">
        <v>74</v>
      </c>
      <c r="BI212">
        <v>8</v>
      </c>
      <c r="BJ212" t="s">
        <v>3054</v>
      </c>
      <c r="BK212" t="s">
        <v>1844</v>
      </c>
      <c r="BL212" t="s">
        <v>3055</v>
      </c>
      <c r="BM212" t="s">
        <v>3056</v>
      </c>
      <c r="BN212" t="s">
        <v>74</v>
      </c>
      <c r="BO212" t="s">
        <v>74</v>
      </c>
      <c r="BP212" t="s">
        <v>74</v>
      </c>
      <c r="BQ212" t="s">
        <v>74</v>
      </c>
      <c r="BR212" t="s">
        <v>105</v>
      </c>
      <c r="BS212" t="s">
        <v>4173</v>
      </c>
      <c r="BT212" t="str">
        <f>HYPERLINK("https%3A%2F%2Fwww.webofscience.com%2Fwos%2Fwoscc%2Ffull-record%2FWOS:000426997000004","View Full Record in Web of Science")</f>
        <v>View Full Record in Web of Science</v>
      </c>
    </row>
    <row r="213" spans="1:72" x14ac:dyDescent="0.15">
      <c r="A213" t="s">
        <v>1823</v>
      </c>
      <c r="B213" t="s">
        <v>4174</v>
      </c>
      <c r="C213" t="s">
        <v>74</v>
      </c>
      <c r="D213" t="s">
        <v>74</v>
      </c>
      <c r="E213" t="s">
        <v>1825</v>
      </c>
      <c r="F213" t="s">
        <v>4175</v>
      </c>
      <c r="G213" t="s">
        <v>74</v>
      </c>
      <c r="H213" t="s">
        <v>74</v>
      </c>
      <c r="I213" t="s">
        <v>4176</v>
      </c>
      <c r="J213" t="s">
        <v>4177</v>
      </c>
      <c r="K213" t="s">
        <v>4178</v>
      </c>
      <c r="L213" t="s">
        <v>74</v>
      </c>
      <c r="M213" t="s">
        <v>78</v>
      </c>
      <c r="N213" t="s">
        <v>1829</v>
      </c>
      <c r="O213" t="s">
        <v>4179</v>
      </c>
      <c r="P213" t="s">
        <v>4180</v>
      </c>
      <c r="Q213" t="s">
        <v>4181</v>
      </c>
      <c r="R213" t="s">
        <v>74</v>
      </c>
      <c r="S213" t="s">
        <v>74</v>
      </c>
      <c r="T213" t="s">
        <v>74</v>
      </c>
      <c r="U213" t="s">
        <v>74</v>
      </c>
      <c r="V213" t="s">
        <v>4182</v>
      </c>
      <c r="W213" t="s">
        <v>4183</v>
      </c>
      <c r="X213" t="s">
        <v>4184</v>
      </c>
      <c r="Y213" t="s">
        <v>4185</v>
      </c>
      <c r="Z213" t="s">
        <v>4186</v>
      </c>
      <c r="AA213" t="s">
        <v>4187</v>
      </c>
      <c r="AB213" t="s">
        <v>4188</v>
      </c>
      <c r="AC213" t="s">
        <v>4189</v>
      </c>
      <c r="AD213" t="s">
        <v>3280</v>
      </c>
      <c r="AE213" t="s">
        <v>4190</v>
      </c>
      <c r="AF213" t="s">
        <v>74</v>
      </c>
      <c r="AG213">
        <v>14</v>
      </c>
      <c r="AH213">
        <v>0</v>
      </c>
      <c r="AI213">
        <v>0</v>
      </c>
      <c r="AJ213">
        <v>0</v>
      </c>
      <c r="AK213">
        <v>0</v>
      </c>
      <c r="AL213" t="s">
        <v>1825</v>
      </c>
      <c r="AM213" t="s">
        <v>187</v>
      </c>
      <c r="AN213" t="s">
        <v>1842</v>
      </c>
      <c r="AO213" t="s">
        <v>4191</v>
      </c>
      <c r="AP213" t="s">
        <v>4192</v>
      </c>
      <c r="AQ213" t="s">
        <v>4193</v>
      </c>
      <c r="AR213" t="s">
        <v>4194</v>
      </c>
      <c r="AS213" t="s">
        <v>74</v>
      </c>
      <c r="AT213" t="s">
        <v>74</v>
      </c>
      <c r="AU213">
        <v>2017</v>
      </c>
      <c r="AV213" t="s">
        <v>74</v>
      </c>
      <c r="AW213" t="s">
        <v>74</v>
      </c>
      <c r="AX213" t="s">
        <v>74</v>
      </c>
      <c r="AY213" t="s">
        <v>74</v>
      </c>
      <c r="AZ213" t="s">
        <v>74</v>
      </c>
      <c r="BA213" t="s">
        <v>74</v>
      </c>
      <c r="BB213" t="s">
        <v>74</v>
      </c>
      <c r="BC213" t="s">
        <v>74</v>
      </c>
      <c r="BD213" t="s">
        <v>74</v>
      </c>
      <c r="BE213" t="s">
        <v>74</v>
      </c>
      <c r="BF213" t="s">
        <v>74</v>
      </c>
      <c r="BG213" t="s">
        <v>74</v>
      </c>
      <c r="BH213" t="s">
        <v>74</v>
      </c>
      <c r="BI213">
        <v>6</v>
      </c>
      <c r="BJ213" t="s">
        <v>3910</v>
      </c>
      <c r="BK213" t="s">
        <v>1844</v>
      </c>
      <c r="BL213" t="s">
        <v>3911</v>
      </c>
      <c r="BM213" t="s">
        <v>4195</v>
      </c>
      <c r="BN213" t="s">
        <v>74</v>
      </c>
      <c r="BO213" t="s">
        <v>74</v>
      </c>
      <c r="BP213" t="s">
        <v>74</v>
      </c>
      <c r="BQ213" t="s">
        <v>74</v>
      </c>
      <c r="BR213" t="s">
        <v>105</v>
      </c>
      <c r="BS213" t="s">
        <v>4196</v>
      </c>
      <c r="BT213" t="str">
        <f>HYPERLINK("https%3A%2F%2Fwww.webofscience.com%2Fwos%2Fwoscc%2Ffull-record%2FWOS:000426878200131","View Full Record in Web of Science")</f>
        <v>View Full Record in Web of Science</v>
      </c>
    </row>
    <row r="214" spans="1:72" x14ac:dyDescent="0.15">
      <c r="A214" t="s">
        <v>1823</v>
      </c>
      <c r="B214" t="s">
        <v>4197</v>
      </c>
      <c r="C214" t="s">
        <v>74</v>
      </c>
      <c r="D214" t="s">
        <v>74</v>
      </c>
      <c r="E214" t="s">
        <v>1825</v>
      </c>
      <c r="F214" t="s">
        <v>4198</v>
      </c>
      <c r="G214" t="s">
        <v>74</v>
      </c>
      <c r="H214" t="s">
        <v>74</v>
      </c>
      <c r="I214" t="s">
        <v>4199</v>
      </c>
      <c r="J214" t="s">
        <v>4200</v>
      </c>
      <c r="K214" t="s">
        <v>74</v>
      </c>
      <c r="L214" t="s">
        <v>74</v>
      </c>
      <c r="M214" t="s">
        <v>78</v>
      </c>
      <c r="N214" t="s">
        <v>1829</v>
      </c>
      <c r="O214" t="s">
        <v>4201</v>
      </c>
      <c r="P214" t="s">
        <v>4202</v>
      </c>
      <c r="Q214" t="s">
        <v>4203</v>
      </c>
      <c r="R214" t="s">
        <v>74</v>
      </c>
      <c r="S214" t="s">
        <v>74</v>
      </c>
      <c r="T214" t="s">
        <v>4204</v>
      </c>
      <c r="U214" t="s">
        <v>74</v>
      </c>
      <c r="V214" t="s">
        <v>4205</v>
      </c>
      <c r="W214" t="s">
        <v>4206</v>
      </c>
      <c r="X214" t="s">
        <v>4207</v>
      </c>
      <c r="Y214" t="s">
        <v>4208</v>
      </c>
      <c r="Z214" t="s">
        <v>4209</v>
      </c>
      <c r="AA214" t="s">
        <v>4210</v>
      </c>
      <c r="AB214" t="s">
        <v>4211</v>
      </c>
      <c r="AC214" t="s">
        <v>74</v>
      </c>
      <c r="AD214" t="s">
        <v>74</v>
      </c>
      <c r="AE214" t="s">
        <v>74</v>
      </c>
      <c r="AF214" t="s">
        <v>74</v>
      </c>
      <c r="AG214">
        <v>4</v>
      </c>
      <c r="AH214">
        <v>0</v>
      </c>
      <c r="AI214">
        <v>0</v>
      </c>
      <c r="AJ214">
        <v>0</v>
      </c>
      <c r="AK214">
        <v>1</v>
      </c>
      <c r="AL214" t="s">
        <v>1825</v>
      </c>
      <c r="AM214" t="s">
        <v>187</v>
      </c>
      <c r="AN214" t="s">
        <v>1842</v>
      </c>
      <c r="AO214" t="s">
        <v>74</v>
      </c>
      <c r="AP214" t="s">
        <v>74</v>
      </c>
      <c r="AQ214" t="s">
        <v>4212</v>
      </c>
      <c r="AR214" t="s">
        <v>74</v>
      </c>
      <c r="AS214" t="s">
        <v>74</v>
      </c>
      <c r="AT214" t="s">
        <v>74</v>
      </c>
      <c r="AU214">
        <v>2017</v>
      </c>
      <c r="AV214" t="s">
        <v>74</v>
      </c>
      <c r="AW214" t="s">
        <v>74</v>
      </c>
      <c r="AX214" t="s">
        <v>74</v>
      </c>
      <c r="AY214" t="s">
        <v>74</v>
      </c>
      <c r="AZ214" t="s">
        <v>74</v>
      </c>
      <c r="BA214" t="s">
        <v>74</v>
      </c>
      <c r="BB214" t="s">
        <v>74</v>
      </c>
      <c r="BC214" t="s">
        <v>74</v>
      </c>
      <c r="BD214" t="s">
        <v>74</v>
      </c>
      <c r="BE214" t="s">
        <v>74</v>
      </c>
      <c r="BF214" t="s">
        <v>74</v>
      </c>
      <c r="BG214" t="s">
        <v>74</v>
      </c>
      <c r="BH214" t="s">
        <v>74</v>
      </c>
      <c r="BI214">
        <v>4</v>
      </c>
      <c r="BJ214" t="s">
        <v>4018</v>
      </c>
      <c r="BK214" t="s">
        <v>1844</v>
      </c>
      <c r="BL214" t="s">
        <v>4019</v>
      </c>
      <c r="BM214" t="s">
        <v>4213</v>
      </c>
      <c r="BN214" t="s">
        <v>74</v>
      </c>
      <c r="BO214" t="s">
        <v>74</v>
      </c>
      <c r="BP214" t="s">
        <v>74</v>
      </c>
      <c r="BQ214" t="s">
        <v>74</v>
      </c>
      <c r="BR214" t="s">
        <v>105</v>
      </c>
      <c r="BS214" t="s">
        <v>4214</v>
      </c>
      <c r="BT214" t="str">
        <f>HYPERLINK("https%3A%2F%2Fwww.webofscience.com%2Fwos%2Fwoscc%2Ffull-record%2FWOS:000426943900061","View Full Record in Web of Science")</f>
        <v>View Full Record in Web of Science</v>
      </c>
    </row>
    <row r="215" spans="1:72" x14ac:dyDescent="0.15">
      <c r="A215" t="s">
        <v>72</v>
      </c>
      <c r="B215" t="s">
        <v>4215</v>
      </c>
      <c r="C215" t="s">
        <v>74</v>
      </c>
      <c r="D215" t="s">
        <v>74</v>
      </c>
      <c r="E215" t="s">
        <v>74</v>
      </c>
      <c r="F215" t="s">
        <v>4216</v>
      </c>
      <c r="G215" t="s">
        <v>74</v>
      </c>
      <c r="H215" t="s">
        <v>74</v>
      </c>
      <c r="I215" t="s">
        <v>4217</v>
      </c>
      <c r="J215" t="s">
        <v>4218</v>
      </c>
      <c r="K215" t="s">
        <v>74</v>
      </c>
      <c r="L215" t="s">
        <v>74</v>
      </c>
      <c r="M215" t="s">
        <v>78</v>
      </c>
      <c r="N215" t="s">
        <v>79</v>
      </c>
      <c r="O215" t="s">
        <v>74</v>
      </c>
      <c r="P215" t="s">
        <v>74</v>
      </c>
      <c r="Q215" t="s">
        <v>74</v>
      </c>
      <c r="R215" t="s">
        <v>74</v>
      </c>
      <c r="S215" t="s">
        <v>74</v>
      </c>
      <c r="T215" t="s">
        <v>4219</v>
      </c>
      <c r="U215" t="s">
        <v>4220</v>
      </c>
      <c r="V215" t="s">
        <v>4221</v>
      </c>
      <c r="W215" t="s">
        <v>4222</v>
      </c>
      <c r="X215" t="s">
        <v>4223</v>
      </c>
      <c r="Y215" t="s">
        <v>4224</v>
      </c>
      <c r="Z215" t="s">
        <v>4225</v>
      </c>
      <c r="AA215" t="s">
        <v>4226</v>
      </c>
      <c r="AB215" t="s">
        <v>4227</v>
      </c>
      <c r="AC215" t="s">
        <v>74</v>
      </c>
      <c r="AD215" t="s">
        <v>74</v>
      </c>
      <c r="AE215" t="s">
        <v>74</v>
      </c>
      <c r="AF215" t="s">
        <v>74</v>
      </c>
      <c r="AG215">
        <v>29</v>
      </c>
      <c r="AH215">
        <v>6</v>
      </c>
      <c r="AI215">
        <v>6</v>
      </c>
      <c r="AJ215">
        <v>1</v>
      </c>
      <c r="AK215">
        <v>7</v>
      </c>
      <c r="AL215" t="s">
        <v>4228</v>
      </c>
      <c r="AM215" t="s">
        <v>4229</v>
      </c>
      <c r="AN215" t="s">
        <v>4230</v>
      </c>
      <c r="AO215" t="s">
        <v>4231</v>
      </c>
      <c r="AP215" t="s">
        <v>74</v>
      </c>
      <c r="AQ215" t="s">
        <v>74</v>
      </c>
      <c r="AR215" t="s">
        <v>4232</v>
      </c>
      <c r="AS215" t="s">
        <v>4233</v>
      </c>
      <c r="AT215" t="s">
        <v>74</v>
      </c>
      <c r="AU215">
        <v>2017</v>
      </c>
      <c r="AV215">
        <v>26</v>
      </c>
      <c r="AW215" t="s">
        <v>74</v>
      </c>
      <c r="AX215" t="s">
        <v>74</v>
      </c>
      <c r="AY215">
        <v>4</v>
      </c>
      <c r="AZ215" t="s">
        <v>74</v>
      </c>
      <c r="BA215" t="s">
        <v>74</v>
      </c>
      <c r="BB215">
        <v>45</v>
      </c>
      <c r="BC215">
        <v>50</v>
      </c>
      <c r="BD215" t="s">
        <v>74</v>
      </c>
      <c r="BE215" t="s">
        <v>74</v>
      </c>
      <c r="BF215" t="s">
        <v>74</v>
      </c>
      <c r="BG215" t="s">
        <v>74</v>
      </c>
      <c r="BH215" t="s">
        <v>74</v>
      </c>
      <c r="BI215">
        <v>6</v>
      </c>
      <c r="BJ215" t="s">
        <v>4234</v>
      </c>
      <c r="BK215" t="s">
        <v>1918</v>
      </c>
      <c r="BL215" t="s">
        <v>4235</v>
      </c>
      <c r="BM215" t="s">
        <v>4236</v>
      </c>
      <c r="BN215" t="s">
        <v>74</v>
      </c>
      <c r="BO215" t="s">
        <v>74</v>
      </c>
      <c r="BP215" t="s">
        <v>74</v>
      </c>
      <c r="BQ215" t="s">
        <v>74</v>
      </c>
      <c r="BR215" t="s">
        <v>105</v>
      </c>
      <c r="BS215" t="s">
        <v>4237</v>
      </c>
      <c r="BT215" t="str">
        <f>HYPERLINK("https%3A%2F%2Fwww.webofscience.com%2Fwos%2Fwoscc%2Ffull-record%2FWOS:000426887300009","View Full Record in Web of Science")</f>
        <v>View Full Record in Web of Science</v>
      </c>
    </row>
    <row r="216" spans="1:72" x14ac:dyDescent="0.15">
      <c r="A216" t="s">
        <v>1823</v>
      </c>
      <c r="B216" t="s">
        <v>4238</v>
      </c>
      <c r="C216" t="s">
        <v>74</v>
      </c>
      <c r="D216" t="s">
        <v>4239</v>
      </c>
      <c r="E216" t="s">
        <v>74</v>
      </c>
      <c r="F216" t="s">
        <v>4240</v>
      </c>
      <c r="G216" t="s">
        <v>74</v>
      </c>
      <c r="H216" t="s">
        <v>74</v>
      </c>
      <c r="I216" t="s">
        <v>4241</v>
      </c>
      <c r="J216" t="s">
        <v>4242</v>
      </c>
      <c r="K216" t="s">
        <v>4243</v>
      </c>
      <c r="L216" t="s">
        <v>74</v>
      </c>
      <c r="M216" t="s">
        <v>78</v>
      </c>
      <c r="N216" t="s">
        <v>1829</v>
      </c>
      <c r="O216" t="s">
        <v>4244</v>
      </c>
      <c r="P216" t="s">
        <v>4245</v>
      </c>
      <c r="Q216" t="s">
        <v>4246</v>
      </c>
      <c r="R216" t="s">
        <v>74</v>
      </c>
      <c r="S216" t="s">
        <v>74</v>
      </c>
      <c r="T216" t="s">
        <v>74</v>
      </c>
      <c r="U216" t="s">
        <v>4247</v>
      </c>
      <c r="V216" t="s">
        <v>4248</v>
      </c>
      <c r="W216" t="s">
        <v>4249</v>
      </c>
      <c r="X216" t="s">
        <v>4250</v>
      </c>
      <c r="Y216" t="s">
        <v>4251</v>
      </c>
      <c r="Z216" t="s">
        <v>4252</v>
      </c>
      <c r="AA216" t="s">
        <v>74</v>
      </c>
      <c r="AB216" t="s">
        <v>4253</v>
      </c>
      <c r="AC216" t="s">
        <v>4254</v>
      </c>
      <c r="AD216" t="s">
        <v>4255</v>
      </c>
      <c r="AE216" t="s">
        <v>4256</v>
      </c>
      <c r="AF216" t="s">
        <v>74</v>
      </c>
      <c r="AG216">
        <v>10</v>
      </c>
      <c r="AH216">
        <v>1</v>
      </c>
      <c r="AI216">
        <v>1</v>
      </c>
      <c r="AJ216">
        <v>1</v>
      </c>
      <c r="AK216">
        <v>1</v>
      </c>
      <c r="AL216" t="s">
        <v>4257</v>
      </c>
      <c r="AM216" t="s">
        <v>4258</v>
      </c>
      <c r="AN216" t="s">
        <v>4259</v>
      </c>
      <c r="AO216" t="s">
        <v>4260</v>
      </c>
      <c r="AP216" t="s">
        <v>74</v>
      </c>
      <c r="AQ216" t="s">
        <v>4261</v>
      </c>
      <c r="AR216" t="s">
        <v>4262</v>
      </c>
      <c r="AS216" t="s">
        <v>74</v>
      </c>
      <c r="AT216" t="s">
        <v>74</v>
      </c>
      <c r="AU216">
        <v>2017</v>
      </c>
      <c r="AV216">
        <v>152</v>
      </c>
      <c r="AW216" t="s">
        <v>74</v>
      </c>
      <c r="AX216" t="s">
        <v>74</v>
      </c>
      <c r="AY216" t="s">
        <v>74</v>
      </c>
      <c r="AZ216" t="s">
        <v>74</v>
      </c>
      <c r="BA216" t="s">
        <v>74</v>
      </c>
      <c r="BB216" t="s">
        <v>74</v>
      </c>
      <c r="BC216" t="s">
        <v>74</v>
      </c>
      <c r="BD216">
        <v>2010</v>
      </c>
      <c r="BE216" t="s">
        <v>4263</v>
      </c>
      <c r="BF216" t="str">
        <f>HYPERLINK("http://dx.doi.org/10.1051/epjconf/201715202010","http://dx.doi.org/10.1051/epjconf/201715202010")</f>
        <v>http://dx.doi.org/10.1051/epjconf/201715202010</v>
      </c>
      <c r="BG216" t="s">
        <v>74</v>
      </c>
      <c r="BH216" t="s">
        <v>74</v>
      </c>
      <c r="BI216">
        <v>3</v>
      </c>
      <c r="BJ216" t="s">
        <v>2635</v>
      </c>
      <c r="BK216" t="s">
        <v>1844</v>
      </c>
      <c r="BL216" t="s">
        <v>2635</v>
      </c>
      <c r="BM216" t="s">
        <v>4264</v>
      </c>
      <c r="BN216" t="s">
        <v>74</v>
      </c>
      <c r="BO216" t="s">
        <v>150</v>
      </c>
      <c r="BP216" t="s">
        <v>74</v>
      </c>
      <c r="BQ216" t="s">
        <v>74</v>
      </c>
      <c r="BR216" t="s">
        <v>105</v>
      </c>
      <c r="BS216" t="s">
        <v>4265</v>
      </c>
      <c r="BT216" t="str">
        <f>HYPERLINK("https%3A%2F%2Fwww.webofscience.com%2Fwos%2Fwoscc%2Ffull-record%2FWOS:000426610100037","View Full Record in Web of Science")</f>
        <v>View Full Record in Web of Science</v>
      </c>
    </row>
    <row r="217" spans="1:72" x14ac:dyDescent="0.15">
      <c r="A217" t="s">
        <v>1823</v>
      </c>
      <c r="B217" t="s">
        <v>4266</v>
      </c>
      <c r="C217" t="s">
        <v>74</v>
      </c>
      <c r="D217" t="s">
        <v>4267</v>
      </c>
      <c r="E217" t="s">
        <v>74</v>
      </c>
      <c r="F217" t="s">
        <v>4268</v>
      </c>
      <c r="G217" t="s">
        <v>74</v>
      </c>
      <c r="H217" t="s">
        <v>74</v>
      </c>
      <c r="I217" t="s">
        <v>4269</v>
      </c>
      <c r="J217" t="s">
        <v>4270</v>
      </c>
      <c r="K217" t="s">
        <v>74</v>
      </c>
      <c r="L217" t="s">
        <v>74</v>
      </c>
      <c r="M217" t="s">
        <v>78</v>
      </c>
      <c r="N217" t="s">
        <v>1829</v>
      </c>
      <c r="O217" t="s">
        <v>4271</v>
      </c>
      <c r="P217" t="s">
        <v>4272</v>
      </c>
      <c r="Q217" t="s">
        <v>4273</v>
      </c>
      <c r="R217" t="s">
        <v>74</v>
      </c>
      <c r="S217" t="s">
        <v>74</v>
      </c>
      <c r="T217" t="s">
        <v>74</v>
      </c>
      <c r="U217" t="s">
        <v>74</v>
      </c>
      <c r="V217" t="s">
        <v>4274</v>
      </c>
      <c r="W217" t="s">
        <v>4275</v>
      </c>
      <c r="X217" t="s">
        <v>4276</v>
      </c>
      <c r="Y217" t="s">
        <v>4277</v>
      </c>
      <c r="Z217" t="s">
        <v>4278</v>
      </c>
      <c r="AA217" t="s">
        <v>74</v>
      </c>
      <c r="AB217" t="s">
        <v>74</v>
      </c>
      <c r="AC217" t="s">
        <v>4279</v>
      </c>
      <c r="AD217" t="s">
        <v>4280</v>
      </c>
      <c r="AE217" t="s">
        <v>4281</v>
      </c>
      <c r="AF217" t="s">
        <v>74</v>
      </c>
      <c r="AG217">
        <v>9</v>
      </c>
      <c r="AH217">
        <v>1</v>
      </c>
      <c r="AI217">
        <v>1</v>
      </c>
      <c r="AJ217">
        <v>0</v>
      </c>
      <c r="AK217">
        <v>4</v>
      </c>
      <c r="AL217" t="s">
        <v>4282</v>
      </c>
      <c r="AM217" t="s">
        <v>187</v>
      </c>
      <c r="AN217" t="s">
        <v>4283</v>
      </c>
      <c r="AO217" t="s">
        <v>74</v>
      </c>
      <c r="AP217" t="s">
        <v>74</v>
      </c>
      <c r="AQ217" t="s">
        <v>4284</v>
      </c>
      <c r="AR217" t="s">
        <v>74</v>
      </c>
      <c r="AS217" t="s">
        <v>74</v>
      </c>
      <c r="AT217" t="s">
        <v>74</v>
      </c>
      <c r="AU217">
        <v>2017</v>
      </c>
      <c r="AV217" t="s">
        <v>74</v>
      </c>
      <c r="AW217" t="s">
        <v>74</v>
      </c>
      <c r="AX217" t="s">
        <v>74</v>
      </c>
      <c r="AY217" t="s">
        <v>74</v>
      </c>
      <c r="AZ217" t="s">
        <v>74</v>
      </c>
      <c r="BA217" t="s">
        <v>74</v>
      </c>
      <c r="BB217">
        <v>161</v>
      </c>
      <c r="BC217">
        <v>172</v>
      </c>
      <c r="BD217" t="s">
        <v>74</v>
      </c>
      <c r="BE217" t="s">
        <v>74</v>
      </c>
      <c r="BF217" t="s">
        <v>74</v>
      </c>
      <c r="BG217" t="s">
        <v>74</v>
      </c>
      <c r="BH217" t="s">
        <v>74</v>
      </c>
      <c r="BI217">
        <v>12</v>
      </c>
      <c r="BJ217" t="s">
        <v>4285</v>
      </c>
      <c r="BK217" t="s">
        <v>1844</v>
      </c>
      <c r="BL217" t="s">
        <v>4286</v>
      </c>
      <c r="BM217" t="s">
        <v>4287</v>
      </c>
      <c r="BN217" t="s">
        <v>74</v>
      </c>
      <c r="BO217" t="s">
        <v>74</v>
      </c>
      <c r="BP217" t="s">
        <v>74</v>
      </c>
      <c r="BQ217" t="s">
        <v>74</v>
      </c>
      <c r="BR217" t="s">
        <v>105</v>
      </c>
      <c r="BS217" t="s">
        <v>4288</v>
      </c>
      <c r="BT217" t="str">
        <f>HYPERLINK("https%3A%2F%2Fwww.webofscience.com%2Fwos%2Fwoscc%2Ffull-record%2FWOS:000426801800016","View Full Record in Web of Science")</f>
        <v>View Full Record in Web of Science</v>
      </c>
    </row>
    <row r="218" spans="1:72" x14ac:dyDescent="0.15">
      <c r="A218" t="s">
        <v>1823</v>
      </c>
      <c r="B218" t="s">
        <v>4289</v>
      </c>
      <c r="C218" t="s">
        <v>74</v>
      </c>
      <c r="D218" t="s">
        <v>74</v>
      </c>
      <c r="E218" t="s">
        <v>4290</v>
      </c>
      <c r="F218" t="s">
        <v>4291</v>
      </c>
      <c r="G218" t="s">
        <v>74</v>
      </c>
      <c r="H218" t="s">
        <v>74</v>
      </c>
      <c r="I218" t="s">
        <v>4292</v>
      </c>
      <c r="J218" t="s">
        <v>4293</v>
      </c>
      <c r="K218" t="s">
        <v>4294</v>
      </c>
      <c r="L218" t="s">
        <v>74</v>
      </c>
      <c r="M218" t="s">
        <v>78</v>
      </c>
      <c r="N218" t="s">
        <v>1829</v>
      </c>
      <c r="O218" t="s">
        <v>4295</v>
      </c>
      <c r="P218" t="s">
        <v>4202</v>
      </c>
      <c r="Q218" t="s">
        <v>4296</v>
      </c>
      <c r="R218" t="s">
        <v>74</v>
      </c>
      <c r="S218" t="s">
        <v>74</v>
      </c>
      <c r="T218" t="s">
        <v>74</v>
      </c>
      <c r="U218" t="s">
        <v>74</v>
      </c>
      <c r="V218" t="s">
        <v>4297</v>
      </c>
      <c r="W218" t="s">
        <v>4298</v>
      </c>
      <c r="X218" t="s">
        <v>4299</v>
      </c>
      <c r="Y218" t="s">
        <v>4300</v>
      </c>
      <c r="Z218" t="s">
        <v>4301</v>
      </c>
      <c r="AA218" t="s">
        <v>4302</v>
      </c>
      <c r="AB218" t="s">
        <v>4303</v>
      </c>
      <c r="AC218" t="s">
        <v>74</v>
      </c>
      <c r="AD218" t="s">
        <v>74</v>
      </c>
      <c r="AE218" t="s">
        <v>74</v>
      </c>
      <c r="AF218" t="s">
        <v>74</v>
      </c>
      <c r="AG218">
        <v>18</v>
      </c>
      <c r="AH218">
        <v>1</v>
      </c>
      <c r="AI218">
        <v>1</v>
      </c>
      <c r="AJ218">
        <v>0</v>
      </c>
      <c r="AK218">
        <v>7</v>
      </c>
      <c r="AL218" t="s">
        <v>4304</v>
      </c>
      <c r="AM218" t="s">
        <v>4305</v>
      </c>
      <c r="AN218" t="s">
        <v>4306</v>
      </c>
      <c r="AO218" t="s">
        <v>4307</v>
      </c>
      <c r="AP218" t="s">
        <v>74</v>
      </c>
      <c r="AQ218" t="s">
        <v>74</v>
      </c>
      <c r="AR218" t="s">
        <v>4308</v>
      </c>
      <c r="AS218" t="s">
        <v>4309</v>
      </c>
      <c r="AT218" t="s">
        <v>74</v>
      </c>
      <c r="AU218">
        <v>2017</v>
      </c>
      <c r="AV218">
        <v>95</v>
      </c>
      <c r="AW218" t="s">
        <v>74</v>
      </c>
      <c r="AX218" t="s">
        <v>74</v>
      </c>
      <c r="AY218" t="s">
        <v>74</v>
      </c>
      <c r="AZ218" t="s">
        <v>74</v>
      </c>
      <c r="BA218" t="s">
        <v>74</v>
      </c>
      <c r="BB218" t="s">
        <v>74</v>
      </c>
      <c r="BC218" t="s">
        <v>74</v>
      </c>
      <c r="BD218">
        <v>22015</v>
      </c>
      <c r="BE218" t="s">
        <v>4310</v>
      </c>
      <c r="BF218" t="str">
        <f>HYPERLINK("http://dx.doi.org/10.1088/1755-1315/95/2/022015","http://dx.doi.org/10.1088/1755-1315/95/2/022015")</f>
        <v>http://dx.doi.org/10.1088/1755-1315/95/2/022015</v>
      </c>
      <c r="BG218" t="s">
        <v>74</v>
      </c>
      <c r="BH218" t="s">
        <v>74</v>
      </c>
      <c r="BI218">
        <v>8</v>
      </c>
      <c r="BJ218" t="s">
        <v>669</v>
      </c>
      <c r="BK218" t="s">
        <v>1844</v>
      </c>
      <c r="BL218" t="s">
        <v>670</v>
      </c>
      <c r="BM218" t="s">
        <v>4311</v>
      </c>
      <c r="BN218" t="s">
        <v>74</v>
      </c>
      <c r="BO218" t="s">
        <v>941</v>
      </c>
      <c r="BP218" t="s">
        <v>74</v>
      </c>
      <c r="BQ218" t="s">
        <v>74</v>
      </c>
      <c r="BR218" t="s">
        <v>105</v>
      </c>
      <c r="BS218" t="s">
        <v>4312</v>
      </c>
      <c r="BT218" t="str">
        <f>HYPERLINK("https%3A%2F%2Fwww.webofscience.com%2Fwos%2Fwoscc%2Ffull-record%2FWOS:000426768500015","View Full Record in Web of Science")</f>
        <v>View Full Record in Web of Science</v>
      </c>
    </row>
    <row r="219" spans="1:72" x14ac:dyDescent="0.15">
      <c r="A219" t="s">
        <v>1823</v>
      </c>
      <c r="B219" t="s">
        <v>4313</v>
      </c>
      <c r="C219" t="s">
        <v>74</v>
      </c>
      <c r="D219" t="s">
        <v>74</v>
      </c>
      <c r="E219" t="s">
        <v>1825</v>
      </c>
      <c r="F219" t="s">
        <v>4314</v>
      </c>
      <c r="G219" t="s">
        <v>74</v>
      </c>
      <c r="H219" t="s">
        <v>74</v>
      </c>
      <c r="I219" t="s">
        <v>4315</v>
      </c>
      <c r="J219" t="s">
        <v>4316</v>
      </c>
      <c r="K219" t="s">
        <v>4317</v>
      </c>
      <c r="L219" t="s">
        <v>74</v>
      </c>
      <c r="M219" t="s">
        <v>78</v>
      </c>
      <c r="N219" t="s">
        <v>1829</v>
      </c>
      <c r="O219" t="s">
        <v>4318</v>
      </c>
      <c r="P219" t="s">
        <v>4319</v>
      </c>
      <c r="Q219" t="s">
        <v>4320</v>
      </c>
      <c r="R219" t="s">
        <v>74</v>
      </c>
      <c r="S219" t="s">
        <v>74</v>
      </c>
      <c r="T219" t="s">
        <v>74</v>
      </c>
      <c r="U219" t="s">
        <v>74</v>
      </c>
      <c r="V219" t="s">
        <v>4321</v>
      </c>
      <c r="W219" t="s">
        <v>4322</v>
      </c>
      <c r="X219" t="s">
        <v>4323</v>
      </c>
      <c r="Y219" t="s">
        <v>4324</v>
      </c>
      <c r="Z219" t="s">
        <v>4325</v>
      </c>
      <c r="AA219" t="s">
        <v>74</v>
      </c>
      <c r="AB219" t="s">
        <v>4326</v>
      </c>
      <c r="AC219" t="s">
        <v>74</v>
      </c>
      <c r="AD219" t="s">
        <v>74</v>
      </c>
      <c r="AE219" t="s">
        <v>74</v>
      </c>
      <c r="AF219" t="s">
        <v>74</v>
      </c>
      <c r="AG219">
        <v>12</v>
      </c>
      <c r="AH219">
        <v>0</v>
      </c>
      <c r="AI219">
        <v>0</v>
      </c>
      <c r="AJ219">
        <v>0</v>
      </c>
      <c r="AK219">
        <v>0</v>
      </c>
      <c r="AL219" t="s">
        <v>1825</v>
      </c>
      <c r="AM219" t="s">
        <v>187</v>
      </c>
      <c r="AN219" t="s">
        <v>1842</v>
      </c>
      <c r="AO219" t="s">
        <v>4327</v>
      </c>
      <c r="AP219" t="s">
        <v>74</v>
      </c>
      <c r="AQ219" t="s">
        <v>4328</v>
      </c>
      <c r="AR219" t="s">
        <v>4329</v>
      </c>
      <c r="AS219" t="s">
        <v>74</v>
      </c>
      <c r="AT219" t="s">
        <v>74</v>
      </c>
      <c r="AU219">
        <v>2017</v>
      </c>
      <c r="AV219" t="s">
        <v>74</v>
      </c>
      <c r="AW219" t="s">
        <v>74</v>
      </c>
      <c r="AX219" t="s">
        <v>74</v>
      </c>
      <c r="AY219" t="s">
        <v>74</v>
      </c>
      <c r="AZ219" t="s">
        <v>74</v>
      </c>
      <c r="BA219" t="s">
        <v>74</v>
      </c>
      <c r="BB219">
        <v>63</v>
      </c>
      <c r="BC219">
        <v>68</v>
      </c>
      <c r="BD219" t="s">
        <v>74</v>
      </c>
      <c r="BE219" t="s">
        <v>74</v>
      </c>
      <c r="BF219" t="s">
        <v>74</v>
      </c>
      <c r="BG219" t="s">
        <v>74</v>
      </c>
      <c r="BH219" t="s">
        <v>74</v>
      </c>
      <c r="BI219">
        <v>6</v>
      </c>
      <c r="BJ219" t="s">
        <v>4330</v>
      </c>
      <c r="BK219" t="s">
        <v>1844</v>
      </c>
      <c r="BL219" t="s">
        <v>4019</v>
      </c>
      <c r="BM219" t="s">
        <v>4331</v>
      </c>
      <c r="BN219" t="s">
        <v>74</v>
      </c>
      <c r="BO219" t="s">
        <v>74</v>
      </c>
      <c r="BP219" t="s">
        <v>74</v>
      </c>
      <c r="BQ219" t="s">
        <v>74</v>
      </c>
      <c r="BR219" t="s">
        <v>105</v>
      </c>
      <c r="BS219" t="s">
        <v>4332</v>
      </c>
      <c r="BT219" t="str">
        <f>HYPERLINK("https%3A%2F%2Fwww.webofscience.com%2Fwos%2Fwoscc%2Ffull-record%2FWOS:000426731600012","View Full Record in Web of Science")</f>
        <v>View Full Record in Web of Science</v>
      </c>
    </row>
    <row r="220" spans="1:72" x14ac:dyDescent="0.15">
      <c r="A220" t="s">
        <v>1823</v>
      </c>
      <c r="B220" t="s">
        <v>4333</v>
      </c>
      <c r="C220" t="s">
        <v>74</v>
      </c>
      <c r="D220" t="s">
        <v>74</v>
      </c>
      <c r="E220" t="s">
        <v>1825</v>
      </c>
      <c r="F220" t="s">
        <v>4334</v>
      </c>
      <c r="G220" t="s">
        <v>74</v>
      </c>
      <c r="H220" t="s">
        <v>74</v>
      </c>
      <c r="I220" t="s">
        <v>4335</v>
      </c>
      <c r="J220" t="s">
        <v>4336</v>
      </c>
      <c r="K220" t="s">
        <v>4337</v>
      </c>
      <c r="L220" t="s">
        <v>74</v>
      </c>
      <c r="M220" t="s">
        <v>78</v>
      </c>
      <c r="N220" t="s">
        <v>1829</v>
      </c>
      <c r="O220" t="s">
        <v>4338</v>
      </c>
      <c r="P220" t="s">
        <v>4339</v>
      </c>
      <c r="Q220" t="s">
        <v>4340</v>
      </c>
      <c r="R220" t="s">
        <v>74</v>
      </c>
      <c r="S220" t="s">
        <v>74</v>
      </c>
      <c r="T220" t="s">
        <v>4341</v>
      </c>
      <c r="U220" t="s">
        <v>74</v>
      </c>
      <c r="V220" t="s">
        <v>4342</v>
      </c>
      <c r="W220" t="s">
        <v>4343</v>
      </c>
      <c r="X220" t="s">
        <v>4344</v>
      </c>
      <c r="Y220" t="s">
        <v>4345</v>
      </c>
      <c r="Z220" t="s">
        <v>74</v>
      </c>
      <c r="AA220" t="s">
        <v>74</v>
      </c>
      <c r="AB220" t="s">
        <v>4346</v>
      </c>
      <c r="AC220" t="s">
        <v>4347</v>
      </c>
      <c r="AD220" t="s">
        <v>4348</v>
      </c>
      <c r="AE220" t="s">
        <v>4349</v>
      </c>
      <c r="AF220" t="s">
        <v>74</v>
      </c>
      <c r="AG220">
        <v>5</v>
      </c>
      <c r="AH220">
        <v>0</v>
      </c>
      <c r="AI220">
        <v>0</v>
      </c>
      <c r="AJ220">
        <v>0</v>
      </c>
      <c r="AK220">
        <v>3</v>
      </c>
      <c r="AL220" t="s">
        <v>1825</v>
      </c>
      <c r="AM220" t="s">
        <v>187</v>
      </c>
      <c r="AN220" t="s">
        <v>1842</v>
      </c>
      <c r="AO220" t="s">
        <v>4350</v>
      </c>
      <c r="AP220" t="s">
        <v>4351</v>
      </c>
      <c r="AQ220" t="s">
        <v>4352</v>
      </c>
      <c r="AR220" t="s">
        <v>4353</v>
      </c>
      <c r="AS220" t="s">
        <v>74</v>
      </c>
      <c r="AT220" t="s">
        <v>74</v>
      </c>
      <c r="AU220">
        <v>2017</v>
      </c>
      <c r="AV220" t="s">
        <v>74</v>
      </c>
      <c r="AW220" t="s">
        <v>74</v>
      </c>
      <c r="AX220" t="s">
        <v>74</v>
      </c>
      <c r="AY220" t="s">
        <v>74</v>
      </c>
      <c r="AZ220" t="s">
        <v>74</v>
      </c>
      <c r="BA220" t="s">
        <v>74</v>
      </c>
      <c r="BB220">
        <v>1746</v>
      </c>
      <c r="BC220">
        <v>1749</v>
      </c>
      <c r="BD220" t="s">
        <v>74</v>
      </c>
      <c r="BE220" t="s">
        <v>74</v>
      </c>
      <c r="BF220" t="s">
        <v>74</v>
      </c>
      <c r="BG220" t="s">
        <v>74</v>
      </c>
      <c r="BH220" t="s">
        <v>74</v>
      </c>
      <c r="BI220">
        <v>4</v>
      </c>
      <c r="BJ220" t="s">
        <v>4018</v>
      </c>
      <c r="BK220" t="s">
        <v>1844</v>
      </c>
      <c r="BL220" t="s">
        <v>4019</v>
      </c>
      <c r="BM220" t="s">
        <v>4354</v>
      </c>
      <c r="BN220" t="s">
        <v>74</v>
      </c>
      <c r="BO220" t="s">
        <v>4355</v>
      </c>
      <c r="BP220" t="s">
        <v>74</v>
      </c>
      <c r="BQ220" t="s">
        <v>74</v>
      </c>
      <c r="BR220" t="s">
        <v>105</v>
      </c>
      <c r="BS220" t="s">
        <v>4356</v>
      </c>
      <c r="BT220" t="str">
        <f>HYPERLINK("https%3A%2F%2Fwww.webofscience.com%2Fwos%2Fwoscc%2Ffull-record%2FWOS:000425241500470","View Full Record in Web of Science")</f>
        <v>View Full Record in Web of Science</v>
      </c>
    </row>
    <row r="221" spans="1:72" x14ac:dyDescent="0.15">
      <c r="A221" t="s">
        <v>1823</v>
      </c>
      <c r="B221" t="s">
        <v>4357</v>
      </c>
      <c r="C221" t="s">
        <v>74</v>
      </c>
      <c r="D221" t="s">
        <v>4358</v>
      </c>
      <c r="E221" t="s">
        <v>74</v>
      </c>
      <c r="F221" t="s">
        <v>4359</v>
      </c>
      <c r="G221" t="s">
        <v>74</v>
      </c>
      <c r="H221" t="s">
        <v>74</v>
      </c>
      <c r="I221" t="s">
        <v>4360</v>
      </c>
      <c r="J221" t="s">
        <v>4361</v>
      </c>
      <c r="K221" t="s">
        <v>4362</v>
      </c>
      <c r="L221" t="s">
        <v>74</v>
      </c>
      <c r="M221" t="s">
        <v>78</v>
      </c>
      <c r="N221" t="s">
        <v>1829</v>
      </c>
      <c r="O221" t="s">
        <v>4363</v>
      </c>
      <c r="P221" t="s">
        <v>4364</v>
      </c>
      <c r="Q221" t="s">
        <v>4365</v>
      </c>
      <c r="R221" t="s">
        <v>74</v>
      </c>
      <c r="S221" t="s">
        <v>74</v>
      </c>
      <c r="T221" t="s">
        <v>4366</v>
      </c>
      <c r="U221" t="s">
        <v>74</v>
      </c>
      <c r="V221" t="s">
        <v>4367</v>
      </c>
      <c r="W221" t="s">
        <v>4368</v>
      </c>
      <c r="X221" t="s">
        <v>4369</v>
      </c>
      <c r="Y221" t="s">
        <v>4370</v>
      </c>
      <c r="Z221" t="s">
        <v>4371</v>
      </c>
      <c r="AA221" t="s">
        <v>4372</v>
      </c>
      <c r="AB221" t="s">
        <v>74</v>
      </c>
      <c r="AC221" t="s">
        <v>4373</v>
      </c>
      <c r="AD221" t="s">
        <v>4374</v>
      </c>
      <c r="AE221" t="s">
        <v>4375</v>
      </c>
      <c r="AF221" t="s">
        <v>74</v>
      </c>
      <c r="AG221">
        <v>2</v>
      </c>
      <c r="AH221">
        <v>0</v>
      </c>
      <c r="AI221">
        <v>0</v>
      </c>
      <c r="AJ221">
        <v>0</v>
      </c>
      <c r="AK221">
        <v>3</v>
      </c>
      <c r="AL221" t="s">
        <v>4376</v>
      </c>
      <c r="AM221" t="s">
        <v>4377</v>
      </c>
      <c r="AN221" t="s">
        <v>4378</v>
      </c>
      <c r="AO221" t="s">
        <v>4379</v>
      </c>
      <c r="AP221" t="s">
        <v>74</v>
      </c>
      <c r="AQ221" t="s">
        <v>4380</v>
      </c>
      <c r="AR221" t="s">
        <v>4381</v>
      </c>
      <c r="AS221" t="s">
        <v>74</v>
      </c>
      <c r="AT221" t="s">
        <v>74</v>
      </c>
      <c r="AU221">
        <v>2017</v>
      </c>
      <c r="AV221">
        <v>125</v>
      </c>
      <c r="AW221" t="s">
        <v>74</v>
      </c>
      <c r="AX221" t="s">
        <v>74</v>
      </c>
      <c r="AY221" t="s">
        <v>74</v>
      </c>
      <c r="AZ221" t="s">
        <v>74</v>
      </c>
      <c r="BA221" t="s">
        <v>74</v>
      </c>
      <c r="BB221">
        <v>154</v>
      </c>
      <c r="BC221">
        <v>158</v>
      </c>
      <c r="BD221" t="s">
        <v>74</v>
      </c>
      <c r="BE221" t="s">
        <v>74</v>
      </c>
      <c r="BF221" t="s">
        <v>74</v>
      </c>
      <c r="BG221" t="s">
        <v>74</v>
      </c>
      <c r="BH221" t="s">
        <v>74</v>
      </c>
      <c r="BI221">
        <v>5</v>
      </c>
      <c r="BJ221" t="s">
        <v>4382</v>
      </c>
      <c r="BK221" t="s">
        <v>1844</v>
      </c>
      <c r="BL221" t="s">
        <v>4383</v>
      </c>
      <c r="BM221" t="s">
        <v>4384</v>
      </c>
      <c r="BN221" t="s">
        <v>74</v>
      </c>
      <c r="BO221" t="s">
        <v>74</v>
      </c>
      <c r="BP221" t="s">
        <v>74</v>
      </c>
      <c r="BQ221" t="s">
        <v>74</v>
      </c>
      <c r="BR221" t="s">
        <v>105</v>
      </c>
      <c r="BS221" t="s">
        <v>4385</v>
      </c>
      <c r="BT221" t="str">
        <f>HYPERLINK("https%3A%2F%2Fwww.webofscience.com%2Fwos%2Fwoscc%2Ffull-record%2FWOS:000426684400029","View Full Record in Web of Science")</f>
        <v>View Full Record in Web of Science</v>
      </c>
    </row>
    <row r="222" spans="1:72" x14ac:dyDescent="0.15">
      <c r="A222" t="s">
        <v>1823</v>
      </c>
      <c r="B222" t="s">
        <v>4386</v>
      </c>
      <c r="C222" t="s">
        <v>74</v>
      </c>
      <c r="D222" t="s">
        <v>4387</v>
      </c>
      <c r="E222" t="s">
        <v>74</v>
      </c>
      <c r="F222" t="s">
        <v>4388</v>
      </c>
      <c r="G222" t="s">
        <v>74</v>
      </c>
      <c r="H222" t="s">
        <v>74</v>
      </c>
      <c r="I222" t="s">
        <v>4389</v>
      </c>
      <c r="J222" t="s">
        <v>4390</v>
      </c>
      <c r="K222" t="s">
        <v>4391</v>
      </c>
      <c r="L222" t="s">
        <v>74</v>
      </c>
      <c r="M222" t="s">
        <v>78</v>
      </c>
      <c r="N222" t="s">
        <v>1829</v>
      </c>
      <c r="O222" t="s">
        <v>4392</v>
      </c>
      <c r="P222" t="s">
        <v>4393</v>
      </c>
      <c r="Q222" t="s">
        <v>4394</v>
      </c>
      <c r="R222" t="s">
        <v>74</v>
      </c>
      <c r="S222" t="s">
        <v>74</v>
      </c>
      <c r="T222" t="s">
        <v>4395</v>
      </c>
      <c r="U222" t="s">
        <v>74</v>
      </c>
      <c r="V222" t="s">
        <v>4396</v>
      </c>
      <c r="W222" t="s">
        <v>4397</v>
      </c>
      <c r="X222" t="s">
        <v>4398</v>
      </c>
      <c r="Y222" t="s">
        <v>4399</v>
      </c>
      <c r="Z222" t="s">
        <v>4400</v>
      </c>
      <c r="AA222" t="s">
        <v>74</v>
      </c>
      <c r="AB222" t="s">
        <v>74</v>
      </c>
      <c r="AC222" t="s">
        <v>4401</v>
      </c>
      <c r="AD222" t="s">
        <v>4402</v>
      </c>
      <c r="AE222" t="s">
        <v>4403</v>
      </c>
      <c r="AF222" t="s">
        <v>74</v>
      </c>
      <c r="AG222">
        <v>18</v>
      </c>
      <c r="AH222">
        <v>0</v>
      </c>
      <c r="AI222">
        <v>0</v>
      </c>
      <c r="AJ222">
        <v>0</v>
      </c>
      <c r="AK222">
        <v>1</v>
      </c>
      <c r="AL222" t="s">
        <v>1825</v>
      </c>
      <c r="AM222" t="s">
        <v>187</v>
      </c>
      <c r="AN222" t="s">
        <v>1842</v>
      </c>
      <c r="AO222" t="s">
        <v>4404</v>
      </c>
      <c r="AP222" t="s">
        <v>74</v>
      </c>
      <c r="AQ222" t="s">
        <v>4405</v>
      </c>
      <c r="AR222" t="s">
        <v>4406</v>
      </c>
      <c r="AS222" t="s">
        <v>74</v>
      </c>
      <c r="AT222" t="s">
        <v>74</v>
      </c>
      <c r="AU222">
        <v>2017</v>
      </c>
      <c r="AV222" t="s">
        <v>74</v>
      </c>
      <c r="AW222" t="s">
        <v>74</v>
      </c>
      <c r="AX222" t="s">
        <v>74</v>
      </c>
      <c r="AY222" t="s">
        <v>74</v>
      </c>
      <c r="AZ222" t="s">
        <v>74</v>
      </c>
      <c r="BA222" t="s">
        <v>74</v>
      </c>
      <c r="BB222">
        <v>117</v>
      </c>
      <c r="BC222">
        <v>123</v>
      </c>
      <c r="BD222" t="s">
        <v>74</v>
      </c>
      <c r="BE222" t="s">
        <v>4407</v>
      </c>
      <c r="BF222" t="str">
        <f>HYPERLINK("http://dx.doi.org/10.1109/DCABES.2017.33","http://dx.doi.org/10.1109/DCABES.2017.33")</f>
        <v>http://dx.doi.org/10.1109/DCABES.2017.33</v>
      </c>
      <c r="BG222" t="s">
        <v>74</v>
      </c>
      <c r="BH222" t="s">
        <v>74</v>
      </c>
      <c r="BI222">
        <v>7</v>
      </c>
      <c r="BJ222" t="s">
        <v>4408</v>
      </c>
      <c r="BK222" t="s">
        <v>1844</v>
      </c>
      <c r="BL222" t="s">
        <v>4409</v>
      </c>
      <c r="BM222" t="s">
        <v>4410</v>
      </c>
      <c r="BN222" t="s">
        <v>74</v>
      </c>
      <c r="BO222" t="s">
        <v>74</v>
      </c>
      <c r="BP222" t="s">
        <v>74</v>
      </c>
      <c r="BQ222" t="s">
        <v>74</v>
      </c>
      <c r="BR222" t="s">
        <v>105</v>
      </c>
      <c r="BS222" t="s">
        <v>4411</v>
      </c>
      <c r="BT222" t="str">
        <f>HYPERLINK("https%3A%2F%2Fwww.webofscience.com%2Fwos%2Fwoscc%2Ffull-record%2FWOS:000426448700027","View Full Record in Web of Science")</f>
        <v>View Full Record in Web of Science</v>
      </c>
    </row>
    <row r="223" spans="1:72" x14ac:dyDescent="0.15">
      <c r="A223" t="s">
        <v>72</v>
      </c>
      <c r="B223" t="s">
        <v>4412</v>
      </c>
      <c r="C223" t="s">
        <v>74</v>
      </c>
      <c r="D223" t="s">
        <v>74</v>
      </c>
      <c r="E223" t="s">
        <v>74</v>
      </c>
      <c r="F223" t="s">
        <v>4413</v>
      </c>
      <c r="G223" t="s">
        <v>74</v>
      </c>
      <c r="H223" t="s">
        <v>74</v>
      </c>
      <c r="I223" t="s">
        <v>4414</v>
      </c>
      <c r="J223" t="s">
        <v>4415</v>
      </c>
      <c r="K223" t="s">
        <v>74</v>
      </c>
      <c r="L223" t="s">
        <v>74</v>
      </c>
      <c r="M223" t="s">
        <v>78</v>
      </c>
      <c r="N223" t="s">
        <v>79</v>
      </c>
      <c r="O223" t="s">
        <v>74</v>
      </c>
      <c r="P223" t="s">
        <v>74</v>
      </c>
      <c r="Q223" t="s">
        <v>74</v>
      </c>
      <c r="R223" t="s">
        <v>74</v>
      </c>
      <c r="S223" t="s">
        <v>74</v>
      </c>
      <c r="T223" t="s">
        <v>74</v>
      </c>
      <c r="U223" t="s">
        <v>74</v>
      </c>
      <c r="V223" t="s">
        <v>4416</v>
      </c>
      <c r="W223" t="s">
        <v>4417</v>
      </c>
      <c r="X223" t="s">
        <v>4418</v>
      </c>
      <c r="Y223" t="s">
        <v>4419</v>
      </c>
      <c r="Z223" t="s">
        <v>4420</v>
      </c>
      <c r="AA223" t="s">
        <v>74</v>
      </c>
      <c r="AB223" t="s">
        <v>74</v>
      </c>
      <c r="AC223" t="s">
        <v>74</v>
      </c>
      <c r="AD223" t="s">
        <v>74</v>
      </c>
      <c r="AE223" t="s">
        <v>74</v>
      </c>
      <c r="AF223" t="s">
        <v>74</v>
      </c>
      <c r="AG223">
        <v>51</v>
      </c>
      <c r="AH223">
        <v>1</v>
      </c>
      <c r="AI223">
        <v>1</v>
      </c>
      <c r="AJ223">
        <v>2</v>
      </c>
      <c r="AK223">
        <v>8</v>
      </c>
      <c r="AL223" t="s">
        <v>4421</v>
      </c>
      <c r="AM223" t="s">
        <v>4422</v>
      </c>
      <c r="AN223" t="s">
        <v>4423</v>
      </c>
      <c r="AO223" t="s">
        <v>4424</v>
      </c>
      <c r="AP223" t="s">
        <v>4425</v>
      </c>
      <c r="AQ223" t="s">
        <v>74</v>
      </c>
      <c r="AR223" t="s">
        <v>4426</v>
      </c>
      <c r="AS223" t="s">
        <v>4427</v>
      </c>
      <c r="AT223" t="s">
        <v>74</v>
      </c>
      <c r="AU223">
        <v>2017</v>
      </c>
      <c r="AV223">
        <v>42</v>
      </c>
      <c r="AW223" t="s">
        <v>4428</v>
      </c>
      <c r="AX223" t="s">
        <v>74</v>
      </c>
      <c r="AY223" t="s">
        <v>74</v>
      </c>
      <c r="AZ223" t="s">
        <v>74</v>
      </c>
      <c r="BA223" t="s">
        <v>74</v>
      </c>
      <c r="BB223">
        <v>463</v>
      </c>
      <c r="BC223">
        <v>486</v>
      </c>
      <c r="BD223" t="s">
        <v>74</v>
      </c>
      <c r="BE223" t="s">
        <v>74</v>
      </c>
      <c r="BF223" t="s">
        <v>74</v>
      </c>
      <c r="BG223" t="s">
        <v>74</v>
      </c>
      <c r="BH223" t="s">
        <v>74</v>
      </c>
      <c r="BI223">
        <v>24</v>
      </c>
      <c r="BJ223" t="s">
        <v>4429</v>
      </c>
      <c r="BK223" t="s">
        <v>2057</v>
      </c>
      <c r="BL223" t="s">
        <v>4430</v>
      </c>
      <c r="BM223" t="s">
        <v>4431</v>
      </c>
      <c r="BN223" t="s">
        <v>74</v>
      </c>
      <c r="BO223" t="s">
        <v>74</v>
      </c>
      <c r="BP223" t="s">
        <v>74</v>
      </c>
      <c r="BQ223" t="s">
        <v>74</v>
      </c>
      <c r="BR223" t="s">
        <v>105</v>
      </c>
      <c r="BS223" t="s">
        <v>4432</v>
      </c>
      <c r="BT223" t="str">
        <f>HYPERLINK("https%3A%2F%2Fwww.webofscience.com%2Fwos%2Fwoscc%2Ffull-record%2FWOS:000426169900005","View Full Record in Web of Science")</f>
        <v>View Full Record in Web of Science</v>
      </c>
    </row>
    <row r="224" spans="1:72" x14ac:dyDescent="0.15">
      <c r="A224" t="s">
        <v>1823</v>
      </c>
      <c r="B224" t="s">
        <v>4433</v>
      </c>
      <c r="C224" t="s">
        <v>74</v>
      </c>
      <c r="D224" t="s">
        <v>4434</v>
      </c>
      <c r="E224" t="s">
        <v>74</v>
      </c>
      <c r="F224" t="s">
        <v>4435</v>
      </c>
      <c r="G224" t="s">
        <v>74</v>
      </c>
      <c r="H224" t="s">
        <v>74</v>
      </c>
      <c r="I224" t="s">
        <v>4436</v>
      </c>
      <c r="J224" t="s">
        <v>4437</v>
      </c>
      <c r="K224" t="s">
        <v>3417</v>
      </c>
      <c r="L224" t="s">
        <v>74</v>
      </c>
      <c r="M224" t="s">
        <v>78</v>
      </c>
      <c r="N224" t="s">
        <v>1829</v>
      </c>
      <c r="O224" t="s">
        <v>4438</v>
      </c>
      <c r="P224" t="s">
        <v>4439</v>
      </c>
      <c r="Q224" t="s">
        <v>4440</v>
      </c>
      <c r="R224" t="s">
        <v>74</v>
      </c>
      <c r="S224" t="s">
        <v>74</v>
      </c>
      <c r="T224" t="s">
        <v>4441</v>
      </c>
      <c r="U224" t="s">
        <v>4442</v>
      </c>
      <c r="V224" t="s">
        <v>4443</v>
      </c>
      <c r="W224" t="s">
        <v>4444</v>
      </c>
      <c r="X224" t="s">
        <v>4445</v>
      </c>
      <c r="Y224" t="s">
        <v>4446</v>
      </c>
      <c r="Z224" t="s">
        <v>4447</v>
      </c>
      <c r="AA224" t="s">
        <v>4448</v>
      </c>
      <c r="AB224" t="s">
        <v>74</v>
      </c>
      <c r="AC224" t="s">
        <v>4449</v>
      </c>
      <c r="AD224" t="s">
        <v>4450</v>
      </c>
      <c r="AE224" t="s">
        <v>4451</v>
      </c>
      <c r="AF224" t="s">
        <v>74</v>
      </c>
      <c r="AG224">
        <v>9</v>
      </c>
      <c r="AH224">
        <v>0</v>
      </c>
      <c r="AI224">
        <v>0</v>
      </c>
      <c r="AJ224">
        <v>0</v>
      </c>
      <c r="AK224">
        <v>8</v>
      </c>
      <c r="AL224" t="s">
        <v>3432</v>
      </c>
      <c r="AM224" t="s">
        <v>3433</v>
      </c>
      <c r="AN224" t="s">
        <v>3434</v>
      </c>
      <c r="AO224" t="s">
        <v>3435</v>
      </c>
      <c r="AP224" t="s">
        <v>3436</v>
      </c>
      <c r="AQ224" t="s">
        <v>4452</v>
      </c>
      <c r="AR224" t="s">
        <v>3438</v>
      </c>
      <c r="AS224" t="s">
        <v>74</v>
      </c>
      <c r="AT224" t="s">
        <v>74</v>
      </c>
      <c r="AU224">
        <v>2017</v>
      </c>
      <c r="AV224">
        <v>10462</v>
      </c>
      <c r="AW224" t="s">
        <v>74</v>
      </c>
      <c r="AX224">
        <v>1</v>
      </c>
      <c r="AY224" t="s">
        <v>74</v>
      </c>
      <c r="AZ224" t="s">
        <v>74</v>
      </c>
      <c r="BA224" t="s">
        <v>74</v>
      </c>
      <c r="BB224" t="s">
        <v>74</v>
      </c>
      <c r="BC224" t="s">
        <v>74</v>
      </c>
      <c r="BD224" t="s">
        <v>4453</v>
      </c>
      <c r="BE224" t="s">
        <v>4454</v>
      </c>
      <c r="BF224" t="str">
        <f>HYPERLINK("http://dx.doi.org/10.1117/12.2282826","http://dx.doi.org/10.1117/12.2282826")</f>
        <v>http://dx.doi.org/10.1117/12.2282826</v>
      </c>
      <c r="BG224" t="s">
        <v>74</v>
      </c>
      <c r="BH224" t="s">
        <v>74</v>
      </c>
      <c r="BI224">
        <v>6</v>
      </c>
      <c r="BJ224" t="s">
        <v>4455</v>
      </c>
      <c r="BK224" t="s">
        <v>1844</v>
      </c>
      <c r="BL224" t="s">
        <v>4455</v>
      </c>
      <c r="BM224" t="s">
        <v>4456</v>
      </c>
      <c r="BN224" t="s">
        <v>74</v>
      </c>
      <c r="BO224" t="s">
        <v>74</v>
      </c>
      <c r="BP224" t="s">
        <v>74</v>
      </c>
      <c r="BQ224" t="s">
        <v>74</v>
      </c>
      <c r="BR224" t="s">
        <v>105</v>
      </c>
      <c r="BS224" t="s">
        <v>4457</v>
      </c>
      <c r="BT224" t="str">
        <f>HYPERLINK("https%3A%2F%2Fwww.webofscience.com%2Fwos%2Fwoscc%2Ffull-record%2FWOS:000425515000028","View Full Record in Web of Science")</f>
        <v>View Full Record in Web of Science</v>
      </c>
    </row>
    <row r="225" spans="1:72" x14ac:dyDescent="0.15">
      <c r="A225" t="s">
        <v>1823</v>
      </c>
      <c r="B225" t="s">
        <v>4458</v>
      </c>
      <c r="C225" t="s">
        <v>74</v>
      </c>
      <c r="D225" t="s">
        <v>4459</v>
      </c>
      <c r="E225" t="s">
        <v>74</v>
      </c>
      <c r="F225" t="s">
        <v>4460</v>
      </c>
      <c r="G225" t="s">
        <v>74</v>
      </c>
      <c r="H225" t="s">
        <v>74</v>
      </c>
      <c r="I225" t="s">
        <v>4461</v>
      </c>
      <c r="J225" t="s">
        <v>4462</v>
      </c>
      <c r="K225" t="s">
        <v>74</v>
      </c>
      <c r="L225" t="s">
        <v>74</v>
      </c>
      <c r="M225" t="s">
        <v>78</v>
      </c>
      <c r="N225" t="s">
        <v>1829</v>
      </c>
      <c r="O225" t="s">
        <v>4463</v>
      </c>
      <c r="P225" t="s">
        <v>4464</v>
      </c>
      <c r="Q225" t="s">
        <v>4465</v>
      </c>
      <c r="R225" t="s">
        <v>74</v>
      </c>
      <c r="S225" t="s">
        <v>74</v>
      </c>
      <c r="T225" t="s">
        <v>74</v>
      </c>
      <c r="U225" t="s">
        <v>4466</v>
      </c>
      <c r="V225" t="s">
        <v>4467</v>
      </c>
      <c r="W225" t="s">
        <v>4468</v>
      </c>
      <c r="X225" t="s">
        <v>4469</v>
      </c>
      <c r="Y225" t="s">
        <v>4470</v>
      </c>
      <c r="Z225" t="s">
        <v>4471</v>
      </c>
      <c r="AA225" t="s">
        <v>4472</v>
      </c>
      <c r="AB225" t="s">
        <v>4473</v>
      </c>
      <c r="AC225" t="s">
        <v>74</v>
      </c>
      <c r="AD225" t="s">
        <v>74</v>
      </c>
      <c r="AE225" t="s">
        <v>74</v>
      </c>
      <c r="AF225" t="s">
        <v>74</v>
      </c>
      <c r="AG225">
        <v>27</v>
      </c>
      <c r="AH225">
        <v>1</v>
      </c>
      <c r="AI225">
        <v>1</v>
      </c>
      <c r="AJ225">
        <v>0</v>
      </c>
      <c r="AK225">
        <v>2</v>
      </c>
      <c r="AL225" t="s">
        <v>4282</v>
      </c>
      <c r="AM225" t="s">
        <v>187</v>
      </c>
      <c r="AN225" t="s">
        <v>4283</v>
      </c>
      <c r="AO225" t="s">
        <v>74</v>
      </c>
      <c r="AP225" t="s">
        <v>74</v>
      </c>
      <c r="AQ225" t="s">
        <v>4474</v>
      </c>
      <c r="AR225" t="s">
        <v>74</v>
      </c>
      <c r="AS225" t="s">
        <v>74</v>
      </c>
      <c r="AT225" t="s">
        <v>74</v>
      </c>
      <c r="AU225">
        <v>2017</v>
      </c>
      <c r="AV225" t="s">
        <v>74</v>
      </c>
      <c r="AW225" t="s">
        <v>74</v>
      </c>
      <c r="AX225" t="s">
        <v>74</v>
      </c>
      <c r="AY225" t="s">
        <v>74</v>
      </c>
      <c r="AZ225" t="s">
        <v>74</v>
      </c>
      <c r="BA225" t="s">
        <v>74</v>
      </c>
      <c r="BB225">
        <v>198</v>
      </c>
      <c r="BC225">
        <v>206</v>
      </c>
      <c r="BD225" t="s">
        <v>74</v>
      </c>
      <c r="BE225" t="s">
        <v>74</v>
      </c>
      <c r="BF225" t="s">
        <v>74</v>
      </c>
      <c r="BG225" t="s">
        <v>74</v>
      </c>
      <c r="BH225" t="s">
        <v>74</v>
      </c>
      <c r="BI225">
        <v>9</v>
      </c>
      <c r="BJ225" t="s">
        <v>4475</v>
      </c>
      <c r="BK225" t="s">
        <v>1844</v>
      </c>
      <c r="BL225" t="s">
        <v>4476</v>
      </c>
      <c r="BM225" t="s">
        <v>4477</v>
      </c>
      <c r="BN225" t="s">
        <v>74</v>
      </c>
      <c r="BO225" t="s">
        <v>74</v>
      </c>
      <c r="BP225" t="s">
        <v>74</v>
      </c>
      <c r="BQ225" t="s">
        <v>74</v>
      </c>
      <c r="BR225" t="s">
        <v>105</v>
      </c>
      <c r="BS225" t="s">
        <v>4478</v>
      </c>
      <c r="BT225" t="str">
        <f>HYPERLINK("https%3A%2F%2Fwww.webofscience.com%2Fwos%2Fwoscc%2Ffull-record%2FWOS:000426216300024","View Full Record in Web of Science")</f>
        <v>View Full Record in Web of Science</v>
      </c>
    </row>
    <row r="226" spans="1:72" x14ac:dyDescent="0.15">
      <c r="A226" t="s">
        <v>1823</v>
      </c>
      <c r="B226" t="s">
        <v>4479</v>
      </c>
      <c r="C226" t="s">
        <v>74</v>
      </c>
      <c r="D226" t="s">
        <v>74</v>
      </c>
      <c r="E226" t="s">
        <v>1825</v>
      </c>
      <c r="F226" t="s">
        <v>4480</v>
      </c>
      <c r="G226" t="s">
        <v>74</v>
      </c>
      <c r="H226" t="s">
        <v>74</v>
      </c>
      <c r="I226" t="s">
        <v>4481</v>
      </c>
      <c r="J226" t="s">
        <v>4482</v>
      </c>
      <c r="K226" t="s">
        <v>74</v>
      </c>
      <c r="L226" t="s">
        <v>74</v>
      </c>
      <c r="M226" t="s">
        <v>78</v>
      </c>
      <c r="N226" t="s">
        <v>1829</v>
      </c>
      <c r="O226" t="s">
        <v>4483</v>
      </c>
      <c r="P226" t="s">
        <v>4484</v>
      </c>
      <c r="Q226" t="s">
        <v>4485</v>
      </c>
      <c r="R226" t="s">
        <v>74</v>
      </c>
      <c r="S226" t="s">
        <v>74</v>
      </c>
      <c r="T226" t="s">
        <v>4486</v>
      </c>
      <c r="U226" t="s">
        <v>74</v>
      </c>
      <c r="V226" t="s">
        <v>4487</v>
      </c>
      <c r="W226" t="s">
        <v>4488</v>
      </c>
      <c r="X226" t="s">
        <v>4489</v>
      </c>
      <c r="Y226" t="s">
        <v>4490</v>
      </c>
      <c r="Z226" t="s">
        <v>4491</v>
      </c>
      <c r="AA226" t="s">
        <v>74</v>
      </c>
      <c r="AB226" t="s">
        <v>74</v>
      </c>
      <c r="AC226" t="s">
        <v>4492</v>
      </c>
      <c r="AD226" t="s">
        <v>4493</v>
      </c>
      <c r="AE226" t="s">
        <v>4494</v>
      </c>
      <c r="AF226" t="s">
        <v>74</v>
      </c>
      <c r="AG226">
        <v>2</v>
      </c>
      <c r="AH226">
        <v>0</v>
      </c>
      <c r="AI226">
        <v>0</v>
      </c>
      <c r="AJ226">
        <v>0</v>
      </c>
      <c r="AK226">
        <v>0</v>
      </c>
      <c r="AL226" t="s">
        <v>1825</v>
      </c>
      <c r="AM226" t="s">
        <v>187</v>
      </c>
      <c r="AN226" t="s">
        <v>1842</v>
      </c>
      <c r="AO226" t="s">
        <v>74</v>
      </c>
      <c r="AP226" t="s">
        <v>74</v>
      </c>
      <c r="AQ226" t="s">
        <v>4495</v>
      </c>
      <c r="AR226" t="s">
        <v>74</v>
      </c>
      <c r="AS226" t="s">
        <v>74</v>
      </c>
      <c r="AT226" t="s">
        <v>74</v>
      </c>
      <c r="AU226">
        <v>2017</v>
      </c>
      <c r="AV226" t="s">
        <v>74</v>
      </c>
      <c r="AW226" t="s">
        <v>74</v>
      </c>
      <c r="AX226" t="s">
        <v>74</v>
      </c>
      <c r="AY226" t="s">
        <v>74</v>
      </c>
      <c r="AZ226" t="s">
        <v>74</v>
      </c>
      <c r="BA226" t="s">
        <v>74</v>
      </c>
      <c r="BB226" t="s">
        <v>74</v>
      </c>
      <c r="BC226" t="s">
        <v>74</v>
      </c>
      <c r="BD226" t="s">
        <v>74</v>
      </c>
      <c r="BE226" t="s">
        <v>74</v>
      </c>
      <c r="BF226" t="s">
        <v>74</v>
      </c>
      <c r="BG226" t="s">
        <v>74</v>
      </c>
      <c r="BH226" t="s">
        <v>74</v>
      </c>
      <c r="BI226">
        <v>4</v>
      </c>
      <c r="BJ226" t="s">
        <v>4496</v>
      </c>
      <c r="BK226" t="s">
        <v>1844</v>
      </c>
      <c r="BL226" t="s">
        <v>4497</v>
      </c>
      <c r="BM226" t="s">
        <v>4498</v>
      </c>
      <c r="BN226" t="s">
        <v>74</v>
      </c>
      <c r="BO226" t="s">
        <v>74</v>
      </c>
      <c r="BP226" t="s">
        <v>74</v>
      </c>
      <c r="BQ226" t="s">
        <v>74</v>
      </c>
      <c r="BR226" t="s">
        <v>105</v>
      </c>
      <c r="BS226" t="s">
        <v>4499</v>
      </c>
      <c r="BT226" t="str">
        <f>HYPERLINK("https%3A%2F%2Fwww.webofscience.com%2Fwos%2Fwoscc%2Ffull-record%2FWOS:000425865800019","View Full Record in Web of Science")</f>
        <v>View Full Record in Web of Science</v>
      </c>
    </row>
    <row r="227" spans="1:72" x14ac:dyDescent="0.15">
      <c r="A227" t="s">
        <v>2331</v>
      </c>
      <c r="B227" t="s">
        <v>4500</v>
      </c>
      <c r="C227" t="s">
        <v>74</v>
      </c>
      <c r="D227" t="s">
        <v>4501</v>
      </c>
      <c r="E227" t="s">
        <v>4502</v>
      </c>
      <c r="F227" t="s">
        <v>4503</v>
      </c>
      <c r="G227" t="s">
        <v>74</v>
      </c>
      <c r="H227" t="s">
        <v>74</v>
      </c>
      <c r="I227" t="s">
        <v>4504</v>
      </c>
      <c r="J227" t="s">
        <v>4505</v>
      </c>
      <c r="K227" t="s">
        <v>74</v>
      </c>
      <c r="L227" t="s">
        <v>74</v>
      </c>
      <c r="M227" t="s">
        <v>78</v>
      </c>
      <c r="N227" t="s">
        <v>2067</v>
      </c>
      <c r="O227" t="s">
        <v>74</v>
      </c>
      <c r="P227" t="s">
        <v>74</v>
      </c>
      <c r="Q227" t="s">
        <v>74</v>
      </c>
      <c r="R227" t="s">
        <v>74</v>
      </c>
      <c r="S227" t="s">
        <v>74</v>
      </c>
      <c r="T227" t="s">
        <v>74</v>
      </c>
      <c r="U227" t="s">
        <v>4506</v>
      </c>
      <c r="V227" t="s">
        <v>74</v>
      </c>
      <c r="W227" t="s">
        <v>74</v>
      </c>
      <c r="X227" t="s">
        <v>74</v>
      </c>
      <c r="Y227" t="s">
        <v>74</v>
      </c>
      <c r="Z227" t="s">
        <v>74</v>
      </c>
      <c r="AA227" t="s">
        <v>74</v>
      </c>
      <c r="AB227" t="s">
        <v>74</v>
      </c>
      <c r="AC227" t="s">
        <v>74</v>
      </c>
      <c r="AD227" t="s">
        <v>74</v>
      </c>
      <c r="AE227" t="s">
        <v>74</v>
      </c>
      <c r="AF227" t="s">
        <v>74</v>
      </c>
      <c r="AG227">
        <v>49</v>
      </c>
      <c r="AH227">
        <v>0</v>
      </c>
      <c r="AI227">
        <v>0</v>
      </c>
      <c r="AJ227">
        <v>0</v>
      </c>
      <c r="AK227">
        <v>0</v>
      </c>
      <c r="AL227" t="s">
        <v>3097</v>
      </c>
      <c r="AM227" t="s">
        <v>1581</v>
      </c>
      <c r="AN227" t="s">
        <v>3208</v>
      </c>
      <c r="AO227" t="s">
        <v>74</v>
      </c>
      <c r="AP227" t="s">
        <v>74</v>
      </c>
      <c r="AQ227" t="s">
        <v>4507</v>
      </c>
      <c r="AR227" t="s">
        <v>74</v>
      </c>
      <c r="AS227" t="s">
        <v>74</v>
      </c>
      <c r="AT227" t="s">
        <v>74</v>
      </c>
      <c r="AU227">
        <v>2017</v>
      </c>
      <c r="AV227" t="s">
        <v>74</v>
      </c>
      <c r="AW227" t="s">
        <v>74</v>
      </c>
      <c r="AX227" t="s">
        <v>74</v>
      </c>
      <c r="AY227" t="s">
        <v>74</v>
      </c>
      <c r="AZ227" t="s">
        <v>74</v>
      </c>
      <c r="BA227" t="s">
        <v>74</v>
      </c>
      <c r="BB227">
        <v>863</v>
      </c>
      <c r="BC227">
        <v>868</v>
      </c>
      <c r="BD227" t="s">
        <v>74</v>
      </c>
      <c r="BE227" t="s">
        <v>74</v>
      </c>
      <c r="BF227" t="s">
        <v>74</v>
      </c>
      <c r="BG227" t="s">
        <v>4508</v>
      </c>
      <c r="BH227" t="s">
        <v>74</v>
      </c>
      <c r="BI227">
        <v>6</v>
      </c>
      <c r="BJ227" t="s">
        <v>4509</v>
      </c>
      <c r="BK227" t="s">
        <v>3212</v>
      </c>
      <c r="BL227" t="s">
        <v>4510</v>
      </c>
      <c r="BM227" t="s">
        <v>4511</v>
      </c>
      <c r="BN227" t="s">
        <v>74</v>
      </c>
      <c r="BO227" t="s">
        <v>74</v>
      </c>
      <c r="BP227" t="s">
        <v>74</v>
      </c>
      <c r="BQ227" t="s">
        <v>74</v>
      </c>
      <c r="BR227" t="s">
        <v>105</v>
      </c>
      <c r="BS227" t="s">
        <v>4512</v>
      </c>
      <c r="BT227" t="str">
        <f>HYPERLINK("https%3A%2F%2Fwww.webofscience.com%2Fwos%2Fwoscc%2Ffull-record%2FWOS:000425033100056","View Full Record in Web of Science")</f>
        <v>View Full Record in Web of Science</v>
      </c>
    </row>
    <row r="228" spans="1:72" x14ac:dyDescent="0.15">
      <c r="A228" t="s">
        <v>1823</v>
      </c>
      <c r="B228" t="s">
        <v>4513</v>
      </c>
      <c r="C228" t="s">
        <v>74</v>
      </c>
      <c r="D228" t="s">
        <v>74</v>
      </c>
      <c r="E228" t="s">
        <v>1825</v>
      </c>
      <c r="F228" t="s">
        <v>4514</v>
      </c>
      <c r="G228" t="s">
        <v>74</v>
      </c>
      <c r="H228" t="s">
        <v>74</v>
      </c>
      <c r="I228" t="s">
        <v>4515</v>
      </c>
      <c r="J228" t="s">
        <v>4516</v>
      </c>
      <c r="K228" t="s">
        <v>74</v>
      </c>
      <c r="L228" t="s">
        <v>74</v>
      </c>
      <c r="M228" t="s">
        <v>4517</v>
      </c>
      <c r="N228" t="s">
        <v>1829</v>
      </c>
      <c r="O228" t="s">
        <v>4518</v>
      </c>
      <c r="P228" t="s">
        <v>4519</v>
      </c>
      <c r="Q228" t="s">
        <v>4520</v>
      </c>
      <c r="R228" t="s">
        <v>74</v>
      </c>
      <c r="S228" t="s">
        <v>4521</v>
      </c>
      <c r="T228" t="s">
        <v>4522</v>
      </c>
      <c r="U228" t="s">
        <v>74</v>
      </c>
      <c r="V228" t="s">
        <v>4523</v>
      </c>
      <c r="W228" t="s">
        <v>4524</v>
      </c>
      <c r="X228" t="s">
        <v>4525</v>
      </c>
      <c r="Y228" t="s">
        <v>4526</v>
      </c>
      <c r="Z228" t="s">
        <v>74</v>
      </c>
      <c r="AA228" t="s">
        <v>4527</v>
      </c>
      <c r="AB228" t="s">
        <v>4528</v>
      </c>
      <c r="AC228" t="s">
        <v>74</v>
      </c>
      <c r="AD228" t="s">
        <v>74</v>
      </c>
      <c r="AE228" t="s">
        <v>74</v>
      </c>
      <c r="AF228" t="s">
        <v>74</v>
      </c>
      <c r="AG228">
        <v>8</v>
      </c>
      <c r="AH228">
        <v>0</v>
      </c>
      <c r="AI228">
        <v>0</v>
      </c>
      <c r="AJ228">
        <v>0</v>
      </c>
      <c r="AK228">
        <v>1</v>
      </c>
      <c r="AL228" t="s">
        <v>1825</v>
      </c>
      <c r="AM228" t="s">
        <v>187</v>
      </c>
      <c r="AN228" t="s">
        <v>1842</v>
      </c>
      <c r="AO228" t="s">
        <v>74</v>
      </c>
      <c r="AP228" t="s">
        <v>74</v>
      </c>
      <c r="AQ228" t="s">
        <v>4529</v>
      </c>
      <c r="AR228" t="s">
        <v>74</v>
      </c>
      <c r="AS228" t="s">
        <v>74</v>
      </c>
      <c r="AT228" t="s">
        <v>74</v>
      </c>
      <c r="AU228">
        <v>2017</v>
      </c>
      <c r="AV228" t="s">
        <v>74</v>
      </c>
      <c r="AW228" t="s">
        <v>74</v>
      </c>
      <c r="AX228" t="s">
        <v>74</v>
      </c>
      <c r="AY228" t="s">
        <v>74</v>
      </c>
      <c r="AZ228" t="s">
        <v>74</v>
      </c>
      <c r="BA228" t="s">
        <v>74</v>
      </c>
      <c r="BB228">
        <v>19</v>
      </c>
      <c r="BC228">
        <v>22</v>
      </c>
      <c r="BD228" t="s">
        <v>74</v>
      </c>
      <c r="BE228" t="s">
        <v>74</v>
      </c>
      <c r="BF228" t="s">
        <v>74</v>
      </c>
      <c r="BG228" t="s">
        <v>74</v>
      </c>
      <c r="BH228" t="s">
        <v>74</v>
      </c>
      <c r="BI228">
        <v>4</v>
      </c>
      <c r="BJ228" t="s">
        <v>1864</v>
      </c>
      <c r="BK228" t="s">
        <v>1844</v>
      </c>
      <c r="BL228" t="s">
        <v>1865</v>
      </c>
      <c r="BM228" t="s">
        <v>4530</v>
      </c>
      <c r="BN228" t="s">
        <v>74</v>
      </c>
      <c r="BO228" t="s">
        <v>74</v>
      </c>
      <c r="BP228" t="s">
        <v>74</v>
      </c>
      <c r="BQ228" t="s">
        <v>74</v>
      </c>
      <c r="BR228" t="s">
        <v>105</v>
      </c>
      <c r="BS228" t="s">
        <v>4531</v>
      </c>
      <c r="BT228" t="str">
        <f>HYPERLINK("https%3A%2F%2Fwww.webofscience.com%2Fwos%2Fwoscc%2Ffull-record%2FWOS:000425214700004","View Full Record in Web of Science")</f>
        <v>View Full Record in Web of Science</v>
      </c>
    </row>
    <row r="229" spans="1:72" x14ac:dyDescent="0.15">
      <c r="A229" t="s">
        <v>1823</v>
      </c>
      <c r="B229" t="s">
        <v>4532</v>
      </c>
      <c r="C229" t="s">
        <v>74</v>
      </c>
      <c r="D229" t="s">
        <v>74</v>
      </c>
      <c r="E229" t="s">
        <v>1825</v>
      </c>
      <c r="F229" t="s">
        <v>4533</v>
      </c>
      <c r="G229" t="s">
        <v>74</v>
      </c>
      <c r="H229" t="s">
        <v>74</v>
      </c>
      <c r="I229" t="s">
        <v>4534</v>
      </c>
      <c r="J229" t="s">
        <v>4516</v>
      </c>
      <c r="K229" t="s">
        <v>74</v>
      </c>
      <c r="L229" t="s">
        <v>74</v>
      </c>
      <c r="M229" t="s">
        <v>78</v>
      </c>
      <c r="N229" t="s">
        <v>1829</v>
      </c>
      <c r="O229" t="s">
        <v>4518</v>
      </c>
      <c r="P229" t="s">
        <v>4519</v>
      </c>
      <c r="Q229" t="s">
        <v>4520</v>
      </c>
      <c r="R229" t="s">
        <v>74</v>
      </c>
      <c r="S229" t="s">
        <v>4521</v>
      </c>
      <c r="T229" t="s">
        <v>4535</v>
      </c>
      <c r="U229" t="s">
        <v>74</v>
      </c>
      <c r="V229" t="s">
        <v>4536</v>
      </c>
      <c r="W229" t="s">
        <v>4537</v>
      </c>
      <c r="X229" t="s">
        <v>4538</v>
      </c>
      <c r="Y229" t="s">
        <v>4539</v>
      </c>
      <c r="Z229" t="s">
        <v>4540</v>
      </c>
      <c r="AA229" t="s">
        <v>4541</v>
      </c>
      <c r="AB229" t="s">
        <v>74</v>
      </c>
      <c r="AC229" t="s">
        <v>4542</v>
      </c>
      <c r="AD229" t="s">
        <v>4543</v>
      </c>
      <c r="AE229" t="s">
        <v>4544</v>
      </c>
      <c r="AF229" t="s">
        <v>74</v>
      </c>
      <c r="AG229">
        <v>9</v>
      </c>
      <c r="AH229">
        <v>1</v>
      </c>
      <c r="AI229">
        <v>1</v>
      </c>
      <c r="AJ229">
        <v>0</v>
      </c>
      <c r="AK229">
        <v>2</v>
      </c>
      <c r="AL229" t="s">
        <v>1825</v>
      </c>
      <c r="AM229" t="s">
        <v>187</v>
      </c>
      <c r="AN229" t="s">
        <v>1842</v>
      </c>
      <c r="AO229" t="s">
        <v>74</v>
      </c>
      <c r="AP229" t="s">
        <v>74</v>
      </c>
      <c r="AQ229" t="s">
        <v>4529</v>
      </c>
      <c r="AR229" t="s">
        <v>74</v>
      </c>
      <c r="AS229" t="s">
        <v>74</v>
      </c>
      <c r="AT229" t="s">
        <v>74</v>
      </c>
      <c r="AU229">
        <v>2017</v>
      </c>
      <c r="AV229" t="s">
        <v>74</v>
      </c>
      <c r="AW229" t="s">
        <v>74</v>
      </c>
      <c r="AX229" t="s">
        <v>74</v>
      </c>
      <c r="AY229" t="s">
        <v>74</v>
      </c>
      <c r="AZ229" t="s">
        <v>74</v>
      </c>
      <c r="BA229" t="s">
        <v>74</v>
      </c>
      <c r="BB229">
        <v>76</v>
      </c>
      <c r="BC229">
        <v>79</v>
      </c>
      <c r="BD229" t="s">
        <v>74</v>
      </c>
      <c r="BE229" t="s">
        <v>74</v>
      </c>
      <c r="BF229" t="s">
        <v>74</v>
      </c>
      <c r="BG229" t="s">
        <v>74</v>
      </c>
      <c r="BH229" t="s">
        <v>74</v>
      </c>
      <c r="BI229">
        <v>4</v>
      </c>
      <c r="BJ229" t="s">
        <v>1864</v>
      </c>
      <c r="BK229" t="s">
        <v>1844</v>
      </c>
      <c r="BL229" t="s">
        <v>1865</v>
      </c>
      <c r="BM229" t="s">
        <v>4530</v>
      </c>
      <c r="BN229" t="s">
        <v>74</v>
      </c>
      <c r="BO229" t="s">
        <v>74</v>
      </c>
      <c r="BP229" t="s">
        <v>74</v>
      </c>
      <c r="BQ229" t="s">
        <v>74</v>
      </c>
      <c r="BR229" t="s">
        <v>105</v>
      </c>
      <c r="BS229" t="s">
        <v>4545</v>
      </c>
      <c r="BT229" t="str">
        <f>HYPERLINK("https%3A%2F%2Fwww.webofscience.com%2Fwos%2Fwoscc%2Ffull-record%2FWOS:000425214700017","View Full Record in Web of Science")</f>
        <v>View Full Record in Web of Science</v>
      </c>
    </row>
    <row r="230" spans="1:72" x14ac:dyDescent="0.15">
      <c r="A230" t="s">
        <v>1823</v>
      </c>
      <c r="B230" t="s">
        <v>4546</v>
      </c>
      <c r="C230" t="s">
        <v>74</v>
      </c>
      <c r="D230" t="s">
        <v>74</v>
      </c>
      <c r="E230" t="s">
        <v>1825</v>
      </c>
      <c r="F230" t="s">
        <v>4547</v>
      </c>
      <c r="G230" t="s">
        <v>74</v>
      </c>
      <c r="H230" t="s">
        <v>74</v>
      </c>
      <c r="I230" t="s">
        <v>4548</v>
      </c>
      <c r="J230" t="s">
        <v>4516</v>
      </c>
      <c r="K230" t="s">
        <v>74</v>
      </c>
      <c r="L230" t="s">
        <v>74</v>
      </c>
      <c r="M230" t="s">
        <v>78</v>
      </c>
      <c r="N230" t="s">
        <v>1829</v>
      </c>
      <c r="O230" t="s">
        <v>4518</v>
      </c>
      <c r="P230" t="s">
        <v>4519</v>
      </c>
      <c r="Q230" t="s">
        <v>4520</v>
      </c>
      <c r="R230" t="s">
        <v>74</v>
      </c>
      <c r="S230" t="s">
        <v>4521</v>
      </c>
      <c r="T230" t="s">
        <v>4549</v>
      </c>
      <c r="U230" t="s">
        <v>4550</v>
      </c>
      <c r="V230" t="s">
        <v>4551</v>
      </c>
      <c r="W230" t="s">
        <v>4552</v>
      </c>
      <c r="X230" t="s">
        <v>4553</v>
      </c>
      <c r="Y230" t="s">
        <v>4554</v>
      </c>
      <c r="Z230" t="s">
        <v>4555</v>
      </c>
      <c r="AA230" t="s">
        <v>4556</v>
      </c>
      <c r="AB230" t="s">
        <v>4557</v>
      </c>
      <c r="AC230" t="s">
        <v>4558</v>
      </c>
      <c r="AD230" t="s">
        <v>4558</v>
      </c>
      <c r="AE230" t="s">
        <v>4559</v>
      </c>
      <c r="AF230" t="s">
        <v>74</v>
      </c>
      <c r="AG230">
        <v>30</v>
      </c>
      <c r="AH230">
        <v>1</v>
      </c>
      <c r="AI230">
        <v>1</v>
      </c>
      <c r="AJ230">
        <v>0</v>
      </c>
      <c r="AK230">
        <v>7</v>
      </c>
      <c r="AL230" t="s">
        <v>1825</v>
      </c>
      <c r="AM230" t="s">
        <v>187</v>
      </c>
      <c r="AN230" t="s">
        <v>1842</v>
      </c>
      <c r="AO230" t="s">
        <v>74</v>
      </c>
      <c r="AP230" t="s">
        <v>74</v>
      </c>
      <c r="AQ230" t="s">
        <v>4529</v>
      </c>
      <c r="AR230" t="s">
        <v>74</v>
      </c>
      <c r="AS230" t="s">
        <v>74</v>
      </c>
      <c r="AT230" t="s">
        <v>74</v>
      </c>
      <c r="AU230">
        <v>2017</v>
      </c>
      <c r="AV230" t="s">
        <v>74</v>
      </c>
      <c r="AW230" t="s">
        <v>74</v>
      </c>
      <c r="AX230" t="s">
        <v>74</v>
      </c>
      <c r="AY230" t="s">
        <v>74</v>
      </c>
      <c r="AZ230" t="s">
        <v>74</v>
      </c>
      <c r="BA230" t="s">
        <v>74</v>
      </c>
      <c r="BB230">
        <v>80</v>
      </c>
      <c r="BC230">
        <v>83</v>
      </c>
      <c r="BD230" t="s">
        <v>74</v>
      </c>
      <c r="BE230" t="s">
        <v>74</v>
      </c>
      <c r="BF230" t="s">
        <v>74</v>
      </c>
      <c r="BG230" t="s">
        <v>74</v>
      </c>
      <c r="BH230" t="s">
        <v>74</v>
      </c>
      <c r="BI230">
        <v>4</v>
      </c>
      <c r="BJ230" t="s">
        <v>1864</v>
      </c>
      <c r="BK230" t="s">
        <v>1844</v>
      </c>
      <c r="BL230" t="s">
        <v>1865</v>
      </c>
      <c r="BM230" t="s">
        <v>4530</v>
      </c>
      <c r="BN230" t="s">
        <v>74</v>
      </c>
      <c r="BO230" t="s">
        <v>74</v>
      </c>
      <c r="BP230" t="s">
        <v>74</v>
      </c>
      <c r="BQ230" t="s">
        <v>74</v>
      </c>
      <c r="BR230" t="s">
        <v>105</v>
      </c>
      <c r="BS230" t="s">
        <v>4560</v>
      </c>
      <c r="BT230" t="str">
        <f>HYPERLINK("https%3A%2F%2Fwww.webofscience.com%2Fwos%2Fwoscc%2Ffull-record%2FWOS:000425214700018","View Full Record in Web of Science")</f>
        <v>View Full Record in Web of Science</v>
      </c>
    </row>
    <row r="231" spans="1:72" x14ac:dyDescent="0.15">
      <c r="A231" t="s">
        <v>1823</v>
      </c>
      <c r="B231" t="s">
        <v>4561</v>
      </c>
      <c r="C231" t="s">
        <v>74</v>
      </c>
      <c r="D231" t="s">
        <v>74</v>
      </c>
      <c r="E231" t="s">
        <v>1825</v>
      </c>
      <c r="F231" t="s">
        <v>4562</v>
      </c>
      <c r="G231" t="s">
        <v>74</v>
      </c>
      <c r="H231" t="s">
        <v>74</v>
      </c>
      <c r="I231" t="s">
        <v>4563</v>
      </c>
      <c r="J231" t="s">
        <v>4516</v>
      </c>
      <c r="K231" t="s">
        <v>74</v>
      </c>
      <c r="L231" t="s">
        <v>74</v>
      </c>
      <c r="M231" t="s">
        <v>78</v>
      </c>
      <c r="N231" t="s">
        <v>1829</v>
      </c>
      <c r="O231" t="s">
        <v>4518</v>
      </c>
      <c r="P231" t="s">
        <v>4519</v>
      </c>
      <c r="Q231" t="s">
        <v>4520</v>
      </c>
      <c r="R231" t="s">
        <v>74</v>
      </c>
      <c r="S231" t="s">
        <v>4521</v>
      </c>
      <c r="T231" t="s">
        <v>4564</v>
      </c>
      <c r="U231" t="s">
        <v>74</v>
      </c>
      <c r="V231" t="s">
        <v>4565</v>
      </c>
      <c r="W231" t="s">
        <v>4566</v>
      </c>
      <c r="X231" t="s">
        <v>4538</v>
      </c>
      <c r="Y231" t="s">
        <v>4567</v>
      </c>
      <c r="Z231" t="s">
        <v>4568</v>
      </c>
      <c r="AA231" t="s">
        <v>4541</v>
      </c>
      <c r="AB231" t="s">
        <v>74</v>
      </c>
      <c r="AC231" t="s">
        <v>4569</v>
      </c>
      <c r="AD231" t="s">
        <v>4569</v>
      </c>
      <c r="AE231" t="s">
        <v>4570</v>
      </c>
      <c r="AF231" t="s">
        <v>74</v>
      </c>
      <c r="AG231">
        <v>5</v>
      </c>
      <c r="AH231">
        <v>0</v>
      </c>
      <c r="AI231">
        <v>0</v>
      </c>
      <c r="AJ231">
        <v>0</v>
      </c>
      <c r="AK231">
        <v>1</v>
      </c>
      <c r="AL231" t="s">
        <v>1825</v>
      </c>
      <c r="AM231" t="s">
        <v>187</v>
      </c>
      <c r="AN231" t="s">
        <v>1842</v>
      </c>
      <c r="AO231" t="s">
        <v>74</v>
      </c>
      <c r="AP231" t="s">
        <v>74</v>
      </c>
      <c r="AQ231" t="s">
        <v>4529</v>
      </c>
      <c r="AR231" t="s">
        <v>74</v>
      </c>
      <c r="AS231" t="s">
        <v>74</v>
      </c>
      <c r="AT231" t="s">
        <v>74</v>
      </c>
      <c r="AU231">
        <v>2017</v>
      </c>
      <c r="AV231" t="s">
        <v>74</v>
      </c>
      <c r="AW231" t="s">
        <v>74</v>
      </c>
      <c r="AX231" t="s">
        <v>74</v>
      </c>
      <c r="AY231" t="s">
        <v>74</v>
      </c>
      <c r="AZ231" t="s">
        <v>74</v>
      </c>
      <c r="BA231" t="s">
        <v>74</v>
      </c>
      <c r="BB231">
        <v>93</v>
      </c>
      <c r="BC231">
        <v>96</v>
      </c>
      <c r="BD231" t="s">
        <v>74</v>
      </c>
      <c r="BE231" t="s">
        <v>74</v>
      </c>
      <c r="BF231" t="s">
        <v>74</v>
      </c>
      <c r="BG231" t="s">
        <v>74</v>
      </c>
      <c r="BH231" t="s">
        <v>74</v>
      </c>
      <c r="BI231">
        <v>4</v>
      </c>
      <c r="BJ231" t="s">
        <v>1864</v>
      </c>
      <c r="BK231" t="s">
        <v>1844</v>
      </c>
      <c r="BL231" t="s">
        <v>1865</v>
      </c>
      <c r="BM231" t="s">
        <v>4530</v>
      </c>
      <c r="BN231" t="s">
        <v>74</v>
      </c>
      <c r="BO231" t="s">
        <v>74</v>
      </c>
      <c r="BP231" t="s">
        <v>74</v>
      </c>
      <c r="BQ231" t="s">
        <v>74</v>
      </c>
      <c r="BR231" t="s">
        <v>105</v>
      </c>
      <c r="BS231" t="s">
        <v>4571</v>
      </c>
      <c r="BT231" t="str">
        <f>HYPERLINK("https%3A%2F%2Fwww.webofscience.com%2Fwos%2Fwoscc%2Ffull-record%2FWOS:000425214700021","View Full Record in Web of Science")</f>
        <v>View Full Record in Web of Science</v>
      </c>
    </row>
    <row r="232" spans="1:72" x14ac:dyDescent="0.15">
      <c r="A232" t="s">
        <v>1823</v>
      </c>
      <c r="B232" t="s">
        <v>4572</v>
      </c>
      <c r="C232" t="s">
        <v>74</v>
      </c>
      <c r="D232" t="s">
        <v>74</v>
      </c>
      <c r="E232" t="s">
        <v>1825</v>
      </c>
      <c r="F232" t="s">
        <v>4573</v>
      </c>
      <c r="G232" t="s">
        <v>74</v>
      </c>
      <c r="H232" t="s">
        <v>74</v>
      </c>
      <c r="I232" t="s">
        <v>4574</v>
      </c>
      <c r="J232" t="s">
        <v>4516</v>
      </c>
      <c r="K232" t="s">
        <v>74</v>
      </c>
      <c r="L232" t="s">
        <v>74</v>
      </c>
      <c r="M232" t="s">
        <v>78</v>
      </c>
      <c r="N232" t="s">
        <v>1829</v>
      </c>
      <c r="O232" t="s">
        <v>4518</v>
      </c>
      <c r="P232" t="s">
        <v>4519</v>
      </c>
      <c r="Q232" t="s">
        <v>4520</v>
      </c>
      <c r="R232" t="s">
        <v>74</v>
      </c>
      <c r="S232" t="s">
        <v>4521</v>
      </c>
      <c r="T232" t="s">
        <v>4575</v>
      </c>
      <c r="U232" t="s">
        <v>74</v>
      </c>
      <c r="V232" t="s">
        <v>4576</v>
      </c>
      <c r="W232" t="s">
        <v>4577</v>
      </c>
      <c r="X232" t="s">
        <v>4578</v>
      </c>
      <c r="Y232" t="s">
        <v>4579</v>
      </c>
      <c r="Z232" t="s">
        <v>4580</v>
      </c>
      <c r="AA232" t="s">
        <v>4581</v>
      </c>
      <c r="AB232" t="s">
        <v>4582</v>
      </c>
      <c r="AC232" t="s">
        <v>4583</v>
      </c>
      <c r="AD232" t="s">
        <v>4584</v>
      </c>
      <c r="AE232" t="s">
        <v>4585</v>
      </c>
      <c r="AF232" t="s">
        <v>74</v>
      </c>
      <c r="AG232">
        <v>6</v>
      </c>
      <c r="AH232">
        <v>0</v>
      </c>
      <c r="AI232">
        <v>0</v>
      </c>
      <c r="AJ232">
        <v>0</v>
      </c>
      <c r="AK232">
        <v>5</v>
      </c>
      <c r="AL232" t="s">
        <v>1825</v>
      </c>
      <c r="AM232" t="s">
        <v>187</v>
      </c>
      <c r="AN232" t="s">
        <v>1842</v>
      </c>
      <c r="AO232" t="s">
        <v>74</v>
      </c>
      <c r="AP232" t="s">
        <v>74</v>
      </c>
      <c r="AQ232" t="s">
        <v>4529</v>
      </c>
      <c r="AR232" t="s">
        <v>74</v>
      </c>
      <c r="AS232" t="s">
        <v>74</v>
      </c>
      <c r="AT232" t="s">
        <v>74</v>
      </c>
      <c r="AU232">
        <v>2017</v>
      </c>
      <c r="AV232" t="s">
        <v>74</v>
      </c>
      <c r="AW232" t="s">
        <v>74</v>
      </c>
      <c r="AX232" t="s">
        <v>74</v>
      </c>
      <c r="AY232" t="s">
        <v>74</v>
      </c>
      <c r="AZ232" t="s">
        <v>74</v>
      </c>
      <c r="BA232" t="s">
        <v>74</v>
      </c>
      <c r="BB232">
        <v>97</v>
      </c>
      <c r="BC232">
        <v>100</v>
      </c>
      <c r="BD232" t="s">
        <v>74</v>
      </c>
      <c r="BE232" t="s">
        <v>74</v>
      </c>
      <c r="BF232" t="s">
        <v>74</v>
      </c>
      <c r="BG232" t="s">
        <v>74</v>
      </c>
      <c r="BH232" t="s">
        <v>74</v>
      </c>
      <c r="BI232">
        <v>4</v>
      </c>
      <c r="BJ232" t="s">
        <v>1864</v>
      </c>
      <c r="BK232" t="s">
        <v>1844</v>
      </c>
      <c r="BL232" t="s">
        <v>1865</v>
      </c>
      <c r="BM232" t="s">
        <v>4530</v>
      </c>
      <c r="BN232" t="s">
        <v>74</v>
      </c>
      <c r="BO232" t="s">
        <v>74</v>
      </c>
      <c r="BP232" t="s">
        <v>74</v>
      </c>
      <c r="BQ232" t="s">
        <v>74</v>
      </c>
      <c r="BR232" t="s">
        <v>105</v>
      </c>
      <c r="BS232" t="s">
        <v>4586</v>
      </c>
      <c r="BT232" t="str">
        <f>HYPERLINK("https%3A%2F%2Fwww.webofscience.com%2Fwos%2Fwoscc%2Ffull-record%2FWOS:000425214700022","View Full Record in Web of Science")</f>
        <v>View Full Record in Web of Science</v>
      </c>
    </row>
    <row r="233" spans="1:72" x14ac:dyDescent="0.15">
      <c r="A233" t="s">
        <v>1823</v>
      </c>
      <c r="B233" t="s">
        <v>4587</v>
      </c>
      <c r="C233" t="s">
        <v>74</v>
      </c>
      <c r="D233" t="s">
        <v>74</v>
      </c>
      <c r="E233" t="s">
        <v>1825</v>
      </c>
      <c r="F233" t="s">
        <v>4588</v>
      </c>
      <c r="G233" t="s">
        <v>74</v>
      </c>
      <c r="H233" t="s">
        <v>74</v>
      </c>
      <c r="I233" t="s">
        <v>4589</v>
      </c>
      <c r="J233" t="s">
        <v>4516</v>
      </c>
      <c r="K233" t="s">
        <v>74</v>
      </c>
      <c r="L233" t="s">
        <v>74</v>
      </c>
      <c r="M233" t="s">
        <v>78</v>
      </c>
      <c r="N233" t="s">
        <v>1829</v>
      </c>
      <c r="O233" t="s">
        <v>4518</v>
      </c>
      <c r="P233" t="s">
        <v>4519</v>
      </c>
      <c r="Q233" t="s">
        <v>4520</v>
      </c>
      <c r="R233" t="s">
        <v>74</v>
      </c>
      <c r="S233" t="s">
        <v>4521</v>
      </c>
      <c r="T233" t="s">
        <v>4590</v>
      </c>
      <c r="U233" t="s">
        <v>74</v>
      </c>
      <c r="V233" t="s">
        <v>4591</v>
      </c>
      <c r="W233" t="s">
        <v>4592</v>
      </c>
      <c r="X233" t="s">
        <v>4593</v>
      </c>
      <c r="Y233" t="s">
        <v>4594</v>
      </c>
      <c r="Z233" t="s">
        <v>4595</v>
      </c>
      <c r="AA233" t="s">
        <v>4541</v>
      </c>
      <c r="AB233" t="s">
        <v>74</v>
      </c>
      <c r="AC233" t="s">
        <v>4596</v>
      </c>
      <c r="AD233" t="s">
        <v>4597</v>
      </c>
      <c r="AE233" t="s">
        <v>4598</v>
      </c>
      <c r="AF233" t="s">
        <v>74</v>
      </c>
      <c r="AG233">
        <v>6</v>
      </c>
      <c r="AH233">
        <v>2</v>
      </c>
      <c r="AI233">
        <v>2</v>
      </c>
      <c r="AJ233">
        <v>0</v>
      </c>
      <c r="AK233">
        <v>3</v>
      </c>
      <c r="AL233" t="s">
        <v>1825</v>
      </c>
      <c r="AM233" t="s">
        <v>187</v>
      </c>
      <c r="AN233" t="s">
        <v>1842</v>
      </c>
      <c r="AO233" t="s">
        <v>74</v>
      </c>
      <c r="AP233" t="s">
        <v>74</v>
      </c>
      <c r="AQ233" t="s">
        <v>4529</v>
      </c>
      <c r="AR233" t="s">
        <v>74</v>
      </c>
      <c r="AS233" t="s">
        <v>74</v>
      </c>
      <c r="AT233" t="s">
        <v>74</v>
      </c>
      <c r="AU233">
        <v>2017</v>
      </c>
      <c r="AV233" t="s">
        <v>74</v>
      </c>
      <c r="AW233" t="s">
        <v>74</v>
      </c>
      <c r="AX233" t="s">
        <v>74</v>
      </c>
      <c r="AY233" t="s">
        <v>74</v>
      </c>
      <c r="AZ233" t="s">
        <v>74</v>
      </c>
      <c r="BA233" t="s">
        <v>74</v>
      </c>
      <c r="BB233">
        <v>101</v>
      </c>
      <c r="BC233">
        <v>103</v>
      </c>
      <c r="BD233" t="s">
        <v>74</v>
      </c>
      <c r="BE233" t="s">
        <v>74</v>
      </c>
      <c r="BF233" t="s">
        <v>74</v>
      </c>
      <c r="BG233" t="s">
        <v>74</v>
      </c>
      <c r="BH233" t="s">
        <v>74</v>
      </c>
      <c r="BI233">
        <v>3</v>
      </c>
      <c r="BJ233" t="s">
        <v>1864</v>
      </c>
      <c r="BK233" t="s">
        <v>1844</v>
      </c>
      <c r="BL233" t="s">
        <v>1865</v>
      </c>
      <c r="BM233" t="s">
        <v>4530</v>
      </c>
      <c r="BN233" t="s">
        <v>74</v>
      </c>
      <c r="BO233" t="s">
        <v>74</v>
      </c>
      <c r="BP233" t="s">
        <v>74</v>
      </c>
      <c r="BQ233" t="s">
        <v>74</v>
      </c>
      <c r="BR233" t="s">
        <v>105</v>
      </c>
      <c r="BS233" t="s">
        <v>4599</v>
      </c>
      <c r="BT233" t="str">
        <f>HYPERLINK("https%3A%2F%2Fwww.webofscience.com%2Fwos%2Fwoscc%2Ffull-record%2FWOS:000425214700023","View Full Record in Web of Science")</f>
        <v>View Full Record in Web of Science</v>
      </c>
    </row>
    <row r="234" spans="1:72" x14ac:dyDescent="0.15">
      <c r="A234" t="s">
        <v>72</v>
      </c>
      <c r="B234" t="s">
        <v>4600</v>
      </c>
      <c r="C234" t="s">
        <v>74</v>
      </c>
      <c r="D234" t="s">
        <v>74</v>
      </c>
      <c r="E234" t="s">
        <v>74</v>
      </c>
      <c r="F234" t="s">
        <v>4601</v>
      </c>
      <c r="G234" t="s">
        <v>74</v>
      </c>
      <c r="H234" t="s">
        <v>74</v>
      </c>
      <c r="I234" t="s">
        <v>4602</v>
      </c>
      <c r="J234" t="s">
        <v>4603</v>
      </c>
      <c r="K234" t="s">
        <v>74</v>
      </c>
      <c r="L234" t="s">
        <v>74</v>
      </c>
      <c r="M234" t="s">
        <v>2706</v>
      </c>
      <c r="N234" t="s">
        <v>79</v>
      </c>
      <c r="O234" t="s">
        <v>74</v>
      </c>
      <c r="P234" t="s">
        <v>74</v>
      </c>
      <c r="Q234" t="s">
        <v>74</v>
      </c>
      <c r="R234" t="s">
        <v>74</v>
      </c>
      <c r="S234" t="s">
        <v>74</v>
      </c>
      <c r="T234" t="s">
        <v>4604</v>
      </c>
      <c r="U234" t="s">
        <v>74</v>
      </c>
      <c r="V234" t="s">
        <v>4605</v>
      </c>
      <c r="W234" t="s">
        <v>4606</v>
      </c>
      <c r="X234" t="s">
        <v>74</v>
      </c>
      <c r="Y234" t="s">
        <v>4607</v>
      </c>
      <c r="Z234" t="s">
        <v>4608</v>
      </c>
      <c r="AA234" t="s">
        <v>74</v>
      </c>
      <c r="AB234" t="s">
        <v>74</v>
      </c>
      <c r="AC234" t="s">
        <v>74</v>
      </c>
      <c r="AD234" t="s">
        <v>74</v>
      </c>
      <c r="AE234" t="s">
        <v>74</v>
      </c>
      <c r="AF234" t="s">
        <v>74</v>
      </c>
      <c r="AG234">
        <v>24</v>
      </c>
      <c r="AH234">
        <v>6</v>
      </c>
      <c r="AI234">
        <v>6</v>
      </c>
      <c r="AJ234">
        <v>0</v>
      </c>
      <c r="AK234">
        <v>1</v>
      </c>
      <c r="AL234" t="s">
        <v>4609</v>
      </c>
      <c r="AM234" t="s">
        <v>4610</v>
      </c>
      <c r="AN234" t="s">
        <v>4611</v>
      </c>
      <c r="AO234" t="s">
        <v>4612</v>
      </c>
      <c r="AP234" t="s">
        <v>4613</v>
      </c>
      <c r="AQ234" t="s">
        <v>74</v>
      </c>
      <c r="AR234" t="s">
        <v>4614</v>
      </c>
      <c r="AS234" t="s">
        <v>4615</v>
      </c>
      <c r="AT234" t="s">
        <v>74</v>
      </c>
      <c r="AU234">
        <v>2017</v>
      </c>
      <c r="AV234">
        <v>328</v>
      </c>
      <c r="AW234">
        <v>3</v>
      </c>
      <c r="AX234" t="s">
        <v>74</v>
      </c>
      <c r="AY234" t="s">
        <v>74</v>
      </c>
      <c r="AZ234" t="s">
        <v>74</v>
      </c>
      <c r="BA234" t="s">
        <v>74</v>
      </c>
      <c r="BB234">
        <v>27</v>
      </c>
      <c r="BC234">
        <v>36</v>
      </c>
      <c r="BD234" t="s">
        <v>74</v>
      </c>
      <c r="BE234" t="s">
        <v>74</v>
      </c>
      <c r="BF234" t="s">
        <v>74</v>
      </c>
      <c r="BG234" t="s">
        <v>74</v>
      </c>
      <c r="BH234" t="s">
        <v>74</v>
      </c>
      <c r="BI234">
        <v>10</v>
      </c>
      <c r="BJ234" t="s">
        <v>4616</v>
      </c>
      <c r="BK234" t="s">
        <v>2057</v>
      </c>
      <c r="BL234" t="s">
        <v>3911</v>
      </c>
      <c r="BM234" t="s">
        <v>4617</v>
      </c>
      <c r="BN234" t="s">
        <v>74</v>
      </c>
      <c r="BO234" t="s">
        <v>74</v>
      </c>
      <c r="BP234" t="s">
        <v>74</v>
      </c>
      <c r="BQ234" t="s">
        <v>74</v>
      </c>
      <c r="BR234" t="s">
        <v>105</v>
      </c>
      <c r="BS234" t="s">
        <v>4618</v>
      </c>
      <c r="BT234" t="str">
        <f>HYPERLINK("https%3A%2F%2Fwww.webofscience.com%2Fwos%2Fwoscc%2Ffull-record%2FWOS:000425622400003","View Full Record in Web of Science")</f>
        <v>View Full Record in Web of Science</v>
      </c>
    </row>
    <row r="235" spans="1:72" x14ac:dyDescent="0.15">
      <c r="A235" t="s">
        <v>1823</v>
      </c>
      <c r="B235" t="s">
        <v>4619</v>
      </c>
      <c r="C235" t="s">
        <v>74</v>
      </c>
      <c r="D235" t="s">
        <v>4620</v>
      </c>
      <c r="E235" t="s">
        <v>74</v>
      </c>
      <c r="F235" t="s">
        <v>4621</v>
      </c>
      <c r="G235" t="s">
        <v>74</v>
      </c>
      <c r="H235" t="s">
        <v>74</v>
      </c>
      <c r="I235" t="s">
        <v>4622</v>
      </c>
      <c r="J235" t="s">
        <v>4623</v>
      </c>
      <c r="K235" t="s">
        <v>4624</v>
      </c>
      <c r="L235" t="s">
        <v>74</v>
      </c>
      <c r="M235" t="s">
        <v>78</v>
      </c>
      <c r="N235" t="s">
        <v>1829</v>
      </c>
      <c r="O235" t="s">
        <v>4625</v>
      </c>
      <c r="P235" t="s">
        <v>4626</v>
      </c>
      <c r="Q235" t="s">
        <v>4627</v>
      </c>
      <c r="R235" t="s">
        <v>74</v>
      </c>
      <c r="S235" t="s">
        <v>4628</v>
      </c>
      <c r="T235" t="s">
        <v>74</v>
      </c>
      <c r="U235" t="s">
        <v>4629</v>
      </c>
      <c r="V235" t="s">
        <v>4630</v>
      </c>
      <c r="W235" t="s">
        <v>4631</v>
      </c>
      <c r="X235" t="s">
        <v>4632</v>
      </c>
      <c r="Y235" t="s">
        <v>4633</v>
      </c>
      <c r="Z235" t="s">
        <v>4634</v>
      </c>
      <c r="AA235" t="s">
        <v>4635</v>
      </c>
      <c r="AB235" t="s">
        <v>4636</v>
      </c>
      <c r="AC235" t="s">
        <v>74</v>
      </c>
      <c r="AD235" t="s">
        <v>74</v>
      </c>
      <c r="AE235" t="s">
        <v>74</v>
      </c>
      <c r="AF235" t="s">
        <v>74</v>
      </c>
      <c r="AG235">
        <v>126</v>
      </c>
      <c r="AH235">
        <v>3</v>
      </c>
      <c r="AI235">
        <v>3</v>
      </c>
      <c r="AJ235">
        <v>0</v>
      </c>
      <c r="AK235">
        <v>3</v>
      </c>
      <c r="AL235" t="s">
        <v>4637</v>
      </c>
      <c r="AM235" t="s">
        <v>4638</v>
      </c>
      <c r="AN235" t="s">
        <v>4639</v>
      </c>
      <c r="AO235" t="s">
        <v>74</v>
      </c>
      <c r="AP235" t="s">
        <v>74</v>
      </c>
      <c r="AQ235" t="s">
        <v>4640</v>
      </c>
      <c r="AR235" t="s">
        <v>4641</v>
      </c>
      <c r="AS235" t="s">
        <v>4642</v>
      </c>
      <c r="AT235" t="s">
        <v>74</v>
      </c>
      <c r="AU235">
        <v>2017</v>
      </c>
      <c r="AV235">
        <v>22</v>
      </c>
      <c r="AW235" t="s">
        <v>74</v>
      </c>
      <c r="AX235" t="s">
        <v>74</v>
      </c>
      <c r="AY235" t="s">
        <v>74</v>
      </c>
      <c r="AZ235" t="s">
        <v>74</v>
      </c>
      <c r="BA235" t="s">
        <v>74</v>
      </c>
      <c r="BB235">
        <v>119</v>
      </c>
      <c r="BC235">
        <v>162</v>
      </c>
      <c r="BD235" t="s">
        <v>74</v>
      </c>
      <c r="BE235" t="s">
        <v>74</v>
      </c>
      <c r="BF235" t="s">
        <v>74</v>
      </c>
      <c r="BG235" t="s">
        <v>74</v>
      </c>
      <c r="BH235" t="s">
        <v>74</v>
      </c>
      <c r="BI235">
        <v>44</v>
      </c>
      <c r="BJ235" t="s">
        <v>548</v>
      </c>
      <c r="BK235" t="s">
        <v>1844</v>
      </c>
      <c r="BL235" t="s">
        <v>548</v>
      </c>
      <c r="BM235" t="s">
        <v>4643</v>
      </c>
      <c r="BN235" t="s">
        <v>74</v>
      </c>
      <c r="BO235" t="s">
        <v>74</v>
      </c>
      <c r="BP235" t="s">
        <v>74</v>
      </c>
      <c r="BQ235" t="s">
        <v>74</v>
      </c>
      <c r="BR235" t="s">
        <v>105</v>
      </c>
      <c r="BS235" t="s">
        <v>4644</v>
      </c>
      <c r="BT235" t="str">
        <f>HYPERLINK("https%3A%2F%2Fwww.webofscience.com%2Fwos%2Fwoscc%2Ffull-record%2FWOS:000425069400012","View Full Record in Web of Science")</f>
        <v>View Full Record in Web of Science</v>
      </c>
    </row>
    <row r="236" spans="1:72" x14ac:dyDescent="0.15">
      <c r="A236" t="s">
        <v>1823</v>
      </c>
      <c r="B236" t="s">
        <v>4645</v>
      </c>
      <c r="C236" t="s">
        <v>74</v>
      </c>
      <c r="D236" t="s">
        <v>74</v>
      </c>
      <c r="E236" t="s">
        <v>1825</v>
      </c>
      <c r="F236" t="s">
        <v>4646</v>
      </c>
      <c r="G236" t="s">
        <v>74</v>
      </c>
      <c r="H236" t="s">
        <v>74</v>
      </c>
      <c r="I236" t="s">
        <v>4647</v>
      </c>
      <c r="J236" t="s">
        <v>4648</v>
      </c>
      <c r="K236" t="s">
        <v>4649</v>
      </c>
      <c r="L236" t="s">
        <v>74</v>
      </c>
      <c r="M236" t="s">
        <v>78</v>
      </c>
      <c r="N236" t="s">
        <v>1829</v>
      </c>
      <c r="O236" t="s">
        <v>4650</v>
      </c>
      <c r="P236" t="s">
        <v>4651</v>
      </c>
      <c r="Q236" t="s">
        <v>4652</v>
      </c>
      <c r="R236" t="s">
        <v>74</v>
      </c>
      <c r="S236" t="s">
        <v>74</v>
      </c>
      <c r="T236" t="s">
        <v>4653</v>
      </c>
      <c r="U236" t="s">
        <v>4654</v>
      </c>
      <c r="V236" t="s">
        <v>4655</v>
      </c>
      <c r="W236" t="s">
        <v>4656</v>
      </c>
      <c r="X236" t="s">
        <v>4657</v>
      </c>
      <c r="Y236" t="s">
        <v>4658</v>
      </c>
      <c r="Z236" t="s">
        <v>4659</v>
      </c>
      <c r="AA236" t="s">
        <v>4660</v>
      </c>
      <c r="AB236" t="s">
        <v>4661</v>
      </c>
      <c r="AC236" t="s">
        <v>74</v>
      </c>
      <c r="AD236" t="s">
        <v>74</v>
      </c>
      <c r="AE236" t="s">
        <v>74</v>
      </c>
      <c r="AF236" t="s">
        <v>74</v>
      </c>
      <c r="AG236">
        <v>10</v>
      </c>
      <c r="AH236">
        <v>13</v>
      </c>
      <c r="AI236">
        <v>13</v>
      </c>
      <c r="AJ236">
        <v>1</v>
      </c>
      <c r="AK236">
        <v>8</v>
      </c>
      <c r="AL236" t="s">
        <v>1825</v>
      </c>
      <c r="AM236" t="s">
        <v>187</v>
      </c>
      <c r="AN236" t="s">
        <v>1842</v>
      </c>
      <c r="AO236" t="s">
        <v>4662</v>
      </c>
      <c r="AP236" t="s">
        <v>74</v>
      </c>
      <c r="AQ236" t="s">
        <v>4663</v>
      </c>
      <c r="AR236" t="s">
        <v>4664</v>
      </c>
      <c r="AS236" t="s">
        <v>74</v>
      </c>
      <c r="AT236" t="s">
        <v>74</v>
      </c>
      <c r="AU236">
        <v>2017</v>
      </c>
      <c r="AV236" t="s">
        <v>74</v>
      </c>
      <c r="AW236" t="s">
        <v>74</v>
      </c>
      <c r="AX236" t="s">
        <v>74</v>
      </c>
      <c r="AY236" t="s">
        <v>74</v>
      </c>
      <c r="AZ236" t="s">
        <v>74</v>
      </c>
      <c r="BA236" t="s">
        <v>74</v>
      </c>
      <c r="BB236">
        <v>316</v>
      </c>
      <c r="BC236">
        <v>319</v>
      </c>
      <c r="BD236" t="s">
        <v>74</v>
      </c>
      <c r="BE236" t="s">
        <v>74</v>
      </c>
      <c r="BF236" t="s">
        <v>74</v>
      </c>
      <c r="BG236" t="s">
        <v>74</v>
      </c>
      <c r="BH236" t="s">
        <v>74</v>
      </c>
      <c r="BI236">
        <v>4</v>
      </c>
      <c r="BJ236" t="s">
        <v>4018</v>
      </c>
      <c r="BK236" t="s">
        <v>1844</v>
      </c>
      <c r="BL236" t="s">
        <v>4019</v>
      </c>
      <c r="BM236" t="s">
        <v>4665</v>
      </c>
      <c r="BN236" t="s">
        <v>74</v>
      </c>
      <c r="BO236" t="s">
        <v>74</v>
      </c>
      <c r="BP236" t="s">
        <v>74</v>
      </c>
      <c r="BQ236" t="s">
        <v>74</v>
      </c>
      <c r="BR236" t="s">
        <v>105</v>
      </c>
      <c r="BS236" t="s">
        <v>4666</v>
      </c>
      <c r="BT236" t="str">
        <f>HYPERLINK("https%3A%2F%2Fwww.webofscience.com%2Fwos%2Fwoscc%2Ffull-record%2FWOS:000425256200090","View Full Record in Web of Science")</f>
        <v>View Full Record in Web of Science</v>
      </c>
    </row>
    <row r="237" spans="1:72" x14ac:dyDescent="0.15">
      <c r="A237" t="s">
        <v>72</v>
      </c>
      <c r="B237" t="s">
        <v>4667</v>
      </c>
      <c r="C237" t="s">
        <v>74</v>
      </c>
      <c r="D237" t="s">
        <v>74</v>
      </c>
      <c r="E237" t="s">
        <v>74</v>
      </c>
      <c r="F237" t="s">
        <v>4668</v>
      </c>
      <c r="G237" t="s">
        <v>74</v>
      </c>
      <c r="H237" t="s">
        <v>74</v>
      </c>
      <c r="I237" t="s">
        <v>4669</v>
      </c>
      <c r="J237" t="s">
        <v>4670</v>
      </c>
      <c r="K237" t="s">
        <v>74</v>
      </c>
      <c r="L237" t="s">
        <v>74</v>
      </c>
      <c r="M237" t="s">
        <v>78</v>
      </c>
      <c r="N237" t="s">
        <v>2034</v>
      </c>
      <c r="O237" t="s">
        <v>74</v>
      </c>
      <c r="P237" t="s">
        <v>74</v>
      </c>
      <c r="Q237" t="s">
        <v>74</v>
      </c>
      <c r="R237" t="s">
        <v>74</v>
      </c>
      <c r="S237" t="s">
        <v>74</v>
      </c>
      <c r="T237" t="s">
        <v>4671</v>
      </c>
      <c r="U237" t="s">
        <v>4672</v>
      </c>
      <c r="V237" t="s">
        <v>4673</v>
      </c>
      <c r="W237" t="s">
        <v>4674</v>
      </c>
      <c r="X237" t="s">
        <v>4675</v>
      </c>
      <c r="Y237" t="s">
        <v>4676</v>
      </c>
      <c r="Z237" t="s">
        <v>4677</v>
      </c>
      <c r="AA237" t="s">
        <v>4678</v>
      </c>
      <c r="AB237" t="s">
        <v>4679</v>
      </c>
      <c r="AC237" t="s">
        <v>4680</v>
      </c>
      <c r="AD237" t="s">
        <v>4681</v>
      </c>
      <c r="AE237" t="s">
        <v>4682</v>
      </c>
      <c r="AF237" t="s">
        <v>74</v>
      </c>
      <c r="AG237">
        <v>143</v>
      </c>
      <c r="AH237">
        <v>5</v>
      </c>
      <c r="AI237">
        <v>5</v>
      </c>
      <c r="AJ237">
        <v>2</v>
      </c>
      <c r="AK237">
        <v>25</v>
      </c>
      <c r="AL237" t="s">
        <v>1967</v>
      </c>
      <c r="AM237" t="s">
        <v>1910</v>
      </c>
      <c r="AN237" t="s">
        <v>1968</v>
      </c>
      <c r="AO237" t="s">
        <v>4683</v>
      </c>
      <c r="AP237" t="s">
        <v>4684</v>
      </c>
      <c r="AQ237" t="s">
        <v>74</v>
      </c>
      <c r="AR237" t="s">
        <v>4685</v>
      </c>
      <c r="AS237" t="s">
        <v>4686</v>
      </c>
      <c r="AT237" t="s">
        <v>74</v>
      </c>
      <c r="AU237">
        <v>2017</v>
      </c>
      <c r="AV237">
        <v>32</v>
      </c>
      <c r="AW237">
        <v>4</v>
      </c>
      <c r="AX237" t="s">
        <v>74</v>
      </c>
      <c r="AY237" t="s">
        <v>74</v>
      </c>
      <c r="AZ237" t="s">
        <v>74</v>
      </c>
      <c r="BA237" t="s">
        <v>74</v>
      </c>
      <c r="BB237">
        <v>363</v>
      </c>
      <c r="BC237">
        <v>408</v>
      </c>
      <c r="BD237" t="s">
        <v>74</v>
      </c>
      <c r="BE237" t="s">
        <v>4687</v>
      </c>
      <c r="BF237" t="str">
        <f>HYPERLINK("http://dx.doi.org/10.1080/0269249X.2017.1395366","http://dx.doi.org/10.1080/0269249X.2017.1395366")</f>
        <v>http://dx.doi.org/10.1080/0269249X.2017.1395366</v>
      </c>
      <c r="BG237" t="s">
        <v>74</v>
      </c>
      <c r="BH237" t="s">
        <v>74</v>
      </c>
      <c r="BI237">
        <v>46</v>
      </c>
      <c r="BJ237" t="s">
        <v>2474</v>
      </c>
      <c r="BK237" t="s">
        <v>101</v>
      </c>
      <c r="BL237" t="s">
        <v>2474</v>
      </c>
      <c r="BM237" t="s">
        <v>4688</v>
      </c>
      <c r="BN237" t="s">
        <v>74</v>
      </c>
      <c r="BO237" t="s">
        <v>74</v>
      </c>
      <c r="BP237" t="s">
        <v>74</v>
      </c>
      <c r="BQ237" t="s">
        <v>74</v>
      </c>
      <c r="BR237" t="s">
        <v>105</v>
      </c>
      <c r="BS237" t="s">
        <v>4689</v>
      </c>
      <c r="BT237" t="str">
        <f>HYPERLINK("https%3A%2F%2Fwww.webofscience.com%2Fwos%2Fwoscc%2Ffull-record%2FWOS:000425688400001","View Full Record in Web of Science")</f>
        <v>View Full Record in Web of Science</v>
      </c>
    </row>
    <row r="238" spans="1:72" x14ac:dyDescent="0.15">
      <c r="A238" t="s">
        <v>72</v>
      </c>
      <c r="B238" t="s">
        <v>4690</v>
      </c>
      <c r="C238" t="s">
        <v>74</v>
      </c>
      <c r="D238" t="s">
        <v>74</v>
      </c>
      <c r="E238" t="s">
        <v>74</v>
      </c>
      <c r="F238" t="s">
        <v>4691</v>
      </c>
      <c r="G238" t="s">
        <v>74</v>
      </c>
      <c r="H238" t="s">
        <v>74</v>
      </c>
      <c r="I238" t="s">
        <v>4692</v>
      </c>
      <c r="J238" t="s">
        <v>4693</v>
      </c>
      <c r="K238" t="s">
        <v>74</v>
      </c>
      <c r="L238" t="s">
        <v>74</v>
      </c>
      <c r="M238" t="s">
        <v>3657</v>
      </c>
      <c r="N238" t="s">
        <v>79</v>
      </c>
      <c r="O238" t="s">
        <v>74</v>
      </c>
      <c r="P238" t="s">
        <v>74</v>
      </c>
      <c r="Q238" t="s">
        <v>74</v>
      </c>
      <c r="R238" t="s">
        <v>74</v>
      </c>
      <c r="S238" t="s">
        <v>74</v>
      </c>
      <c r="T238" t="s">
        <v>74</v>
      </c>
      <c r="U238" t="s">
        <v>4694</v>
      </c>
      <c r="V238" t="s">
        <v>74</v>
      </c>
      <c r="W238" t="s">
        <v>4695</v>
      </c>
      <c r="X238" t="s">
        <v>4696</v>
      </c>
      <c r="Y238" t="s">
        <v>4697</v>
      </c>
      <c r="Z238" t="s">
        <v>74</v>
      </c>
      <c r="AA238" t="s">
        <v>74</v>
      </c>
      <c r="AB238" t="s">
        <v>74</v>
      </c>
      <c r="AC238" t="s">
        <v>74</v>
      </c>
      <c r="AD238" t="s">
        <v>74</v>
      </c>
      <c r="AE238" t="s">
        <v>74</v>
      </c>
      <c r="AF238" t="s">
        <v>74</v>
      </c>
      <c r="AG238">
        <v>55</v>
      </c>
      <c r="AH238">
        <v>1</v>
      </c>
      <c r="AI238">
        <v>2</v>
      </c>
      <c r="AJ238">
        <v>0</v>
      </c>
      <c r="AK238">
        <v>5</v>
      </c>
      <c r="AL238" t="s">
        <v>1909</v>
      </c>
      <c r="AM238" t="s">
        <v>1910</v>
      </c>
      <c r="AN238" t="s">
        <v>1911</v>
      </c>
      <c r="AO238" t="s">
        <v>4698</v>
      </c>
      <c r="AP238" t="s">
        <v>4699</v>
      </c>
      <c r="AQ238" t="s">
        <v>74</v>
      </c>
      <c r="AR238" t="s">
        <v>4700</v>
      </c>
      <c r="AS238" t="s">
        <v>4701</v>
      </c>
      <c r="AT238" t="s">
        <v>74</v>
      </c>
      <c r="AU238">
        <v>2017</v>
      </c>
      <c r="AV238">
        <v>26</v>
      </c>
      <c r="AW238">
        <v>4</v>
      </c>
      <c r="AX238" t="s">
        <v>74</v>
      </c>
      <c r="AY238" t="s">
        <v>74</v>
      </c>
      <c r="AZ238" t="s">
        <v>74</v>
      </c>
      <c r="BA238" t="s">
        <v>74</v>
      </c>
      <c r="BB238">
        <v>421</v>
      </c>
      <c r="BC238">
        <v>438</v>
      </c>
      <c r="BD238" t="s">
        <v>74</v>
      </c>
      <c r="BE238" t="s">
        <v>4702</v>
      </c>
      <c r="BF238" t="str">
        <f>HYPERLINK("http://dx.doi.org/10.1080/10609164.2017.1402230","http://dx.doi.org/10.1080/10609164.2017.1402230")</f>
        <v>http://dx.doi.org/10.1080/10609164.2017.1402230</v>
      </c>
      <c r="BG238" t="s">
        <v>74</v>
      </c>
      <c r="BH238" t="s">
        <v>74</v>
      </c>
      <c r="BI238">
        <v>18</v>
      </c>
      <c r="BJ238" t="s">
        <v>4703</v>
      </c>
      <c r="BK238" t="s">
        <v>4704</v>
      </c>
      <c r="BL238" t="s">
        <v>4703</v>
      </c>
      <c r="BM238" t="s">
        <v>4705</v>
      </c>
      <c r="BN238" t="s">
        <v>74</v>
      </c>
      <c r="BO238" t="s">
        <v>74</v>
      </c>
      <c r="BP238" t="s">
        <v>74</v>
      </c>
      <c r="BQ238" t="s">
        <v>74</v>
      </c>
      <c r="BR238" t="s">
        <v>105</v>
      </c>
      <c r="BS238" t="s">
        <v>4706</v>
      </c>
      <c r="BT238" t="str">
        <f>HYPERLINK("https%3A%2F%2Fwww.webofscience.com%2Fwos%2Fwoscc%2Ffull-record%2FWOS:000424342700002","View Full Record in Web of Science")</f>
        <v>View Full Record in Web of Science</v>
      </c>
    </row>
    <row r="239" spans="1:72" x14ac:dyDescent="0.15">
      <c r="A239" t="s">
        <v>72</v>
      </c>
      <c r="B239" t="s">
        <v>4707</v>
      </c>
      <c r="C239" t="s">
        <v>74</v>
      </c>
      <c r="D239" t="s">
        <v>74</v>
      </c>
      <c r="E239" t="s">
        <v>74</v>
      </c>
      <c r="F239" t="s">
        <v>4708</v>
      </c>
      <c r="G239" t="s">
        <v>74</v>
      </c>
      <c r="H239" t="s">
        <v>74</v>
      </c>
      <c r="I239" t="s">
        <v>4709</v>
      </c>
      <c r="J239" t="s">
        <v>4710</v>
      </c>
      <c r="K239" t="s">
        <v>74</v>
      </c>
      <c r="L239" t="s">
        <v>74</v>
      </c>
      <c r="M239" t="s">
        <v>78</v>
      </c>
      <c r="N239" t="s">
        <v>79</v>
      </c>
      <c r="O239" t="s">
        <v>74</v>
      </c>
      <c r="P239" t="s">
        <v>74</v>
      </c>
      <c r="Q239" t="s">
        <v>74</v>
      </c>
      <c r="R239" t="s">
        <v>74</v>
      </c>
      <c r="S239" t="s">
        <v>74</v>
      </c>
      <c r="T239" t="s">
        <v>4711</v>
      </c>
      <c r="U239" t="s">
        <v>4712</v>
      </c>
      <c r="V239" t="s">
        <v>4713</v>
      </c>
      <c r="W239" t="s">
        <v>4714</v>
      </c>
      <c r="X239" t="s">
        <v>4715</v>
      </c>
      <c r="Y239" t="s">
        <v>4716</v>
      </c>
      <c r="Z239" t="s">
        <v>4717</v>
      </c>
      <c r="AA239" t="s">
        <v>4718</v>
      </c>
      <c r="AB239" t="s">
        <v>74</v>
      </c>
      <c r="AC239" t="s">
        <v>4719</v>
      </c>
      <c r="AD239" t="s">
        <v>4720</v>
      </c>
      <c r="AE239" t="s">
        <v>4721</v>
      </c>
      <c r="AF239" t="s">
        <v>74</v>
      </c>
      <c r="AG239">
        <v>46</v>
      </c>
      <c r="AH239">
        <v>6</v>
      </c>
      <c r="AI239">
        <v>6</v>
      </c>
      <c r="AJ239">
        <v>0</v>
      </c>
      <c r="AK239">
        <v>3</v>
      </c>
      <c r="AL239" t="s">
        <v>4722</v>
      </c>
      <c r="AM239" t="s">
        <v>4723</v>
      </c>
      <c r="AN239" t="s">
        <v>4724</v>
      </c>
      <c r="AO239" t="s">
        <v>4725</v>
      </c>
      <c r="AP239" t="s">
        <v>74</v>
      </c>
      <c r="AQ239" t="s">
        <v>74</v>
      </c>
      <c r="AR239" t="s">
        <v>4726</v>
      </c>
      <c r="AS239" t="s">
        <v>4727</v>
      </c>
      <c r="AT239" t="s">
        <v>74</v>
      </c>
      <c r="AU239">
        <v>2017</v>
      </c>
      <c r="AV239">
        <v>25</v>
      </c>
      <c r="AW239">
        <v>3</v>
      </c>
      <c r="AX239" t="s">
        <v>74</v>
      </c>
      <c r="AY239" t="s">
        <v>74</v>
      </c>
      <c r="AZ239" t="s">
        <v>74</v>
      </c>
      <c r="BA239" t="s">
        <v>74</v>
      </c>
      <c r="BB239">
        <v>255</v>
      </c>
      <c r="BC239">
        <v>264</v>
      </c>
      <c r="BD239" t="s">
        <v>74</v>
      </c>
      <c r="BE239" t="s">
        <v>74</v>
      </c>
      <c r="BF239" t="s">
        <v>74</v>
      </c>
      <c r="BG239" t="s">
        <v>74</v>
      </c>
      <c r="BH239" t="s">
        <v>74</v>
      </c>
      <c r="BI239">
        <v>10</v>
      </c>
      <c r="BJ239" t="s">
        <v>1395</v>
      </c>
      <c r="BK239" t="s">
        <v>2057</v>
      </c>
      <c r="BL239" t="s">
        <v>1396</v>
      </c>
      <c r="BM239" t="s">
        <v>4728</v>
      </c>
      <c r="BN239" t="s">
        <v>74</v>
      </c>
      <c r="BO239" t="s">
        <v>74</v>
      </c>
      <c r="BP239" t="s">
        <v>74</v>
      </c>
      <c r="BQ239" t="s">
        <v>74</v>
      </c>
      <c r="BR239" t="s">
        <v>105</v>
      </c>
      <c r="BS239" t="s">
        <v>4729</v>
      </c>
      <c r="BT239" t="str">
        <f>HYPERLINK("https%3A%2F%2Fwww.webofscience.com%2Fwos%2Fwoscc%2Ffull-record%2FWOS:000424489100005","View Full Record in Web of Science")</f>
        <v>View Full Record in Web of Science</v>
      </c>
    </row>
    <row r="240" spans="1:72" x14ac:dyDescent="0.15">
      <c r="A240" t="s">
        <v>1823</v>
      </c>
      <c r="B240" t="s">
        <v>4730</v>
      </c>
      <c r="C240" t="s">
        <v>74</v>
      </c>
      <c r="D240" t="s">
        <v>74</v>
      </c>
      <c r="E240" t="s">
        <v>4290</v>
      </c>
      <c r="F240" t="s">
        <v>4731</v>
      </c>
      <c r="G240" t="s">
        <v>74</v>
      </c>
      <c r="H240" t="s">
        <v>74</v>
      </c>
      <c r="I240" t="s">
        <v>4732</v>
      </c>
      <c r="J240" t="s">
        <v>4733</v>
      </c>
      <c r="K240" t="s">
        <v>4734</v>
      </c>
      <c r="L240" t="s">
        <v>74</v>
      </c>
      <c r="M240" t="s">
        <v>78</v>
      </c>
      <c r="N240" t="s">
        <v>1829</v>
      </c>
      <c r="O240" t="s">
        <v>4735</v>
      </c>
      <c r="P240" t="s">
        <v>4736</v>
      </c>
      <c r="Q240" t="s">
        <v>4737</v>
      </c>
      <c r="R240" t="s">
        <v>74</v>
      </c>
      <c r="S240" t="s">
        <v>74</v>
      </c>
      <c r="T240" t="s">
        <v>74</v>
      </c>
      <c r="U240" t="s">
        <v>74</v>
      </c>
      <c r="V240" t="s">
        <v>4738</v>
      </c>
      <c r="W240" t="s">
        <v>4368</v>
      </c>
      <c r="X240" t="s">
        <v>4369</v>
      </c>
      <c r="Y240" t="s">
        <v>4370</v>
      </c>
      <c r="Z240" t="s">
        <v>4739</v>
      </c>
      <c r="AA240" t="s">
        <v>74</v>
      </c>
      <c r="AB240" t="s">
        <v>74</v>
      </c>
      <c r="AC240" t="s">
        <v>4740</v>
      </c>
      <c r="AD240" t="s">
        <v>4741</v>
      </c>
      <c r="AE240" t="s">
        <v>4742</v>
      </c>
      <c r="AF240" t="s">
        <v>74</v>
      </c>
      <c r="AG240">
        <v>2</v>
      </c>
      <c r="AH240">
        <v>0</v>
      </c>
      <c r="AI240">
        <v>0</v>
      </c>
      <c r="AJ240">
        <v>0</v>
      </c>
      <c r="AK240">
        <v>4</v>
      </c>
      <c r="AL240" t="s">
        <v>4304</v>
      </c>
      <c r="AM240" t="s">
        <v>4305</v>
      </c>
      <c r="AN240" t="s">
        <v>4306</v>
      </c>
      <c r="AO240" t="s">
        <v>4743</v>
      </c>
      <c r="AP240" t="s">
        <v>4744</v>
      </c>
      <c r="AQ240" t="s">
        <v>74</v>
      </c>
      <c r="AR240" t="s">
        <v>4745</v>
      </c>
      <c r="AS240" t="s">
        <v>74</v>
      </c>
      <c r="AT240" t="s">
        <v>74</v>
      </c>
      <c r="AU240">
        <v>2017</v>
      </c>
      <c r="AV240">
        <v>916</v>
      </c>
      <c r="AW240" t="s">
        <v>74</v>
      </c>
      <c r="AX240" t="s">
        <v>74</v>
      </c>
      <c r="AY240" t="s">
        <v>74</v>
      </c>
      <c r="AZ240" t="s">
        <v>74</v>
      </c>
      <c r="BA240" t="s">
        <v>74</v>
      </c>
      <c r="BB240" t="s">
        <v>74</v>
      </c>
      <c r="BC240" t="s">
        <v>74</v>
      </c>
      <c r="BD240">
        <v>12021</v>
      </c>
      <c r="BE240" t="s">
        <v>4746</v>
      </c>
      <c r="BF240" t="str">
        <f>HYPERLINK("http://dx.doi.org/10.1088/1742-6596/916/1/012021","http://dx.doi.org/10.1088/1742-6596/916/1/012021")</f>
        <v>http://dx.doi.org/10.1088/1742-6596/916/1/012021</v>
      </c>
      <c r="BG240" t="s">
        <v>74</v>
      </c>
      <c r="BH240" t="s">
        <v>74</v>
      </c>
      <c r="BI240">
        <v>5</v>
      </c>
      <c r="BJ240" t="s">
        <v>4747</v>
      </c>
      <c r="BK240" t="s">
        <v>1844</v>
      </c>
      <c r="BL240" t="s">
        <v>3892</v>
      </c>
      <c r="BM240" t="s">
        <v>4748</v>
      </c>
      <c r="BN240" t="s">
        <v>74</v>
      </c>
      <c r="BO240" t="s">
        <v>941</v>
      </c>
      <c r="BP240" t="s">
        <v>74</v>
      </c>
      <c r="BQ240" t="s">
        <v>74</v>
      </c>
      <c r="BR240" t="s">
        <v>105</v>
      </c>
      <c r="BS240" t="s">
        <v>4749</v>
      </c>
      <c r="BT240" t="str">
        <f>HYPERLINK("https%3A%2F%2Fwww.webofscience.com%2Fwos%2Fwoscc%2Ffull-record%2FWOS:000424081500021","View Full Record in Web of Science")</f>
        <v>View Full Record in Web of Science</v>
      </c>
    </row>
    <row r="241" spans="1:72" x14ac:dyDescent="0.15">
      <c r="A241" t="s">
        <v>72</v>
      </c>
      <c r="B241" t="s">
        <v>4750</v>
      </c>
      <c r="C241" t="s">
        <v>74</v>
      </c>
      <c r="D241" t="s">
        <v>74</v>
      </c>
      <c r="E241" t="s">
        <v>74</v>
      </c>
      <c r="F241" t="s">
        <v>4751</v>
      </c>
      <c r="G241" t="s">
        <v>74</v>
      </c>
      <c r="H241" t="s">
        <v>74</v>
      </c>
      <c r="I241" t="s">
        <v>4752</v>
      </c>
      <c r="J241" t="s">
        <v>4753</v>
      </c>
      <c r="K241" t="s">
        <v>74</v>
      </c>
      <c r="L241" t="s">
        <v>74</v>
      </c>
      <c r="M241" t="s">
        <v>78</v>
      </c>
      <c r="N241" t="s">
        <v>1980</v>
      </c>
      <c r="O241" t="s">
        <v>4754</v>
      </c>
      <c r="P241" t="s">
        <v>4755</v>
      </c>
      <c r="Q241" t="s">
        <v>4756</v>
      </c>
      <c r="R241" t="s">
        <v>74</v>
      </c>
      <c r="S241" t="s">
        <v>4757</v>
      </c>
      <c r="T241" t="s">
        <v>4758</v>
      </c>
      <c r="U241" t="s">
        <v>4759</v>
      </c>
      <c r="V241" t="s">
        <v>4760</v>
      </c>
      <c r="W241" t="s">
        <v>4761</v>
      </c>
      <c r="X241" t="s">
        <v>4762</v>
      </c>
      <c r="Y241" t="s">
        <v>4763</v>
      </c>
      <c r="Z241" t="s">
        <v>4764</v>
      </c>
      <c r="AA241" t="s">
        <v>4765</v>
      </c>
      <c r="AB241" t="s">
        <v>4766</v>
      </c>
      <c r="AC241" t="s">
        <v>4767</v>
      </c>
      <c r="AD241" t="s">
        <v>4768</v>
      </c>
      <c r="AE241" t="s">
        <v>4769</v>
      </c>
      <c r="AF241" t="s">
        <v>74</v>
      </c>
      <c r="AG241">
        <v>118</v>
      </c>
      <c r="AH241">
        <v>6</v>
      </c>
      <c r="AI241">
        <v>6</v>
      </c>
      <c r="AJ241">
        <v>1</v>
      </c>
      <c r="AK241">
        <v>22</v>
      </c>
      <c r="AL241" t="s">
        <v>2276</v>
      </c>
      <c r="AM241" t="s">
        <v>2277</v>
      </c>
      <c r="AN241" t="s">
        <v>2278</v>
      </c>
      <c r="AO241" t="s">
        <v>4770</v>
      </c>
      <c r="AP241" t="s">
        <v>4771</v>
      </c>
      <c r="AQ241" t="s">
        <v>74</v>
      </c>
      <c r="AR241" t="s">
        <v>4772</v>
      </c>
      <c r="AS241" t="s">
        <v>4773</v>
      </c>
      <c r="AT241" t="s">
        <v>74</v>
      </c>
      <c r="AU241">
        <v>2017</v>
      </c>
      <c r="AV241">
        <v>39</v>
      </c>
      <c r="AW241" t="s">
        <v>4774</v>
      </c>
      <c r="AX241" t="s">
        <v>74</v>
      </c>
      <c r="AY241" t="s">
        <v>74</v>
      </c>
      <c r="AZ241" t="s">
        <v>270</v>
      </c>
      <c r="BA241" t="s">
        <v>74</v>
      </c>
      <c r="BB241">
        <v>537</v>
      </c>
      <c r="BC241">
        <v>549</v>
      </c>
      <c r="BD241" t="s">
        <v>74</v>
      </c>
      <c r="BE241" t="s">
        <v>4775</v>
      </c>
      <c r="BF241" t="str">
        <f>HYPERLINK("http://dx.doi.org/10.1071/RJ17073","http://dx.doi.org/10.1071/RJ17073")</f>
        <v>http://dx.doi.org/10.1071/RJ17073</v>
      </c>
      <c r="BG241" t="s">
        <v>74</v>
      </c>
      <c r="BH241" t="s">
        <v>74</v>
      </c>
      <c r="BI241">
        <v>13</v>
      </c>
      <c r="BJ241" t="s">
        <v>1739</v>
      </c>
      <c r="BK241" t="s">
        <v>2004</v>
      </c>
      <c r="BL241" t="s">
        <v>178</v>
      </c>
      <c r="BM241" t="s">
        <v>4776</v>
      </c>
      <c r="BN241" t="s">
        <v>74</v>
      </c>
      <c r="BO241" t="s">
        <v>74</v>
      </c>
      <c r="BP241" t="s">
        <v>74</v>
      </c>
      <c r="BQ241" t="s">
        <v>74</v>
      </c>
      <c r="BR241" t="s">
        <v>105</v>
      </c>
      <c r="BS241" t="s">
        <v>4777</v>
      </c>
      <c r="BT241" t="str">
        <f>HYPERLINK("https%3A%2F%2Fwww.webofscience.com%2Fwos%2Fwoscc%2Ffull-record%2FWOS:000423401600011","View Full Record in Web of Science")</f>
        <v>View Full Record in Web of Science</v>
      </c>
    </row>
    <row r="242" spans="1:72" x14ac:dyDescent="0.15">
      <c r="A242" t="s">
        <v>72</v>
      </c>
      <c r="B242" t="s">
        <v>4778</v>
      </c>
      <c r="C242" t="s">
        <v>74</v>
      </c>
      <c r="D242" t="s">
        <v>74</v>
      </c>
      <c r="E242" t="s">
        <v>74</v>
      </c>
      <c r="F242" t="s">
        <v>4779</v>
      </c>
      <c r="G242" t="s">
        <v>74</v>
      </c>
      <c r="H242" t="s">
        <v>74</v>
      </c>
      <c r="I242" t="s">
        <v>4780</v>
      </c>
      <c r="J242" t="s">
        <v>4781</v>
      </c>
      <c r="K242" t="s">
        <v>74</v>
      </c>
      <c r="L242" t="s">
        <v>74</v>
      </c>
      <c r="M242" t="s">
        <v>78</v>
      </c>
      <c r="N242" t="s">
        <v>79</v>
      </c>
      <c r="O242" t="s">
        <v>74</v>
      </c>
      <c r="P242" t="s">
        <v>74</v>
      </c>
      <c r="Q242" t="s">
        <v>74</v>
      </c>
      <c r="R242" t="s">
        <v>74</v>
      </c>
      <c r="S242" t="s">
        <v>74</v>
      </c>
      <c r="T242" t="s">
        <v>4782</v>
      </c>
      <c r="U242" t="s">
        <v>4783</v>
      </c>
      <c r="V242" t="s">
        <v>4784</v>
      </c>
      <c r="W242" t="s">
        <v>4785</v>
      </c>
      <c r="X242" t="s">
        <v>4786</v>
      </c>
      <c r="Y242" t="s">
        <v>4787</v>
      </c>
      <c r="Z242" t="s">
        <v>4788</v>
      </c>
      <c r="AA242" t="s">
        <v>4789</v>
      </c>
      <c r="AB242" t="s">
        <v>74</v>
      </c>
      <c r="AC242" t="s">
        <v>74</v>
      </c>
      <c r="AD242" t="s">
        <v>74</v>
      </c>
      <c r="AE242" t="s">
        <v>74</v>
      </c>
      <c r="AF242" t="s">
        <v>74</v>
      </c>
      <c r="AG242">
        <v>114</v>
      </c>
      <c r="AH242">
        <v>9</v>
      </c>
      <c r="AI242">
        <v>10</v>
      </c>
      <c r="AJ242">
        <v>1</v>
      </c>
      <c r="AK242">
        <v>14</v>
      </c>
      <c r="AL242" t="s">
        <v>1909</v>
      </c>
      <c r="AM242" t="s">
        <v>1910</v>
      </c>
      <c r="AN242" t="s">
        <v>1911</v>
      </c>
      <c r="AO242" t="s">
        <v>4790</v>
      </c>
      <c r="AP242" t="s">
        <v>4791</v>
      </c>
      <c r="AQ242" t="s">
        <v>74</v>
      </c>
      <c r="AR242" t="s">
        <v>4792</v>
      </c>
      <c r="AS242" t="s">
        <v>4793</v>
      </c>
      <c r="AT242" t="s">
        <v>74</v>
      </c>
      <c r="AU242">
        <v>2017</v>
      </c>
      <c r="AV242">
        <v>26</v>
      </c>
      <c r="AW242">
        <v>2</v>
      </c>
      <c r="AX242" t="s">
        <v>74</v>
      </c>
      <c r="AY242" t="s">
        <v>74</v>
      </c>
      <c r="AZ242" t="s">
        <v>270</v>
      </c>
      <c r="BA242" t="s">
        <v>74</v>
      </c>
      <c r="BB242">
        <v>154</v>
      </c>
      <c r="BC242">
        <v>177</v>
      </c>
      <c r="BD242" t="s">
        <v>74</v>
      </c>
      <c r="BE242" t="s">
        <v>4794</v>
      </c>
      <c r="BF242" t="str">
        <f>HYPERLINK("http://dx.doi.org/10.1080/10383441.2017.1348437","http://dx.doi.org/10.1080/10383441.2017.1348437")</f>
        <v>http://dx.doi.org/10.1080/10383441.2017.1348437</v>
      </c>
      <c r="BG242" t="s">
        <v>74</v>
      </c>
      <c r="BH242" t="s">
        <v>74</v>
      </c>
      <c r="BI242">
        <v>24</v>
      </c>
      <c r="BJ242" t="s">
        <v>4429</v>
      </c>
      <c r="BK242" t="s">
        <v>2057</v>
      </c>
      <c r="BL242" t="s">
        <v>4430</v>
      </c>
      <c r="BM242" t="s">
        <v>4795</v>
      </c>
      <c r="BN242" t="s">
        <v>74</v>
      </c>
      <c r="BO242" t="s">
        <v>74</v>
      </c>
      <c r="BP242" t="s">
        <v>74</v>
      </c>
      <c r="BQ242" t="s">
        <v>74</v>
      </c>
      <c r="BR242" t="s">
        <v>105</v>
      </c>
      <c r="BS242" t="s">
        <v>4796</v>
      </c>
      <c r="BT242" t="str">
        <f>HYPERLINK("https%3A%2F%2Fwww.webofscience.com%2Fwos%2Fwoscc%2Ffull-record%2FWOS:000423951300002","View Full Record in Web of Science")</f>
        <v>View Full Record in Web of Science</v>
      </c>
    </row>
    <row r="243" spans="1:72" x14ac:dyDescent="0.15">
      <c r="A243" t="s">
        <v>72</v>
      </c>
      <c r="B243" t="s">
        <v>4797</v>
      </c>
      <c r="C243" t="s">
        <v>74</v>
      </c>
      <c r="D243" t="s">
        <v>74</v>
      </c>
      <c r="E243" t="s">
        <v>74</v>
      </c>
      <c r="F243" t="s">
        <v>4798</v>
      </c>
      <c r="G243" t="s">
        <v>74</v>
      </c>
      <c r="H243" t="s">
        <v>74</v>
      </c>
      <c r="I243" t="s">
        <v>4799</v>
      </c>
      <c r="J243" t="s">
        <v>4800</v>
      </c>
      <c r="K243" t="s">
        <v>74</v>
      </c>
      <c r="L243" t="s">
        <v>74</v>
      </c>
      <c r="M243" t="s">
        <v>78</v>
      </c>
      <c r="N243" t="s">
        <v>79</v>
      </c>
      <c r="O243" t="s">
        <v>74</v>
      </c>
      <c r="P243" t="s">
        <v>74</v>
      </c>
      <c r="Q243" t="s">
        <v>74</v>
      </c>
      <c r="R243" t="s">
        <v>74</v>
      </c>
      <c r="S243" t="s">
        <v>74</v>
      </c>
      <c r="T243" t="s">
        <v>4801</v>
      </c>
      <c r="U243" t="s">
        <v>4802</v>
      </c>
      <c r="V243" t="s">
        <v>4803</v>
      </c>
      <c r="W243" t="s">
        <v>4804</v>
      </c>
      <c r="X243" t="s">
        <v>4805</v>
      </c>
      <c r="Y243" t="s">
        <v>4806</v>
      </c>
      <c r="Z243" t="s">
        <v>4807</v>
      </c>
      <c r="AA243" t="s">
        <v>74</v>
      </c>
      <c r="AB243" t="s">
        <v>74</v>
      </c>
      <c r="AC243" t="s">
        <v>4808</v>
      </c>
      <c r="AD243" t="s">
        <v>4809</v>
      </c>
      <c r="AE243" t="s">
        <v>4810</v>
      </c>
      <c r="AF243" t="s">
        <v>74</v>
      </c>
      <c r="AG243">
        <v>29</v>
      </c>
      <c r="AH243">
        <v>11</v>
      </c>
      <c r="AI243">
        <v>12</v>
      </c>
      <c r="AJ243">
        <v>12</v>
      </c>
      <c r="AK243">
        <v>62</v>
      </c>
      <c r="AL243" t="s">
        <v>2103</v>
      </c>
      <c r="AM243" t="s">
        <v>2104</v>
      </c>
      <c r="AN243" t="s">
        <v>2105</v>
      </c>
      <c r="AO243" t="s">
        <v>4811</v>
      </c>
      <c r="AP243" t="s">
        <v>4812</v>
      </c>
      <c r="AQ243" t="s">
        <v>74</v>
      </c>
      <c r="AR243" t="s">
        <v>4813</v>
      </c>
      <c r="AS243" t="s">
        <v>4814</v>
      </c>
      <c r="AT243" t="s">
        <v>74</v>
      </c>
      <c r="AU243">
        <v>2017</v>
      </c>
      <c r="AV243">
        <v>20</v>
      </c>
      <c r="AW243" t="s">
        <v>74</v>
      </c>
      <c r="AX243" t="s">
        <v>74</v>
      </c>
      <c r="AY243">
        <v>1</v>
      </c>
      <c r="AZ243" t="s">
        <v>74</v>
      </c>
      <c r="BA243" t="s">
        <v>74</v>
      </c>
      <c r="BB243" t="s">
        <v>4815</v>
      </c>
      <c r="BC243" t="s">
        <v>4816</v>
      </c>
      <c r="BD243" t="s">
        <v>74</v>
      </c>
      <c r="BE243" t="s">
        <v>4817</v>
      </c>
      <c r="BF243" t="str">
        <f>HYPERLINK("http://dx.doi.org/10.1080/10942912.2017.1315589","http://dx.doi.org/10.1080/10942912.2017.1315589")</f>
        <v>http://dx.doi.org/10.1080/10942912.2017.1315589</v>
      </c>
      <c r="BG243" t="s">
        <v>74</v>
      </c>
      <c r="BH243" t="s">
        <v>74</v>
      </c>
      <c r="BI243">
        <v>10</v>
      </c>
      <c r="BJ243" t="s">
        <v>4818</v>
      </c>
      <c r="BK243" t="s">
        <v>101</v>
      </c>
      <c r="BL243" t="s">
        <v>4818</v>
      </c>
      <c r="BM243" t="s">
        <v>4819</v>
      </c>
      <c r="BN243" t="s">
        <v>74</v>
      </c>
      <c r="BO243" t="s">
        <v>672</v>
      </c>
      <c r="BP243" t="s">
        <v>74</v>
      </c>
      <c r="BQ243" t="s">
        <v>74</v>
      </c>
      <c r="BR243" t="s">
        <v>105</v>
      </c>
      <c r="BS243" t="s">
        <v>4820</v>
      </c>
      <c r="BT243" t="str">
        <f>HYPERLINK("https%3A%2F%2Fwww.webofscience.com%2Fwos%2Fwoscc%2Ffull-record%2FWOS:000423507200071","View Full Record in Web of Science")</f>
        <v>View Full Record in Web of Science</v>
      </c>
    </row>
    <row r="244" spans="1:72" x14ac:dyDescent="0.15">
      <c r="A244" t="s">
        <v>72</v>
      </c>
      <c r="B244" t="s">
        <v>4821</v>
      </c>
      <c r="C244" t="s">
        <v>74</v>
      </c>
      <c r="D244" t="s">
        <v>74</v>
      </c>
      <c r="E244" t="s">
        <v>74</v>
      </c>
      <c r="F244" t="s">
        <v>4822</v>
      </c>
      <c r="G244" t="s">
        <v>74</v>
      </c>
      <c r="H244" t="s">
        <v>74</v>
      </c>
      <c r="I244" t="s">
        <v>4823</v>
      </c>
      <c r="J244" t="s">
        <v>4824</v>
      </c>
      <c r="K244" t="s">
        <v>74</v>
      </c>
      <c r="L244" t="s">
        <v>74</v>
      </c>
      <c r="M244" t="s">
        <v>78</v>
      </c>
      <c r="N244" t="s">
        <v>79</v>
      </c>
      <c r="O244" t="s">
        <v>74</v>
      </c>
      <c r="P244" t="s">
        <v>74</v>
      </c>
      <c r="Q244" t="s">
        <v>74</v>
      </c>
      <c r="R244" t="s">
        <v>74</v>
      </c>
      <c r="S244" t="s">
        <v>74</v>
      </c>
      <c r="T244" t="s">
        <v>4825</v>
      </c>
      <c r="U244" t="s">
        <v>4826</v>
      </c>
      <c r="V244" t="s">
        <v>4827</v>
      </c>
      <c r="W244" t="s">
        <v>4828</v>
      </c>
      <c r="X244" t="s">
        <v>4829</v>
      </c>
      <c r="Y244" t="s">
        <v>4830</v>
      </c>
      <c r="Z244" t="s">
        <v>4831</v>
      </c>
      <c r="AA244" t="s">
        <v>74</v>
      </c>
      <c r="AB244" t="s">
        <v>74</v>
      </c>
      <c r="AC244" t="s">
        <v>74</v>
      </c>
      <c r="AD244" t="s">
        <v>74</v>
      </c>
      <c r="AE244" t="s">
        <v>74</v>
      </c>
      <c r="AF244" t="s">
        <v>74</v>
      </c>
      <c r="AG244">
        <v>37</v>
      </c>
      <c r="AH244">
        <v>0</v>
      </c>
      <c r="AI244">
        <v>1</v>
      </c>
      <c r="AJ244">
        <v>0</v>
      </c>
      <c r="AK244">
        <v>12</v>
      </c>
      <c r="AL244" t="s">
        <v>1909</v>
      </c>
      <c r="AM244" t="s">
        <v>1910</v>
      </c>
      <c r="AN244" t="s">
        <v>1911</v>
      </c>
      <c r="AO244" t="s">
        <v>4832</v>
      </c>
      <c r="AP244" t="s">
        <v>4833</v>
      </c>
      <c r="AQ244" t="s">
        <v>74</v>
      </c>
      <c r="AR244" t="s">
        <v>4834</v>
      </c>
      <c r="AS244" t="s">
        <v>4835</v>
      </c>
      <c r="AT244" t="s">
        <v>74</v>
      </c>
      <c r="AU244">
        <v>2017</v>
      </c>
      <c r="AV244">
        <v>15</v>
      </c>
      <c r="AW244">
        <v>4</v>
      </c>
      <c r="AX244" t="s">
        <v>74</v>
      </c>
      <c r="AY244" t="s">
        <v>74</v>
      </c>
      <c r="AZ244" t="s">
        <v>74</v>
      </c>
      <c r="BA244" t="s">
        <v>74</v>
      </c>
      <c r="BB244">
        <v>357</v>
      </c>
      <c r="BC244">
        <v>364</v>
      </c>
      <c r="BD244" t="s">
        <v>74</v>
      </c>
      <c r="BE244" t="s">
        <v>4836</v>
      </c>
      <c r="BF244" t="str">
        <f>HYPERLINK("http://dx.doi.org/10.1080/10042857.2017.1365453","http://dx.doi.org/10.1080/10042857.2017.1365453")</f>
        <v>http://dx.doi.org/10.1080/10042857.2017.1365453</v>
      </c>
      <c r="BG244" t="s">
        <v>74</v>
      </c>
      <c r="BH244" t="s">
        <v>74</v>
      </c>
      <c r="BI244">
        <v>8</v>
      </c>
      <c r="BJ244" t="s">
        <v>2306</v>
      </c>
      <c r="BK244" t="s">
        <v>2057</v>
      </c>
      <c r="BL244" t="s">
        <v>178</v>
      </c>
      <c r="BM244" t="s">
        <v>4837</v>
      </c>
      <c r="BN244" t="s">
        <v>74</v>
      </c>
      <c r="BO244" t="s">
        <v>74</v>
      </c>
      <c r="BP244" t="s">
        <v>74</v>
      </c>
      <c r="BQ244" t="s">
        <v>74</v>
      </c>
      <c r="BR244" t="s">
        <v>105</v>
      </c>
      <c r="BS244" t="s">
        <v>4838</v>
      </c>
      <c r="BT244" t="str">
        <f>HYPERLINK("https%3A%2F%2Fwww.webofscience.com%2Fwos%2Fwoscc%2Ffull-record%2FWOS:000423924100009","View Full Record in Web of Science")</f>
        <v>View Full Record in Web of Science</v>
      </c>
    </row>
    <row r="245" spans="1:72" x14ac:dyDescent="0.15">
      <c r="A245" t="s">
        <v>72</v>
      </c>
      <c r="B245" t="s">
        <v>4839</v>
      </c>
      <c r="C245" t="s">
        <v>74</v>
      </c>
      <c r="D245" t="s">
        <v>74</v>
      </c>
      <c r="E245" t="s">
        <v>74</v>
      </c>
      <c r="F245" t="s">
        <v>4840</v>
      </c>
      <c r="G245" t="s">
        <v>74</v>
      </c>
      <c r="H245" t="s">
        <v>74</v>
      </c>
      <c r="I245" t="s">
        <v>4841</v>
      </c>
      <c r="J245" t="s">
        <v>4842</v>
      </c>
      <c r="K245" t="s">
        <v>74</v>
      </c>
      <c r="L245" t="s">
        <v>74</v>
      </c>
      <c r="M245" t="s">
        <v>78</v>
      </c>
      <c r="N245" t="s">
        <v>79</v>
      </c>
      <c r="O245" t="s">
        <v>74</v>
      </c>
      <c r="P245" t="s">
        <v>74</v>
      </c>
      <c r="Q245" t="s">
        <v>74</v>
      </c>
      <c r="R245" t="s">
        <v>74</v>
      </c>
      <c r="S245" t="s">
        <v>74</v>
      </c>
      <c r="T245" t="s">
        <v>4843</v>
      </c>
      <c r="U245" t="s">
        <v>74</v>
      </c>
      <c r="V245" t="s">
        <v>4844</v>
      </c>
      <c r="W245" t="s">
        <v>4845</v>
      </c>
      <c r="X245" t="s">
        <v>4846</v>
      </c>
      <c r="Y245" t="s">
        <v>4847</v>
      </c>
      <c r="Z245" t="s">
        <v>4848</v>
      </c>
      <c r="AA245" t="s">
        <v>4849</v>
      </c>
      <c r="AB245" t="s">
        <v>4850</v>
      </c>
      <c r="AC245" t="s">
        <v>4851</v>
      </c>
      <c r="AD245" t="s">
        <v>4852</v>
      </c>
      <c r="AE245" t="s">
        <v>4853</v>
      </c>
      <c r="AF245" t="s">
        <v>74</v>
      </c>
      <c r="AG245">
        <v>15</v>
      </c>
      <c r="AH245">
        <v>5</v>
      </c>
      <c r="AI245">
        <v>5</v>
      </c>
      <c r="AJ245">
        <v>0</v>
      </c>
      <c r="AK245">
        <v>3</v>
      </c>
      <c r="AL245" t="s">
        <v>4854</v>
      </c>
      <c r="AM245" t="s">
        <v>1553</v>
      </c>
      <c r="AN245" t="s">
        <v>4855</v>
      </c>
      <c r="AO245" t="s">
        <v>4856</v>
      </c>
      <c r="AP245" t="s">
        <v>74</v>
      </c>
      <c r="AQ245" t="s">
        <v>74</v>
      </c>
      <c r="AR245" t="s">
        <v>4857</v>
      </c>
      <c r="AS245" t="s">
        <v>4858</v>
      </c>
      <c r="AT245" t="s">
        <v>74</v>
      </c>
      <c r="AU245">
        <v>2017</v>
      </c>
      <c r="AV245">
        <v>70</v>
      </c>
      <c r="AW245">
        <v>12</v>
      </c>
      <c r="AX245" t="s">
        <v>74</v>
      </c>
      <c r="AY245" t="s">
        <v>74</v>
      </c>
      <c r="AZ245" t="s">
        <v>74</v>
      </c>
      <c r="BA245" t="s">
        <v>74</v>
      </c>
      <c r="BB245">
        <v>1709</v>
      </c>
      <c r="BC245">
        <v>1718</v>
      </c>
      <c r="BD245" t="s">
        <v>74</v>
      </c>
      <c r="BE245" t="s">
        <v>74</v>
      </c>
      <c r="BF245" t="s">
        <v>74</v>
      </c>
      <c r="BG245" t="s">
        <v>74</v>
      </c>
      <c r="BH245" t="s">
        <v>74</v>
      </c>
      <c r="BI245">
        <v>10</v>
      </c>
      <c r="BJ245" t="s">
        <v>100</v>
      </c>
      <c r="BK245" t="s">
        <v>101</v>
      </c>
      <c r="BL245" t="s">
        <v>102</v>
      </c>
      <c r="BM245" t="s">
        <v>4859</v>
      </c>
      <c r="BN245" t="s">
        <v>74</v>
      </c>
      <c r="BO245" t="s">
        <v>74</v>
      </c>
      <c r="BP245" t="s">
        <v>74</v>
      </c>
      <c r="BQ245" t="s">
        <v>74</v>
      </c>
      <c r="BR245" t="s">
        <v>105</v>
      </c>
      <c r="BS245" t="s">
        <v>4860</v>
      </c>
      <c r="BT245" t="str">
        <f>HYPERLINK("https%3A%2F%2Fwww.webofscience.com%2Fwos%2Fwoscc%2Ffull-record%2FWOS:000423779900012","View Full Record in Web of Science")</f>
        <v>View Full Record in Web of Science</v>
      </c>
    </row>
    <row r="246" spans="1:72" x14ac:dyDescent="0.15">
      <c r="A246" t="s">
        <v>72</v>
      </c>
      <c r="B246" t="s">
        <v>4861</v>
      </c>
      <c r="C246" t="s">
        <v>74</v>
      </c>
      <c r="D246" t="s">
        <v>74</v>
      </c>
      <c r="E246" t="s">
        <v>74</v>
      </c>
      <c r="F246" t="s">
        <v>4862</v>
      </c>
      <c r="G246" t="s">
        <v>74</v>
      </c>
      <c r="H246" t="s">
        <v>74</v>
      </c>
      <c r="I246" t="s">
        <v>4863</v>
      </c>
      <c r="J246" t="s">
        <v>4864</v>
      </c>
      <c r="K246" t="s">
        <v>74</v>
      </c>
      <c r="L246" t="s">
        <v>74</v>
      </c>
      <c r="M246" t="s">
        <v>3657</v>
      </c>
      <c r="N246" t="s">
        <v>79</v>
      </c>
      <c r="O246" t="s">
        <v>74</v>
      </c>
      <c r="P246" t="s">
        <v>74</v>
      </c>
      <c r="Q246" t="s">
        <v>74</v>
      </c>
      <c r="R246" t="s">
        <v>74</v>
      </c>
      <c r="S246" t="s">
        <v>74</v>
      </c>
      <c r="T246" t="s">
        <v>4865</v>
      </c>
      <c r="U246" t="s">
        <v>74</v>
      </c>
      <c r="V246" t="s">
        <v>4866</v>
      </c>
      <c r="W246" t="s">
        <v>4867</v>
      </c>
      <c r="X246" t="s">
        <v>4868</v>
      </c>
      <c r="Y246" t="s">
        <v>4869</v>
      </c>
      <c r="Z246" t="s">
        <v>4870</v>
      </c>
      <c r="AA246" t="s">
        <v>74</v>
      </c>
      <c r="AB246" t="s">
        <v>74</v>
      </c>
      <c r="AC246" t="s">
        <v>74</v>
      </c>
      <c r="AD246" t="s">
        <v>74</v>
      </c>
      <c r="AE246" t="s">
        <v>74</v>
      </c>
      <c r="AF246" t="s">
        <v>74</v>
      </c>
      <c r="AG246">
        <v>3</v>
      </c>
      <c r="AH246">
        <v>0</v>
      </c>
      <c r="AI246">
        <v>0</v>
      </c>
      <c r="AJ246">
        <v>1</v>
      </c>
      <c r="AK246">
        <v>20</v>
      </c>
      <c r="AL246" t="s">
        <v>4871</v>
      </c>
      <c r="AM246" t="s">
        <v>4872</v>
      </c>
      <c r="AN246" t="s">
        <v>4873</v>
      </c>
      <c r="AO246" t="s">
        <v>4874</v>
      </c>
      <c r="AP246" t="s">
        <v>74</v>
      </c>
      <c r="AQ246" t="s">
        <v>74</v>
      </c>
      <c r="AR246" t="s">
        <v>4864</v>
      </c>
      <c r="AS246" t="s">
        <v>4875</v>
      </c>
      <c r="AT246" t="s">
        <v>74</v>
      </c>
      <c r="AU246">
        <v>2017</v>
      </c>
      <c r="AV246">
        <v>45</v>
      </c>
      <c r="AW246">
        <v>2</v>
      </c>
      <c r="AX246" t="s">
        <v>74</v>
      </c>
      <c r="AY246" t="s">
        <v>74</v>
      </c>
      <c r="AZ246" t="s">
        <v>74</v>
      </c>
      <c r="BA246" t="s">
        <v>74</v>
      </c>
      <c r="BB246">
        <v>5</v>
      </c>
      <c r="BC246">
        <v>10</v>
      </c>
      <c r="BD246" t="s">
        <v>74</v>
      </c>
      <c r="BE246" t="s">
        <v>74</v>
      </c>
      <c r="BF246" t="s">
        <v>74</v>
      </c>
      <c r="BG246" t="s">
        <v>74</v>
      </c>
      <c r="BH246" t="s">
        <v>74</v>
      </c>
      <c r="BI246">
        <v>6</v>
      </c>
      <c r="BJ246" t="s">
        <v>4876</v>
      </c>
      <c r="BK246" t="s">
        <v>1918</v>
      </c>
      <c r="BL246" t="s">
        <v>4876</v>
      </c>
      <c r="BM246" t="s">
        <v>4877</v>
      </c>
      <c r="BN246" t="s">
        <v>74</v>
      </c>
      <c r="BO246" t="s">
        <v>74</v>
      </c>
      <c r="BP246" t="s">
        <v>74</v>
      </c>
      <c r="BQ246" t="s">
        <v>74</v>
      </c>
      <c r="BR246" t="s">
        <v>105</v>
      </c>
      <c r="BS246" t="s">
        <v>4878</v>
      </c>
      <c r="BT246" t="str">
        <f>HYPERLINK("https%3A%2F%2Fwww.webofscience.com%2Fwos%2Fwoscc%2Ffull-record%2FWOS:000423288900001","View Full Record in Web of Science")</f>
        <v>View Full Record in Web of Science</v>
      </c>
    </row>
    <row r="247" spans="1:72" x14ac:dyDescent="0.15">
      <c r="A247" t="s">
        <v>72</v>
      </c>
      <c r="B247" t="s">
        <v>4879</v>
      </c>
      <c r="C247" t="s">
        <v>74</v>
      </c>
      <c r="D247" t="s">
        <v>74</v>
      </c>
      <c r="E247" t="s">
        <v>74</v>
      </c>
      <c r="F247" t="s">
        <v>4880</v>
      </c>
      <c r="G247" t="s">
        <v>74</v>
      </c>
      <c r="H247" t="s">
        <v>74</v>
      </c>
      <c r="I247" t="s">
        <v>4881</v>
      </c>
      <c r="J247" t="s">
        <v>4882</v>
      </c>
      <c r="K247" t="s">
        <v>74</v>
      </c>
      <c r="L247" t="s">
        <v>74</v>
      </c>
      <c r="M247" t="s">
        <v>78</v>
      </c>
      <c r="N247" t="s">
        <v>79</v>
      </c>
      <c r="O247" t="s">
        <v>74</v>
      </c>
      <c r="P247" t="s">
        <v>74</v>
      </c>
      <c r="Q247" t="s">
        <v>74</v>
      </c>
      <c r="R247" t="s">
        <v>74</v>
      </c>
      <c r="S247" t="s">
        <v>74</v>
      </c>
      <c r="T247" t="s">
        <v>4883</v>
      </c>
      <c r="U247" t="s">
        <v>4884</v>
      </c>
      <c r="V247" t="s">
        <v>4885</v>
      </c>
      <c r="W247" t="s">
        <v>4886</v>
      </c>
      <c r="X247" t="s">
        <v>4887</v>
      </c>
      <c r="Y247" t="s">
        <v>4888</v>
      </c>
      <c r="Z247" t="s">
        <v>4889</v>
      </c>
      <c r="AA247" t="s">
        <v>4890</v>
      </c>
      <c r="AB247" t="s">
        <v>4891</v>
      </c>
      <c r="AC247" t="s">
        <v>4892</v>
      </c>
      <c r="AD247" t="s">
        <v>4893</v>
      </c>
      <c r="AE247" t="s">
        <v>4894</v>
      </c>
      <c r="AF247" t="s">
        <v>74</v>
      </c>
      <c r="AG247">
        <v>25</v>
      </c>
      <c r="AH247">
        <v>11</v>
      </c>
      <c r="AI247">
        <v>11</v>
      </c>
      <c r="AJ247">
        <v>1</v>
      </c>
      <c r="AK247">
        <v>19</v>
      </c>
      <c r="AL247" t="s">
        <v>2103</v>
      </c>
      <c r="AM247" t="s">
        <v>2104</v>
      </c>
      <c r="AN247" t="s">
        <v>2105</v>
      </c>
      <c r="AO247" t="s">
        <v>4895</v>
      </c>
      <c r="AP247" t="s">
        <v>4896</v>
      </c>
      <c r="AQ247" t="s">
        <v>74</v>
      </c>
      <c r="AR247" t="s">
        <v>4882</v>
      </c>
      <c r="AS247" t="s">
        <v>4897</v>
      </c>
      <c r="AT247" t="s">
        <v>74</v>
      </c>
      <c r="AU247">
        <v>2017</v>
      </c>
      <c r="AV247">
        <v>8</v>
      </c>
      <c r="AW247">
        <v>6</v>
      </c>
      <c r="AX247" t="s">
        <v>74</v>
      </c>
      <c r="AY247" t="s">
        <v>74</v>
      </c>
      <c r="AZ247" t="s">
        <v>74</v>
      </c>
      <c r="BA247" t="s">
        <v>74</v>
      </c>
      <c r="BB247">
        <v>742</v>
      </c>
      <c r="BC247">
        <v>749</v>
      </c>
      <c r="BD247" t="s">
        <v>74</v>
      </c>
      <c r="BE247" t="s">
        <v>4898</v>
      </c>
      <c r="BF247" t="str">
        <f>HYPERLINK("http://dx.doi.org/10.1080/21655979.2017.1373534","http://dx.doi.org/10.1080/21655979.2017.1373534")</f>
        <v>http://dx.doi.org/10.1080/21655979.2017.1373534</v>
      </c>
      <c r="BG247" t="s">
        <v>74</v>
      </c>
      <c r="BH247" t="s">
        <v>74</v>
      </c>
      <c r="BI247">
        <v>8</v>
      </c>
      <c r="BJ247" t="s">
        <v>4899</v>
      </c>
      <c r="BK247" t="s">
        <v>101</v>
      </c>
      <c r="BL247" t="s">
        <v>4899</v>
      </c>
      <c r="BM247" t="s">
        <v>4900</v>
      </c>
      <c r="BN247">
        <v>28873004</v>
      </c>
      <c r="BO247" t="s">
        <v>591</v>
      </c>
      <c r="BP247" t="s">
        <v>74</v>
      </c>
      <c r="BQ247" t="s">
        <v>74</v>
      </c>
      <c r="BR247" t="s">
        <v>105</v>
      </c>
      <c r="BS247" t="s">
        <v>4901</v>
      </c>
      <c r="BT247" t="str">
        <f>HYPERLINK("https%3A%2F%2Fwww.webofscience.com%2Fwos%2Fwoscc%2Ffull-record%2FWOS:000423226100009","View Full Record in Web of Science")</f>
        <v>View Full Record in Web of Science</v>
      </c>
    </row>
    <row r="248" spans="1:72" x14ac:dyDescent="0.15">
      <c r="A248" t="s">
        <v>72</v>
      </c>
      <c r="B248" t="s">
        <v>4902</v>
      </c>
      <c r="C248" t="s">
        <v>74</v>
      </c>
      <c r="D248" t="s">
        <v>74</v>
      </c>
      <c r="E248" t="s">
        <v>74</v>
      </c>
      <c r="F248" t="s">
        <v>4903</v>
      </c>
      <c r="G248" t="s">
        <v>74</v>
      </c>
      <c r="H248" t="s">
        <v>74</v>
      </c>
      <c r="I248" t="s">
        <v>4904</v>
      </c>
      <c r="J248" t="s">
        <v>4905</v>
      </c>
      <c r="K248" t="s">
        <v>74</v>
      </c>
      <c r="L248" t="s">
        <v>74</v>
      </c>
      <c r="M248" t="s">
        <v>78</v>
      </c>
      <c r="N248" t="s">
        <v>79</v>
      </c>
      <c r="O248" t="s">
        <v>74</v>
      </c>
      <c r="P248" t="s">
        <v>74</v>
      </c>
      <c r="Q248" t="s">
        <v>74</v>
      </c>
      <c r="R248" t="s">
        <v>74</v>
      </c>
      <c r="S248" t="s">
        <v>74</v>
      </c>
      <c r="T248" t="s">
        <v>4906</v>
      </c>
      <c r="U248" t="s">
        <v>74</v>
      </c>
      <c r="V248" t="s">
        <v>4907</v>
      </c>
      <c r="W248" t="s">
        <v>4908</v>
      </c>
      <c r="X248" t="s">
        <v>4909</v>
      </c>
      <c r="Y248" t="s">
        <v>4910</v>
      </c>
      <c r="Z248" t="s">
        <v>4911</v>
      </c>
      <c r="AA248" t="s">
        <v>4912</v>
      </c>
      <c r="AB248" t="s">
        <v>4913</v>
      </c>
      <c r="AC248" t="s">
        <v>4914</v>
      </c>
      <c r="AD248" t="s">
        <v>4915</v>
      </c>
      <c r="AE248" t="s">
        <v>4916</v>
      </c>
      <c r="AF248" t="s">
        <v>74</v>
      </c>
      <c r="AG248">
        <v>8</v>
      </c>
      <c r="AH248">
        <v>0</v>
      </c>
      <c r="AI248">
        <v>0</v>
      </c>
      <c r="AJ248">
        <v>0</v>
      </c>
      <c r="AK248">
        <v>0</v>
      </c>
      <c r="AL248" t="s">
        <v>1967</v>
      </c>
      <c r="AM248" t="s">
        <v>1910</v>
      </c>
      <c r="AN248" t="s">
        <v>1968</v>
      </c>
      <c r="AO248" t="s">
        <v>4917</v>
      </c>
      <c r="AP248" t="s">
        <v>74</v>
      </c>
      <c r="AQ248" t="s">
        <v>74</v>
      </c>
      <c r="AR248" t="s">
        <v>4918</v>
      </c>
      <c r="AS248" t="s">
        <v>4919</v>
      </c>
      <c r="AT248" t="s">
        <v>74</v>
      </c>
      <c r="AU248">
        <v>2017</v>
      </c>
      <c r="AV248">
        <v>2</v>
      </c>
      <c r="AW248">
        <v>2</v>
      </c>
      <c r="AX248" t="s">
        <v>74</v>
      </c>
      <c r="AY248" t="s">
        <v>74</v>
      </c>
      <c r="AZ248" t="s">
        <v>74</v>
      </c>
      <c r="BA248" t="s">
        <v>74</v>
      </c>
      <c r="BB248">
        <v>526</v>
      </c>
      <c r="BC248">
        <v>527</v>
      </c>
      <c r="BD248" t="s">
        <v>74</v>
      </c>
      <c r="BE248" t="s">
        <v>4920</v>
      </c>
      <c r="BF248" t="str">
        <f>HYPERLINK("http://dx.doi.org/10.1080/23802359.2017.1361361","http://dx.doi.org/10.1080/23802359.2017.1361361")</f>
        <v>http://dx.doi.org/10.1080/23802359.2017.1361361</v>
      </c>
      <c r="BG248" t="s">
        <v>74</v>
      </c>
      <c r="BH248" t="s">
        <v>74</v>
      </c>
      <c r="BI248">
        <v>2</v>
      </c>
      <c r="BJ248" t="s">
        <v>4921</v>
      </c>
      <c r="BK248" t="s">
        <v>101</v>
      </c>
      <c r="BL248" t="s">
        <v>4921</v>
      </c>
      <c r="BM248" t="s">
        <v>4922</v>
      </c>
      <c r="BN248">
        <v>33473885</v>
      </c>
      <c r="BO248" t="s">
        <v>591</v>
      </c>
      <c r="BP248" t="s">
        <v>74</v>
      </c>
      <c r="BQ248" t="s">
        <v>74</v>
      </c>
      <c r="BR248" t="s">
        <v>105</v>
      </c>
      <c r="BS248" t="s">
        <v>4923</v>
      </c>
      <c r="BT248" t="str">
        <f>HYPERLINK("https%3A%2F%2Fwww.webofscience.com%2Fwos%2Fwoscc%2Ffull-record%2FWOS:000423158500067","View Full Record in Web of Science")</f>
        <v>View Full Record in Web of Science</v>
      </c>
    </row>
    <row r="249" spans="1:72" x14ac:dyDescent="0.15">
      <c r="A249" t="s">
        <v>72</v>
      </c>
      <c r="B249" t="s">
        <v>4924</v>
      </c>
      <c r="C249" t="s">
        <v>74</v>
      </c>
      <c r="D249" t="s">
        <v>74</v>
      </c>
      <c r="E249" t="s">
        <v>74</v>
      </c>
      <c r="F249" t="s">
        <v>4925</v>
      </c>
      <c r="G249" t="s">
        <v>74</v>
      </c>
      <c r="H249" t="s">
        <v>74</v>
      </c>
      <c r="I249" t="s">
        <v>4926</v>
      </c>
      <c r="J249" t="s">
        <v>4905</v>
      </c>
      <c r="K249" t="s">
        <v>74</v>
      </c>
      <c r="L249" t="s">
        <v>74</v>
      </c>
      <c r="M249" t="s">
        <v>78</v>
      </c>
      <c r="N249" t="s">
        <v>79</v>
      </c>
      <c r="O249" t="s">
        <v>74</v>
      </c>
      <c r="P249" t="s">
        <v>74</v>
      </c>
      <c r="Q249" t="s">
        <v>74</v>
      </c>
      <c r="R249" t="s">
        <v>74</v>
      </c>
      <c r="S249" t="s">
        <v>74</v>
      </c>
      <c r="T249" t="s">
        <v>4927</v>
      </c>
      <c r="U249" t="s">
        <v>4928</v>
      </c>
      <c r="V249" t="s">
        <v>4929</v>
      </c>
      <c r="W249" t="s">
        <v>4930</v>
      </c>
      <c r="X249" t="s">
        <v>4931</v>
      </c>
      <c r="Y249" t="s">
        <v>4932</v>
      </c>
      <c r="Z249" t="s">
        <v>4933</v>
      </c>
      <c r="AA249" t="s">
        <v>4934</v>
      </c>
      <c r="AB249" t="s">
        <v>4935</v>
      </c>
      <c r="AC249" t="s">
        <v>4936</v>
      </c>
      <c r="AD249" t="s">
        <v>4937</v>
      </c>
      <c r="AE249" t="s">
        <v>4938</v>
      </c>
      <c r="AF249" t="s">
        <v>74</v>
      </c>
      <c r="AG249">
        <v>7</v>
      </c>
      <c r="AH249">
        <v>2</v>
      </c>
      <c r="AI249">
        <v>2</v>
      </c>
      <c r="AJ249">
        <v>0</v>
      </c>
      <c r="AK249">
        <v>1</v>
      </c>
      <c r="AL249" t="s">
        <v>1967</v>
      </c>
      <c r="AM249" t="s">
        <v>1910</v>
      </c>
      <c r="AN249" t="s">
        <v>1968</v>
      </c>
      <c r="AO249" t="s">
        <v>4917</v>
      </c>
      <c r="AP249" t="s">
        <v>74</v>
      </c>
      <c r="AQ249" t="s">
        <v>74</v>
      </c>
      <c r="AR249" t="s">
        <v>4918</v>
      </c>
      <c r="AS249" t="s">
        <v>4919</v>
      </c>
      <c r="AT249" t="s">
        <v>74</v>
      </c>
      <c r="AU249">
        <v>2017</v>
      </c>
      <c r="AV249">
        <v>2</v>
      </c>
      <c r="AW249">
        <v>2</v>
      </c>
      <c r="AX249" t="s">
        <v>74</v>
      </c>
      <c r="AY249" t="s">
        <v>74</v>
      </c>
      <c r="AZ249" t="s">
        <v>74</v>
      </c>
      <c r="BA249" t="s">
        <v>74</v>
      </c>
      <c r="BB249">
        <v>579</v>
      </c>
      <c r="BC249">
        <v>580</v>
      </c>
      <c r="BD249" t="s">
        <v>74</v>
      </c>
      <c r="BE249" t="s">
        <v>4939</v>
      </c>
      <c r="BF249" t="str">
        <f>HYPERLINK("http://dx.doi.org/10.1080/23802359.2017.1372712","http://dx.doi.org/10.1080/23802359.2017.1372712")</f>
        <v>http://dx.doi.org/10.1080/23802359.2017.1372712</v>
      </c>
      <c r="BG249" t="s">
        <v>74</v>
      </c>
      <c r="BH249" t="s">
        <v>74</v>
      </c>
      <c r="BI249">
        <v>2</v>
      </c>
      <c r="BJ249" t="s">
        <v>4921</v>
      </c>
      <c r="BK249" t="s">
        <v>101</v>
      </c>
      <c r="BL249" t="s">
        <v>4921</v>
      </c>
      <c r="BM249" t="s">
        <v>4922</v>
      </c>
      <c r="BN249">
        <v>33473907</v>
      </c>
      <c r="BO249" t="s">
        <v>591</v>
      </c>
      <c r="BP249" t="s">
        <v>74</v>
      </c>
      <c r="BQ249" t="s">
        <v>74</v>
      </c>
      <c r="BR249" t="s">
        <v>105</v>
      </c>
      <c r="BS249" t="s">
        <v>4940</v>
      </c>
      <c r="BT249" t="str">
        <f>HYPERLINK("https%3A%2F%2Fwww.webofscience.com%2Fwos%2Fwoscc%2Ffull-record%2FWOS:000423158500092","View Full Record in Web of Science")</f>
        <v>View Full Record in Web of Science</v>
      </c>
    </row>
    <row r="250" spans="1:72" x14ac:dyDescent="0.15">
      <c r="A250" t="s">
        <v>72</v>
      </c>
      <c r="B250" t="s">
        <v>4941</v>
      </c>
      <c r="C250" t="s">
        <v>74</v>
      </c>
      <c r="D250" t="s">
        <v>74</v>
      </c>
      <c r="E250" t="s">
        <v>74</v>
      </c>
      <c r="F250" t="s">
        <v>4942</v>
      </c>
      <c r="G250" t="s">
        <v>74</v>
      </c>
      <c r="H250" t="s">
        <v>74</v>
      </c>
      <c r="I250" t="s">
        <v>4943</v>
      </c>
      <c r="J250" t="s">
        <v>4905</v>
      </c>
      <c r="K250" t="s">
        <v>74</v>
      </c>
      <c r="L250" t="s">
        <v>74</v>
      </c>
      <c r="M250" t="s">
        <v>78</v>
      </c>
      <c r="N250" t="s">
        <v>79</v>
      </c>
      <c r="O250" t="s">
        <v>74</v>
      </c>
      <c r="P250" t="s">
        <v>74</v>
      </c>
      <c r="Q250" t="s">
        <v>74</v>
      </c>
      <c r="R250" t="s">
        <v>74</v>
      </c>
      <c r="S250" t="s">
        <v>74</v>
      </c>
      <c r="T250" t="s">
        <v>4944</v>
      </c>
      <c r="U250" t="s">
        <v>74</v>
      </c>
      <c r="V250" t="s">
        <v>4945</v>
      </c>
      <c r="W250" t="s">
        <v>4946</v>
      </c>
      <c r="X250" t="s">
        <v>4947</v>
      </c>
      <c r="Y250" t="s">
        <v>4948</v>
      </c>
      <c r="Z250" t="s">
        <v>4949</v>
      </c>
      <c r="AA250" t="s">
        <v>4934</v>
      </c>
      <c r="AB250" t="s">
        <v>4935</v>
      </c>
      <c r="AC250" t="s">
        <v>4950</v>
      </c>
      <c r="AD250" t="s">
        <v>4951</v>
      </c>
      <c r="AE250" t="s">
        <v>4952</v>
      </c>
      <c r="AF250" t="s">
        <v>74</v>
      </c>
      <c r="AG250">
        <v>3</v>
      </c>
      <c r="AH250">
        <v>1</v>
      </c>
      <c r="AI250">
        <v>1</v>
      </c>
      <c r="AJ250">
        <v>0</v>
      </c>
      <c r="AK250">
        <v>4</v>
      </c>
      <c r="AL250" t="s">
        <v>1967</v>
      </c>
      <c r="AM250" t="s">
        <v>1910</v>
      </c>
      <c r="AN250" t="s">
        <v>1968</v>
      </c>
      <c r="AO250" t="s">
        <v>4917</v>
      </c>
      <c r="AP250" t="s">
        <v>74</v>
      </c>
      <c r="AQ250" t="s">
        <v>74</v>
      </c>
      <c r="AR250" t="s">
        <v>4918</v>
      </c>
      <c r="AS250" t="s">
        <v>4919</v>
      </c>
      <c r="AT250" t="s">
        <v>74</v>
      </c>
      <c r="AU250">
        <v>2017</v>
      </c>
      <c r="AV250">
        <v>2</v>
      </c>
      <c r="AW250">
        <v>2</v>
      </c>
      <c r="AX250" t="s">
        <v>74</v>
      </c>
      <c r="AY250" t="s">
        <v>74</v>
      </c>
      <c r="AZ250" t="s">
        <v>74</v>
      </c>
      <c r="BA250" t="s">
        <v>74</v>
      </c>
      <c r="BB250">
        <v>928</v>
      </c>
      <c r="BC250">
        <v>929</v>
      </c>
      <c r="BD250" t="s">
        <v>74</v>
      </c>
      <c r="BE250" t="s">
        <v>4953</v>
      </c>
      <c r="BF250" t="str">
        <f>HYPERLINK("http://dx.doi.org/10.1080/23802359.2017.1413306","http://dx.doi.org/10.1080/23802359.2017.1413306")</f>
        <v>http://dx.doi.org/10.1080/23802359.2017.1413306</v>
      </c>
      <c r="BG250" t="s">
        <v>74</v>
      </c>
      <c r="BH250" t="s">
        <v>74</v>
      </c>
      <c r="BI250">
        <v>2</v>
      </c>
      <c r="BJ250" t="s">
        <v>4921</v>
      </c>
      <c r="BK250" t="s">
        <v>101</v>
      </c>
      <c r="BL250" t="s">
        <v>4921</v>
      </c>
      <c r="BM250" t="s">
        <v>4922</v>
      </c>
      <c r="BN250">
        <v>33474040</v>
      </c>
      <c r="BO250" t="s">
        <v>591</v>
      </c>
      <c r="BP250" t="s">
        <v>74</v>
      </c>
      <c r="BQ250" t="s">
        <v>74</v>
      </c>
      <c r="BR250" t="s">
        <v>105</v>
      </c>
      <c r="BS250" t="s">
        <v>4954</v>
      </c>
      <c r="BT250" t="str">
        <f>HYPERLINK("https%3A%2F%2Fwww.webofscience.com%2Fwos%2Fwoscc%2Ffull-record%2FWOS:000423158500243","View Full Record in Web of Science")</f>
        <v>View Full Record in Web of Science</v>
      </c>
    </row>
    <row r="251" spans="1:72" x14ac:dyDescent="0.15">
      <c r="A251" t="s">
        <v>2331</v>
      </c>
      <c r="B251" t="s">
        <v>4955</v>
      </c>
      <c r="C251" t="s">
        <v>74</v>
      </c>
      <c r="D251" t="s">
        <v>4956</v>
      </c>
      <c r="E251" t="s">
        <v>74</v>
      </c>
      <c r="F251" t="s">
        <v>4957</v>
      </c>
      <c r="G251" t="s">
        <v>74</v>
      </c>
      <c r="H251" t="s">
        <v>74</v>
      </c>
      <c r="I251" t="s">
        <v>4958</v>
      </c>
      <c r="J251" t="s">
        <v>4959</v>
      </c>
      <c r="K251" t="s">
        <v>4960</v>
      </c>
      <c r="L251" t="s">
        <v>74</v>
      </c>
      <c r="M251" t="s">
        <v>78</v>
      </c>
      <c r="N251" t="s">
        <v>2067</v>
      </c>
      <c r="O251" t="s">
        <v>74</v>
      </c>
      <c r="P251" t="s">
        <v>74</v>
      </c>
      <c r="Q251" t="s">
        <v>74</v>
      </c>
      <c r="R251" t="s">
        <v>74</v>
      </c>
      <c r="S251" t="s">
        <v>74</v>
      </c>
      <c r="T251" t="s">
        <v>74</v>
      </c>
      <c r="U251" t="s">
        <v>4961</v>
      </c>
      <c r="V251" t="s">
        <v>4962</v>
      </c>
      <c r="W251" t="s">
        <v>4963</v>
      </c>
      <c r="X251" t="s">
        <v>4964</v>
      </c>
      <c r="Y251" t="s">
        <v>4965</v>
      </c>
      <c r="Z251" t="s">
        <v>4966</v>
      </c>
      <c r="AA251" t="s">
        <v>4967</v>
      </c>
      <c r="AB251" t="s">
        <v>4968</v>
      </c>
      <c r="AC251" t="s">
        <v>74</v>
      </c>
      <c r="AD251" t="s">
        <v>74</v>
      </c>
      <c r="AE251" t="s">
        <v>74</v>
      </c>
      <c r="AF251" t="s">
        <v>74</v>
      </c>
      <c r="AG251">
        <v>351</v>
      </c>
      <c r="AH251">
        <v>26</v>
      </c>
      <c r="AI251">
        <v>27</v>
      </c>
      <c r="AJ251">
        <v>1</v>
      </c>
      <c r="AK251">
        <v>9</v>
      </c>
      <c r="AL251" t="s">
        <v>4376</v>
      </c>
      <c r="AM251" t="s">
        <v>4377</v>
      </c>
      <c r="AN251" t="s">
        <v>4378</v>
      </c>
      <c r="AO251" t="s">
        <v>74</v>
      </c>
      <c r="AP251" t="s">
        <v>74</v>
      </c>
      <c r="AQ251" t="s">
        <v>4969</v>
      </c>
      <c r="AR251" t="s">
        <v>4970</v>
      </c>
      <c r="AS251" t="s">
        <v>74</v>
      </c>
      <c r="AT251" t="s">
        <v>74</v>
      </c>
      <c r="AU251">
        <v>2017</v>
      </c>
      <c r="AV251">
        <v>3</v>
      </c>
      <c r="AW251" t="s">
        <v>74</v>
      </c>
      <c r="AX251" t="s">
        <v>74</v>
      </c>
      <c r="AY251" t="s">
        <v>74</v>
      </c>
      <c r="AZ251" t="s">
        <v>74</v>
      </c>
      <c r="BA251" t="s">
        <v>74</v>
      </c>
      <c r="BB251">
        <v>67</v>
      </c>
      <c r="BC251">
        <v>139</v>
      </c>
      <c r="BD251" t="s">
        <v>74</v>
      </c>
      <c r="BE251" t="s">
        <v>4971</v>
      </c>
      <c r="BF251" t="str">
        <f>HYPERLINK("http://dx.doi.org/10.2991/978-94-6239-237-3_3","http://dx.doi.org/10.2991/978-94-6239-237-3_3")</f>
        <v>http://dx.doi.org/10.2991/978-94-6239-237-3_3</v>
      </c>
      <c r="BG251" t="s">
        <v>4972</v>
      </c>
      <c r="BH251" t="s">
        <v>74</v>
      </c>
      <c r="BI251">
        <v>73</v>
      </c>
      <c r="BJ251" t="s">
        <v>3030</v>
      </c>
      <c r="BK251" t="s">
        <v>2084</v>
      </c>
      <c r="BL251" t="s">
        <v>670</v>
      </c>
      <c r="BM251" t="s">
        <v>4973</v>
      </c>
      <c r="BN251" t="s">
        <v>74</v>
      </c>
      <c r="BO251" t="s">
        <v>74</v>
      </c>
      <c r="BP251" t="s">
        <v>74</v>
      </c>
      <c r="BQ251" t="s">
        <v>74</v>
      </c>
      <c r="BR251" t="s">
        <v>105</v>
      </c>
      <c r="BS251" t="s">
        <v>4974</v>
      </c>
      <c r="BT251" t="str">
        <f>HYPERLINK("https%3A%2F%2Fwww.webofscience.com%2Fwos%2Fwoscc%2Ffull-record%2FWOS:000422709200004","View Full Record in Web of Science")</f>
        <v>View Full Record in Web of Science</v>
      </c>
    </row>
    <row r="252" spans="1:72" x14ac:dyDescent="0.15">
      <c r="A252" t="s">
        <v>2331</v>
      </c>
      <c r="B252" t="s">
        <v>4975</v>
      </c>
      <c r="C252" t="s">
        <v>4975</v>
      </c>
      <c r="D252" t="s">
        <v>74</v>
      </c>
      <c r="E252" t="s">
        <v>74</v>
      </c>
      <c r="F252" t="s">
        <v>4976</v>
      </c>
      <c r="G252" t="s">
        <v>4975</v>
      </c>
      <c r="H252" t="s">
        <v>74</v>
      </c>
      <c r="I252" t="s">
        <v>4977</v>
      </c>
      <c r="J252" t="s">
        <v>4978</v>
      </c>
      <c r="K252" t="s">
        <v>74</v>
      </c>
      <c r="L252" t="s">
        <v>74</v>
      </c>
      <c r="M252" t="s">
        <v>78</v>
      </c>
      <c r="N252" t="s">
        <v>2067</v>
      </c>
      <c r="O252" t="s">
        <v>74</v>
      </c>
      <c r="P252" t="s">
        <v>74</v>
      </c>
      <c r="Q252" t="s">
        <v>74</v>
      </c>
      <c r="R252" t="s">
        <v>74</v>
      </c>
      <c r="S252" t="s">
        <v>74</v>
      </c>
      <c r="T252" t="s">
        <v>74</v>
      </c>
      <c r="U252" t="s">
        <v>4979</v>
      </c>
      <c r="V252" t="s">
        <v>74</v>
      </c>
      <c r="W252" t="s">
        <v>4980</v>
      </c>
      <c r="X252" t="s">
        <v>4981</v>
      </c>
      <c r="Y252" t="s">
        <v>4982</v>
      </c>
      <c r="Z252" t="s">
        <v>74</v>
      </c>
      <c r="AA252" t="s">
        <v>4983</v>
      </c>
      <c r="AB252" t="s">
        <v>4984</v>
      </c>
      <c r="AC252" t="s">
        <v>74</v>
      </c>
      <c r="AD252" t="s">
        <v>74</v>
      </c>
      <c r="AE252" t="s">
        <v>74</v>
      </c>
      <c r="AF252" t="s">
        <v>74</v>
      </c>
      <c r="AG252">
        <v>41</v>
      </c>
      <c r="AH252">
        <v>4</v>
      </c>
      <c r="AI252">
        <v>4</v>
      </c>
      <c r="AJ252">
        <v>1</v>
      </c>
      <c r="AK252">
        <v>1</v>
      </c>
      <c r="AL252" t="s">
        <v>2076</v>
      </c>
      <c r="AM252" t="s">
        <v>93</v>
      </c>
      <c r="AN252" t="s">
        <v>2077</v>
      </c>
      <c r="AO252" t="s">
        <v>74</v>
      </c>
      <c r="AP252" t="s">
        <v>74</v>
      </c>
      <c r="AQ252" t="s">
        <v>4985</v>
      </c>
      <c r="AR252" t="s">
        <v>74</v>
      </c>
      <c r="AS252" t="s">
        <v>74</v>
      </c>
      <c r="AT252" t="s">
        <v>74</v>
      </c>
      <c r="AU252">
        <v>2017</v>
      </c>
      <c r="AV252" t="s">
        <v>74</v>
      </c>
      <c r="AW252" t="s">
        <v>74</v>
      </c>
      <c r="AX252" t="s">
        <v>74</v>
      </c>
      <c r="AY252" t="s">
        <v>74</v>
      </c>
      <c r="AZ252" t="s">
        <v>74</v>
      </c>
      <c r="BA252" t="s">
        <v>74</v>
      </c>
      <c r="BB252">
        <v>331</v>
      </c>
      <c r="BC252">
        <v>347</v>
      </c>
      <c r="BD252" t="s">
        <v>74</v>
      </c>
      <c r="BE252" t="s">
        <v>4986</v>
      </c>
      <c r="BF252" t="str">
        <f>HYPERLINK("http://dx.doi.org/10.1016/B978-0-12-809239-2.00007-3","http://dx.doi.org/10.1016/B978-0-12-809239-2.00007-3")</f>
        <v>http://dx.doi.org/10.1016/B978-0-12-809239-2.00007-3</v>
      </c>
      <c r="BG252" t="s">
        <v>74</v>
      </c>
      <c r="BH252" t="s">
        <v>74</v>
      </c>
      <c r="BI252">
        <v>17</v>
      </c>
      <c r="BJ252" t="s">
        <v>4987</v>
      </c>
      <c r="BK252" t="s">
        <v>2084</v>
      </c>
      <c r="BL252" t="s">
        <v>4988</v>
      </c>
      <c r="BM252" t="s">
        <v>4989</v>
      </c>
      <c r="BN252" t="s">
        <v>74</v>
      </c>
      <c r="BO252" t="s">
        <v>74</v>
      </c>
      <c r="BP252" t="s">
        <v>74</v>
      </c>
      <c r="BQ252" t="s">
        <v>74</v>
      </c>
      <c r="BR252" t="s">
        <v>105</v>
      </c>
      <c r="BS252" t="s">
        <v>4990</v>
      </c>
      <c r="BT252" t="str">
        <f>HYPERLINK("https%3A%2F%2Fwww.webofscience.com%2Fwos%2Fwoscc%2Ffull-record%2FWOS:000422933900009","View Full Record in Web of Science")</f>
        <v>View Full Record in Web of Science</v>
      </c>
    </row>
    <row r="253" spans="1:72" x14ac:dyDescent="0.15">
      <c r="A253" t="s">
        <v>1921</v>
      </c>
      <c r="B253" t="s">
        <v>4991</v>
      </c>
      <c r="C253" t="s">
        <v>74</v>
      </c>
      <c r="D253" t="s">
        <v>4992</v>
      </c>
      <c r="E253" t="s">
        <v>74</v>
      </c>
      <c r="F253" t="s">
        <v>4993</v>
      </c>
      <c r="G253" t="s">
        <v>74</v>
      </c>
      <c r="H253" t="s">
        <v>74</v>
      </c>
      <c r="I253" t="s">
        <v>4994</v>
      </c>
      <c r="J253" t="s">
        <v>4995</v>
      </c>
      <c r="K253" t="s">
        <v>4996</v>
      </c>
      <c r="L253" t="s">
        <v>74</v>
      </c>
      <c r="M253" t="s">
        <v>78</v>
      </c>
      <c r="N253" t="s">
        <v>2067</v>
      </c>
      <c r="O253" t="s">
        <v>74</v>
      </c>
      <c r="P253" t="s">
        <v>74</v>
      </c>
      <c r="Q253" t="s">
        <v>74</v>
      </c>
      <c r="R253" t="s">
        <v>74</v>
      </c>
      <c r="S253" t="s">
        <v>74</v>
      </c>
      <c r="T253" t="s">
        <v>74</v>
      </c>
      <c r="U253" t="s">
        <v>4997</v>
      </c>
      <c r="V253" t="s">
        <v>4998</v>
      </c>
      <c r="W253" t="s">
        <v>4999</v>
      </c>
      <c r="X253" t="s">
        <v>5000</v>
      </c>
      <c r="Y253" t="s">
        <v>5001</v>
      </c>
      <c r="Z253" t="s">
        <v>5002</v>
      </c>
      <c r="AA253" t="s">
        <v>5003</v>
      </c>
      <c r="AB253" t="s">
        <v>5004</v>
      </c>
      <c r="AC253" t="s">
        <v>5005</v>
      </c>
      <c r="AD253" t="s">
        <v>3650</v>
      </c>
      <c r="AE253" t="s">
        <v>74</v>
      </c>
      <c r="AF253" t="s">
        <v>74</v>
      </c>
      <c r="AG253">
        <v>123</v>
      </c>
      <c r="AH253">
        <v>151</v>
      </c>
      <c r="AI253">
        <v>159</v>
      </c>
      <c r="AJ253">
        <v>0</v>
      </c>
      <c r="AK253">
        <v>10</v>
      </c>
      <c r="AL253" t="s">
        <v>5006</v>
      </c>
      <c r="AM253" t="s">
        <v>2604</v>
      </c>
      <c r="AN253" t="s">
        <v>5007</v>
      </c>
      <c r="AO253" t="s">
        <v>5008</v>
      </c>
      <c r="AP253" t="s">
        <v>74</v>
      </c>
      <c r="AQ253" t="s">
        <v>5009</v>
      </c>
      <c r="AR253" t="s">
        <v>5010</v>
      </c>
      <c r="AS253" t="s">
        <v>74</v>
      </c>
      <c r="AT253" t="s">
        <v>74</v>
      </c>
      <c r="AU253">
        <v>2017</v>
      </c>
      <c r="AV253">
        <v>58</v>
      </c>
      <c r="AW253" t="s">
        <v>74</v>
      </c>
      <c r="AX253" t="s">
        <v>74</v>
      </c>
      <c r="AY253" t="s">
        <v>74</v>
      </c>
      <c r="AZ253" t="s">
        <v>74</v>
      </c>
      <c r="BA253" t="s">
        <v>74</v>
      </c>
      <c r="BB253" t="s">
        <v>74</v>
      </c>
      <c r="BC253" t="s">
        <v>74</v>
      </c>
      <c r="BD253" t="s">
        <v>74</v>
      </c>
      <c r="BE253" t="s">
        <v>5011</v>
      </c>
      <c r="BF253" t="str">
        <f>HYPERLINK("http://dx.doi.org/10.1175/AMSMONOGRAPHS-D-16-0014.1","http://dx.doi.org/10.1175/AMSMONOGRAPHS-D-16-0014.1")</f>
        <v>http://dx.doi.org/10.1175/AMSMONOGRAPHS-D-16-0014.1</v>
      </c>
      <c r="BG253" t="s">
        <v>74</v>
      </c>
      <c r="BH253" t="s">
        <v>74</v>
      </c>
      <c r="BI253">
        <v>20</v>
      </c>
      <c r="BJ253" t="s">
        <v>747</v>
      </c>
      <c r="BK253" t="s">
        <v>2084</v>
      </c>
      <c r="BL253" t="s">
        <v>747</v>
      </c>
      <c r="BM253" t="s">
        <v>5012</v>
      </c>
      <c r="BN253" t="s">
        <v>74</v>
      </c>
      <c r="BO253" t="s">
        <v>4355</v>
      </c>
      <c r="BP253" t="s">
        <v>74</v>
      </c>
      <c r="BQ253" t="s">
        <v>74</v>
      </c>
      <c r="BR253" t="s">
        <v>105</v>
      </c>
      <c r="BS253" t="s">
        <v>5013</v>
      </c>
      <c r="BT253" t="str">
        <f>HYPERLINK("https%3A%2F%2Fwww.webofscience.com%2Fwos%2Fwoscc%2Ffull-record%2FWOS:000419754400008","View Full Record in Web of Science")</f>
        <v>View Full Record in Web of Science</v>
      </c>
    </row>
    <row r="254" spans="1:72" x14ac:dyDescent="0.15">
      <c r="A254" t="s">
        <v>1921</v>
      </c>
      <c r="B254" t="s">
        <v>5014</v>
      </c>
      <c r="C254" t="s">
        <v>74</v>
      </c>
      <c r="D254" t="s">
        <v>5015</v>
      </c>
      <c r="E254" t="s">
        <v>74</v>
      </c>
      <c r="F254" t="s">
        <v>5016</v>
      </c>
      <c r="G254" t="s">
        <v>74</v>
      </c>
      <c r="H254" t="s">
        <v>74</v>
      </c>
      <c r="I254" t="s">
        <v>5017</v>
      </c>
      <c r="J254" t="s">
        <v>5018</v>
      </c>
      <c r="K254" t="s">
        <v>5019</v>
      </c>
      <c r="L254" t="s">
        <v>74</v>
      </c>
      <c r="M254" t="s">
        <v>3657</v>
      </c>
      <c r="N254" t="s">
        <v>2067</v>
      </c>
      <c r="O254" t="s">
        <v>74</v>
      </c>
      <c r="P254" t="s">
        <v>74</v>
      </c>
      <c r="Q254" t="s">
        <v>74</v>
      </c>
      <c r="R254" t="s">
        <v>74</v>
      </c>
      <c r="S254" t="s">
        <v>74</v>
      </c>
      <c r="T254" t="s">
        <v>5020</v>
      </c>
      <c r="U254" t="s">
        <v>74</v>
      </c>
      <c r="V254" t="s">
        <v>5021</v>
      </c>
      <c r="W254" t="s">
        <v>5022</v>
      </c>
      <c r="X254" t="s">
        <v>74</v>
      </c>
      <c r="Y254" t="s">
        <v>5023</v>
      </c>
      <c r="Z254" t="s">
        <v>5024</v>
      </c>
      <c r="AA254" t="s">
        <v>74</v>
      </c>
      <c r="AB254" t="s">
        <v>74</v>
      </c>
      <c r="AC254" t="s">
        <v>74</v>
      </c>
      <c r="AD254" t="s">
        <v>74</v>
      </c>
      <c r="AE254" t="s">
        <v>74</v>
      </c>
      <c r="AF254" t="s">
        <v>74</v>
      </c>
      <c r="AG254">
        <v>10</v>
      </c>
      <c r="AH254">
        <v>0</v>
      </c>
      <c r="AI254">
        <v>0</v>
      </c>
      <c r="AJ254">
        <v>0</v>
      </c>
      <c r="AK254">
        <v>0</v>
      </c>
      <c r="AL254" t="s">
        <v>3097</v>
      </c>
      <c r="AM254" t="s">
        <v>1581</v>
      </c>
      <c r="AN254" t="s">
        <v>3208</v>
      </c>
      <c r="AO254" t="s">
        <v>5025</v>
      </c>
      <c r="AP254" t="s">
        <v>74</v>
      </c>
      <c r="AQ254" t="s">
        <v>5026</v>
      </c>
      <c r="AR254" t="s">
        <v>5027</v>
      </c>
      <c r="AS254" t="s">
        <v>5028</v>
      </c>
      <c r="AT254" t="s">
        <v>74</v>
      </c>
      <c r="AU254">
        <v>2017</v>
      </c>
      <c r="AV254">
        <v>14</v>
      </c>
      <c r="AW254" t="s">
        <v>74</v>
      </c>
      <c r="AX254" t="s">
        <v>74</v>
      </c>
      <c r="AY254" t="s">
        <v>74</v>
      </c>
      <c r="AZ254" t="s">
        <v>74</v>
      </c>
      <c r="BA254" t="s">
        <v>74</v>
      </c>
      <c r="BB254">
        <v>107</v>
      </c>
      <c r="BC254">
        <v>123</v>
      </c>
      <c r="BD254" t="s">
        <v>74</v>
      </c>
      <c r="BE254" t="s">
        <v>74</v>
      </c>
      <c r="BF254" t="s">
        <v>74</v>
      </c>
      <c r="BG254" t="s">
        <v>74</v>
      </c>
      <c r="BH254" t="s">
        <v>74</v>
      </c>
      <c r="BI254">
        <v>17</v>
      </c>
      <c r="BJ254" t="s">
        <v>5029</v>
      </c>
      <c r="BK254" t="s">
        <v>2084</v>
      </c>
      <c r="BL254" t="s">
        <v>616</v>
      </c>
      <c r="BM254" t="s">
        <v>5030</v>
      </c>
      <c r="BN254" t="s">
        <v>74</v>
      </c>
      <c r="BO254" t="s">
        <v>74</v>
      </c>
      <c r="BP254" t="s">
        <v>74</v>
      </c>
      <c r="BQ254" t="s">
        <v>74</v>
      </c>
      <c r="BR254" t="s">
        <v>105</v>
      </c>
      <c r="BS254" t="s">
        <v>5031</v>
      </c>
      <c r="BT254" t="str">
        <f>HYPERLINK("https%3A%2F%2Fwww.webofscience.com%2Fwos%2Fwoscc%2Ffull-record%2FWOS:000419663200006","View Full Record in Web of Science")</f>
        <v>View Full Record in Web of Science</v>
      </c>
    </row>
    <row r="255" spans="1:72" x14ac:dyDescent="0.15">
      <c r="A255" t="s">
        <v>2331</v>
      </c>
      <c r="B255" t="s">
        <v>5032</v>
      </c>
      <c r="C255" t="s">
        <v>5033</v>
      </c>
      <c r="D255" t="s">
        <v>74</v>
      </c>
      <c r="E255" t="s">
        <v>74</v>
      </c>
      <c r="F255" t="s">
        <v>5034</v>
      </c>
      <c r="G255" t="s">
        <v>5033</v>
      </c>
      <c r="H255" t="s">
        <v>74</v>
      </c>
      <c r="I255" t="s">
        <v>5035</v>
      </c>
      <c r="J255" t="s">
        <v>5036</v>
      </c>
      <c r="K255" t="s">
        <v>74</v>
      </c>
      <c r="L255" t="s">
        <v>74</v>
      </c>
      <c r="M255" t="s">
        <v>78</v>
      </c>
      <c r="N255" t="s">
        <v>2067</v>
      </c>
      <c r="O255" t="s">
        <v>74</v>
      </c>
      <c r="P255" t="s">
        <v>74</v>
      </c>
      <c r="Q255" t="s">
        <v>74</v>
      </c>
      <c r="R255" t="s">
        <v>74</v>
      </c>
      <c r="S255" t="s">
        <v>74</v>
      </c>
      <c r="T255" t="s">
        <v>74</v>
      </c>
      <c r="U255" t="s">
        <v>5037</v>
      </c>
      <c r="V255" t="s">
        <v>74</v>
      </c>
      <c r="W255" t="s">
        <v>5038</v>
      </c>
      <c r="X255" t="s">
        <v>5039</v>
      </c>
      <c r="Y255" t="s">
        <v>5040</v>
      </c>
      <c r="Z255" t="s">
        <v>74</v>
      </c>
      <c r="AA255" t="s">
        <v>5041</v>
      </c>
      <c r="AB255" t="s">
        <v>5042</v>
      </c>
      <c r="AC255" t="s">
        <v>74</v>
      </c>
      <c r="AD255" t="s">
        <v>74</v>
      </c>
      <c r="AE255" t="s">
        <v>74</v>
      </c>
      <c r="AF255" t="s">
        <v>74</v>
      </c>
      <c r="AG255">
        <v>186</v>
      </c>
      <c r="AH255">
        <v>17</v>
      </c>
      <c r="AI255">
        <v>18</v>
      </c>
      <c r="AJ255">
        <v>0</v>
      </c>
      <c r="AK255">
        <v>2</v>
      </c>
      <c r="AL255" t="s">
        <v>5043</v>
      </c>
      <c r="AM255" t="s">
        <v>292</v>
      </c>
      <c r="AN255" t="s">
        <v>5044</v>
      </c>
      <c r="AO255" t="s">
        <v>74</v>
      </c>
      <c r="AP255" t="s">
        <v>74</v>
      </c>
      <c r="AQ255" t="s">
        <v>5045</v>
      </c>
      <c r="AR255" t="s">
        <v>74</v>
      </c>
      <c r="AS255" t="s">
        <v>74</v>
      </c>
      <c r="AT255" t="s">
        <v>74</v>
      </c>
      <c r="AU255">
        <v>2017</v>
      </c>
      <c r="AV255" t="s">
        <v>74</v>
      </c>
      <c r="AW255" t="s">
        <v>74</v>
      </c>
      <c r="AX255" t="s">
        <v>74</v>
      </c>
      <c r="AY255" t="s">
        <v>74</v>
      </c>
      <c r="AZ255" t="s">
        <v>74</v>
      </c>
      <c r="BA255" t="s">
        <v>74</v>
      </c>
      <c r="BB255">
        <v>759</v>
      </c>
      <c r="BC255">
        <v>803</v>
      </c>
      <c r="BD255" t="s">
        <v>74</v>
      </c>
      <c r="BE255" t="s">
        <v>5046</v>
      </c>
      <c r="BF255" t="str">
        <f>HYPERLINK("http://dx.doi.org/10.1016/B978-0-12-809413-6.00014-X","http://dx.doi.org/10.1016/B978-0-12-809413-6.00014-X")</f>
        <v>http://dx.doi.org/10.1016/B978-0-12-809413-6.00014-X</v>
      </c>
      <c r="BG255" t="s">
        <v>74</v>
      </c>
      <c r="BH255" t="s">
        <v>74</v>
      </c>
      <c r="BI255">
        <v>45</v>
      </c>
      <c r="BJ255" t="s">
        <v>5047</v>
      </c>
      <c r="BK255" t="s">
        <v>2084</v>
      </c>
      <c r="BL255" t="s">
        <v>5048</v>
      </c>
      <c r="BM255" t="s">
        <v>5049</v>
      </c>
      <c r="BN255" t="s">
        <v>74</v>
      </c>
      <c r="BO255" t="s">
        <v>74</v>
      </c>
      <c r="BP255" t="s">
        <v>74</v>
      </c>
      <c r="BQ255" t="s">
        <v>74</v>
      </c>
      <c r="BR255" t="s">
        <v>105</v>
      </c>
      <c r="BS255" t="s">
        <v>5050</v>
      </c>
      <c r="BT255" t="str">
        <f>HYPERLINK("https%3A%2F%2Fwww.webofscience.com%2Fwos%2Fwoscc%2Ffull-record%2FWOS:000419678300015","View Full Record in Web of Science")</f>
        <v>View Full Record in Web of Science</v>
      </c>
    </row>
    <row r="256" spans="1:72" x14ac:dyDescent="0.15">
      <c r="A256" t="s">
        <v>72</v>
      </c>
      <c r="B256" t="s">
        <v>5051</v>
      </c>
      <c r="C256" t="s">
        <v>74</v>
      </c>
      <c r="D256" t="s">
        <v>74</v>
      </c>
      <c r="E256" t="s">
        <v>74</v>
      </c>
      <c r="F256" t="s">
        <v>5052</v>
      </c>
      <c r="G256" t="s">
        <v>74</v>
      </c>
      <c r="H256" t="s">
        <v>74</v>
      </c>
      <c r="I256" t="s">
        <v>5053</v>
      </c>
      <c r="J256" t="s">
        <v>5054</v>
      </c>
      <c r="K256" t="s">
        <v>74</v>
      </c>
      <c r="L256" t="s">
        <v>74</v>
      </c>
      <c r="M256" t="s">
        <v>78</v>
      </c>
      <c r="N256" t="s">
        <v>79</v>
      </c>
      <c r="O256" t="s">
        <v>74</v>
      </c>
      <c r="P256" t="s">
        <v>74</v>
      </c>
      <c r="Q256" t="s">
        <v>74</v>
      </c>
      <c r="R256" t="s">
        <v>74</v>
      </c>
      <c r="S256" t="s">
        <v>74</v>
      </c>
      <c r="T256" t="s">
        <v>74</v>
      </c>
      <c r="U256" t="s">
        <v>5055</v>
      </c>
      <c r="V256" t="s">
        <v>5056</v>
      </c>
      <c r="W256" t="s">
        <v>5057</v>
      </c>
      <c r="X256" t="s">
        <v>5058</v>
      </c>
      <c r="Y256" t="s">
        <v>5059</v>
      </c>
      <c r="Z256" t="s">
        <v>5060</v>
      </c>
      <c r="AA256" t="s">
        <v>5061</v>
      </c>
      <c r="AB256" t="s">
        <v>5062</v>
      </c>
      <c r="AC256" t="s">
        <v>5063</v>
      </c>
      <c r="AD256" t="s">
        <v>5064</v>
      </c>
      <c r="AE256" t="s">
        <v>5065</v>
      </c>
      <c r="AF256" t="s">
        <v>74</v>
      </c>
      <c r="AG256">
        <v>102</v>
      </c>
      <c r="AH256">
        <v>27</v>
      </c>
      <c r="AI256">
        <v>28</v>
      </c>
      <c r="AJ256">
        <v>1</v>
      </c>
      <c r="AK256">
        <v>20</v>
      </c>
      <c r="AL256" t="s">
        <v>5066</v>
      </c>
      <c r="AM256" t="s">
        <v>5067</v>
      </c>
      <c r="AN256" t="s">
        <v>5068</v>
      </c>
      <c r="AO256" t="s">
        <v>5069</v>
      </c>
      <c r="AP256" t="s">
        <v>5070</v>
      </c>
      <c r="AQ256" t="s">
        <v>74</v>
      </c>
      <c r="AR256" t="s">
        <v>5071</v>
      </c>
      <c r="AS256" t="s">
        <v>5072</v>
      </c>
      <c r="AT256" t="s">
        <v>74</v>
      </c>
      <c r="AU256">
        <v>2017</v>
      </c>
      <c r="AV256">
        <v>15</v>
      </c>
      <c r="AW256">
        <v>4</v>
      </c>
      <c r="AX256" t="s">
        <v>74</v>
      </c>
      <c r="AY256" t="s">
        <v>74</v>
      </c>
      <c r="AZ256" t="s">
        <v>74</v>
      </c>
      <c r="BA256" t="s">
        <v>74</v>
      </c>
      <c r="BB256">
        <v>525</v>
      </c>
      <c r="BC256">
        <v>539</v>
      </c>
      <c r="BD256" t="s">
        <v>74</v>
      </c>
      <c r="BE256" t="s">
        <v>5073</v>
      </c>
      <c r="BF256" t="str">
        <f>HYPERLINK("http://dx.doi.org/10.15666/aeer/1504_525539","http://dx.doi.org/10.15666/aeer/1504_525539")</f>
        <v>http://dx.doi.org/10.15666/aeer/1504_525539</v>
      </c>
      <c r="BG256" t="s">
        <v>74</v>
      </c>
      <c r="BH256" t="s">
        <v>74</v>
      </c>
      <c r="BI256">
        <v>15</v>
      </c>
      <c r="BJ256" t="s">
        <v>3104</v>
      </c>
      <c r="BK256" t="s">
        <v>101</v>
      </c>
      <c r="BL256" t="s">
        <v>178</v>
      </c>
      <c r="BM256" t="s">
        <v>5074</v>
      </c>
      <c r="BN256" t="s">
        <v>74</v>
      </c>
      <c r="BO256" t="s">
        <v>725</v>
      </c>
      <c r="BP256" t="s">
        <v>74</v>
      </c>
      <c r="BQ256" t="s">
        <v>74</v>
      </c>
      <c r="BR256" t="s">
        <v>105</v>
      </c>
      <c r="BS256" t="s">
        <v>5075</v>
      </c>
      <c r="BT256" t="str">
        <f>HYPERLINK("https%3A%2F%2Fwww.webofscience.com%2Fwos%2Fwoscc%2Ffull-record%2FWOS:000419994800036","View Full Record in Web of Science")</f>
        <v>View Full Record in Web of Science</v>
      </c>
    </row>
    <row r="257" spans="1:72" x14ac:dyDescent="0.15">
      <c r="A257" t="s">
        <v>72</v>
      </c>
      <c r="B257" t="s">
        <v>5076</v>
      </c>
      <c r="C257" t="s">
        <v>74</v>
      </c>
      <c r="D257" t="s">
        <v>74</v>
      </c>
      <c r="E257" t="s">
        <v>74</v>
      </c>
      <c r="F257" t="s">
        <v>5077</v>
      </c>
      <c r="G257" t="s">
        <v>74</v>
      </c>
      <c r="H257" t="s">
        <v>74</v>
      </c>
      <c r="I257" t="s">
        <v>5078</v>
      </c>
      <c r="J257" t="s">
        <v>5079</v>
      </c>
      <c r="K257" t="s">
        <v>74</v>
      </c>
      <c r="L257" t="s">
        <v>74</v>
      </c>
      <c r="M257" t="s">
        <v>78</v>
      </c>
      <c r="N257" t="s">
        <v>79</v>
      </c>
      <c r="O257" t="s">
        <v>74</v>
      </c>
      <c r="P257" t="s">
        <v>74</v>
      </c>
      <c r="Q257" t="s">
        <v>74</v>
      </c>
      <c r="R257" t="s">
        <v>74</v>
      </c>
      <c r="S257" t="s">
        <v>74</v>
      </c>
      <c r="T257" t="s">
        <v>5080</v>
      </c>
      <c r="U257" t="s">
        <v>5081</v>
      </c>
      <c r="V257" t="s">
        <v>5082</v>
      </c>
      <c r="W257" t="s">
        <v>5083</v>
      </c>
      <c r="X257" t="s">
        <v>5084</v>
      </c>
      <c r="Y257" t="s">
        <v>5085</v>
      </c>
      <c r="Z257" t="s">
        <v>5086</v>
      </c>
      <c r="AA257" t="s">
        <v>5087</v>
      </c>
      <c r="AB257" t="s">
        <v>5088</v>
      </c>
      <c r="AC257" t="s">
        <v>5089</v>
      </c>
      <c r="AD257" t="s">
        <v>5090</v>
      </c>
      <c r="AE257" t="s">
        <v>5091</v>
      </c>
      <c r="AF257" t="s">
        <v>74</v>
      </c>
      <c r="AG257">
        <v>40</v>
      </c>
      <c r="AH257">
        <v>3</v>
      </c>
      <c r="AI257">
        <v>3</v>
      </c>
      <c r="AJ257">
        <v>1</v>
      </c>
      <c r="AK257">
        <v>13</v>
      </c>
      <c r="AL257" t="s">
        <v>2103</v>
      </c>
      <c r="AM257" t="s">
        <v>2104</v>
      </c>
      <c r="AN257" t="s">
        <v>2105</v>
      </c>
      <c r="AO257" t="s">
        <v>5092</v>
      </c>
      <c r="AP257" t="s">
        <v>5093</v>
      </c>
      <c r="AQ257" t="s">
        <v>74</v>
      </c>
      <c r="AR257" t="s">
        <v>5094</v>
      </c>
      <c r="AS257" t="s">
        <v>5095</v>
      </c>
      <c r="AT257" t="s">
        <v>74</v>
      </c>
      <c r="AU257">
        <v>2017</v>
      </c>
      <c r="AV257">
        <v>21</v>
      </c>
      <c r="AW257" t="s">
        <v>5096</v>
      </c>
      <c r="AX257" t="s">
        <v>74</v>
      </c>
      <c r="AY257" t="s">
        <v>74</v>
      </c>
      <c r="AZ257" t="s">
        <v>74</v>
      </c>
      <c r="BA257" t="s">
        <v>74</v>
      </c>
      <c r="BB257">
        <v>138</v>
      </c>
      <c r="BC257">
        <v>148</v>
      </c>
      <c r="BD257" t="s">
        <v>74</v>
      </c>
      <c r="BE257" t="s">
        <v>5097</v>
      </c>
      <c r="BF257" t="str">
        <f>HYPERLINK("http://dx.doi.org/10.1080/10889868.2017.1404962","http://dx.doi.org/10.1080/10889868.2017.1404962")</f>
        <v>http://dx.doi.org/10.1080/10889868.2017.1404962</v>
      </c>
      <c r="BG257" t="s">
        <v>74</v>
      </c>
      <c r="BH257" t="s">
        <v>74</v>
      </c>
      <c r="BI257">
        <v>11</v>
      </c>
      <c r="BJ257" t="s">
        <v>5098</v>
      </c>
      <c r="BK257" t="s">
        <v>101</v>
      </c>
      <c r="BL257" t="s">
        <v>5099</v>
      </c>
      <c r="BM257" t="s">
        <v>5100</v>
      </c>
      <c r="BN257" t="s">
        <v>74</v>
      </c>
      <c r="BO257" t="s">
        <v>1223</v>
      </c>
      <c r="BP257" t="s">
        <v>74</v>
      </c>
      <c r="BQ257" t="s">
        <v>74</v>
      </c>
      <c r="BR257" t="s">
        <v>105</v>
      </c>
      <c r="BS257" t="s">
        <v>5101</v>
      </c>
      <c r="BT257" t="str">
        <f>HYPERLINK("https%3A%2F%2Fwww.webofscience.com%2Fwos%2Fwoscc%2Ffull-record%2FWOS:000419883600004","View Full Record in Web of Science")</f>
        <v>View Full Record in Web of Science</v>
      </c>
    </row>
    <row r="258" spans="1:72" x14ac:dyDescent="0.15">
      <c r="A258" t="s">
        <v>72</v>
      </c>
      <c r="B258" t="s">
        <v>5102</v>
      </c>
      <c r="C258" t="s">
        <v>74</v>
      </c>
      <c r="D258" t="s">
        <v>74</v>
      </c>
      <c r="E258" t="s">
        <v>74</v>
      </c>
      <c r="F258" t="s">
        <v>5103</v>
      </c>
      <c r="G258" t="s">
        <v>74</v>
      </c>
      <c r="H258" t="s">
        <v>74</v>
      </c>
      <c r="I258" t="s">
        <v>5104</v>
      </c>
      <c r="J258" t="s">
        <v>5105</v>
      </c>
      <c r="K258" t="s">
        <v>74</v>
      </c>
      <c r="L258" t="s">
        <v>74</v>
      </c>
      <c r="M258" t="s">
        <v>78</v>
      </c>
      <c r="N258" t="s">
        <v>1980</v>
      </c>
      <c r="O258" t="s">
        <v>5106</v>
      </c>
      <c r="P258" t="s">
        <v>5107</v>
      </c>
      <c r="Q258" t="s">
        <v>5108</v>
      </c>
      <c r="R258" t="s">
        <v>74</v>
      </c>
      <c r="S258" t="s">
        <v>74</v>
      </c>
      <c r="T258" t="s">
        <v>5109</v>
      </c>
      <c r="U258" t="s">
        <v>5110</v>
      </c>
      <c r="V258" t="s">
        <v>5111</v>
      </c>
      <c r="W258" t="s">
        <v>5112</v>
      </c>
      <c r="X258" t="s">
        <v>5113</v>
      </c>
      <c r="Y258" t="s">
        <v>5114</v>
      </c>
      <c r="Z258" t="s">
        <v>5115</v>
      </c>
      <c r="AA258" t="s">
        <v>74</v>
      </c>
      <c r="AB258" t="s">
        <v>74</v>
      </c>
      <c r="AC258" t="s">
        <v>74</v>
      </c>
      <c r="AD258" t="s">
        <v>74</v>
      </c>
      <c r="AE258" t="s">
        <v>74</v>
      </c>
      <c r="AF258" t="s">
        <v>74</v>
      </c>
      <c r="AG258">
        <v>27</v>
      </c>
      <c r="AH258">
        <v>0</v>
      </c>
      <c r="AI258">
        <v>0</v>
      </c>
      <c r="AJ258">
        <v>0</v>
      </c>
      <c r="AK258">
        <v>0</v>
      </c>
      <c r="AL258" t="s">
        <v>5116</v>
      </c>
      <c r="AM258" t="s">
        <v>5117</v>
      </c>
      <c r="AN258" t="s">
        <v>5118</v>
      </c>
      <c r="AO258" t="s">
        <v>5119</v>
      </c>
      <c r="AP258" t="s">
        <v>74</v>
      </c>
      <c r="AQ258" t="s">
        <v>74</v>
      </c>
      <c r="AR258" t="s">
        <v>5105</v>
      </c>
      <c r="AS258" t="s">
        <v>5120</v>
      </c>
      <c r="AT258" t="s">
        <v>2136</v>
      </c>
      <c r="AU258">
        <v>2017</v>
      </c>
      <c r="AV258">
        <v>44</v>
      </c>
      <c r="AW258">
        <v>1</v>
      </c>
      <c r="AX258" t="s">
        <v>74</v>
      </c>
      <c r="AY258" t="s">
        <v>74</v>
      </c>
      <c r="AZ258" t="s">
        <v>74</v>
      </c>
      <c r="BA258" t="s">
        <v>74</v>
      </c>
      <c r="BB258">
        <v>136</v>
      </c>
      <c r="BC258">
        <v>141</v>
      </c>
      <c r="BD258" t="s">
        <v>74</v>
      </c>
      <c r="BE258" t="s">
        <v>5121</v>
      </c>
      <c r="BF258" t="str">
        <f>HYPERLINK("http://dx.doi.org/10.1515/geochr-2015-0053","http://dx.doi.org/10.1515/geochr-2015-0053")</f>
        <v>http://dx.doi.org/10.1515/geochr-2015-0053</v>
      </c>
      <c r="BG258" t="s">
        <v>74</v>
      </c>
      <c r="BH258" t="s">
        <v>74</v>
      </c>
      <c r="BI258">
        <v>6</v>
      </c>
      <c r="BJ258" t="s">
        <v>669</v>
      </c>
      <c r="BK258" t="s">
        <v>2004</v>
      </c>
      <c r="BL258" t="s">
        <v>670</v>
      </c>
      <c r="BM258" t="s">
        <v>5122</v>
      </c>
      <c r="BN258" t="s">
        <v>74</v>
      </c>
      <c r="BO258" t="s">
        <v>941</v>
      </c>
      <c r="BP258" t="s">
        <v>74</v>
      </c>
      <c r="BQ258" t="s">
        <v>74</v>
      </c>
      <c r="BR258" t="s">
        <v>105</v>
      </c>
      <c r="BS258" t="s">
        <v>5123</v>
      </c>
      <c r="BT258" t="str">
        <f>HYPERLINK("https%3A%2F%2Fwww.webofscience.com%2Fwos%2Fwoscc%2Ffull-record%2FWOS:000419936300005","View Full Record in Web of Science")</f>
        <v>View Full Record in Web of Science</v>
      </c>
    </row>
    <row r="259" spans="1:72" x14ac:dyDescent="0.15">
      <c r="A259" t="s">
        <v>72</v>
      </c>
      <c r="B259" t="s">
        <v>5124</v>
      </c>
      <c r="C259" t="s">
        <v>74</v>
      </c>
      <c r="D259" t="s">
        <v>74</v>
      </c>
      <c r="E259" t="s">
        <v>74</v>
      </c>
      <c r="F259" t="s">
        <v>5125</v>
      </c>
      <c r="G259" t="s">
        <v>74</v>
      </c>
      <c r="H259" t="s">
        <v>74</v>
      </c>
      <c r="I259" t="s">
        <v>5126</v>
      </c>
      <c r="J259" t="s">
        <v>2170</v>
      </c>
      <c r="K259" t="s">
        <v>74</v>
      </c>
      <c r="L259" t="s">
        <v>74</v>
      </c>
      <c r="M259" t="s">
        <v>78</v>
      </c>
      <c r="N259" t="s">
        <v>79</v>
      </c>
      <c r="O259" t="s">
        <v>74</v>
      </c>
      <c r="P259" t="s">
        <v>74</v>
      </c>
      <c r="Q259" t="s">
        <v>74</v>
      </c>
      <c r="R259" t="s">
        <v>74</v>
      </c>
      <c r="S259" t="s">
        <v>74</v>
      </c>
      <c r="T259" t="s">
        <v>5127</v>
      </c>
      <c r="U259" t="s">
        <v>5128</v>
      </c>
      <c r="V259" t="s">
        <v>5129</v>
      </c>
      <c r="W259" t="s">
        <v>5130</v>
      </c>
      <c r="X259" t="s">
        <v>5131</v>
      </c>
      <c r="Y259" t="s">
        <v>5132</v>
      </c>
      <c r="Z259" t="s">
        <v>5133</v>
      </c>
      <c r="AA259" t="s">
        <v>5134</v>
      </c>
      <c r="AB259" t="s">
        <v>5135</v>
      </c>
      <c r="AC259" t="s">
        <v>5136</v>
      </c>
      <c r="AD259" t="s">
        <v>5137</v>
      </c>
      <c r="AE259" t="s">
        <v>5138</v>
      </c>
      <c r="AF259" t="s">
        <v>74</v>
      </c>
      <c r="AG259">
        <v>31</v>
      </c>
      <c r="AH259">
        <v>4</v>
      </c>
      <c r="AI259">
        <v>4</v>
      </c>
      <c r="AJ259">
        <v>0</v>
      </c>
      <c r="AK259">
        <v>3</v>
      </c>
      <c r="AL259" t="s">
        <v>2183</v>
      </c>
      <c r="AM259" t="s">
        <v>2184</v>
      </c>
      <c r="AN259" t="s">
        <v>2185</v>
      </c>
      <c r="AO259" t="s">
        <v>2186</v>
      </c>
      <c r="AP259" t="s">
        <v>2187</v>
      </c>
      <c r="AQ259" t="s">
        <v>74</v>
      </c>
      <c r="AR259" t="s">
        <v>2188</v>
      </c>
      <c r="AS259" t="s">
        <v>2189</v>
      </c>
      <c r="AT259" t="s">
        <v>74</v>
      </c>
      <c r="AU259">
        <v>2017</v>
      </c>
      <c r="AV259">
        <v>43</v>
      </c>
      <c r="AW259">
        <v>2</v>
      </c>
      <c r="AX259" t="s">
        <v>74</v>
      </c>
      <c r="AY259" t="s">
        <v>74</v>
      </c>
      <c r="AZ259" t="s">
        <v>74</v>
      </c>
      <c r="BA259" t="s">
        <v>74</v>
      </c>
      <c r="BB259">
        <v>361</v>
      </c>
      <c r="BC259">
        <v>376</v>
      </c>
      <c r="BD259" t="s">
        <v>74</v>
      </c>
      <c r="BE259" t="s">
        <v>5139</v>
      </c>
      <c r="BF259" t="str">
        <f>HYPERLINK("http://dx.doi.org/10.18172/cig.3318","http://dx.doi.org/10.18172/cig.3318")</f>
        <v>http://dx.doi.org/10.18172/cig.3318</v>
      </c>
      <c r="BG259" t="s">
        <v>74</v>
      </c>
      <c r="BH259" t="s">
        <v>74</v>
      </c>
      <c r="BI259">
        <v>16</v>
      </c>
      <c r="BJ259" t="s">
        <v>2191</v>
      </c>
      <c r="BK259" t="s">
        <v>2057</v>
      </c>
      <c r="BL259" t="s">
        <v>2192</v>
      </c>
      <c r="BM259" t="s">
        <v>2193</v>
      </c>
      <c r="BN259" t="s">
        <v>74</v>
      </c>
      <c r="BO259" t="s">
        <v>725</v>
      </c>
      <c r="BP259" t="s">
        <v>74</v>
      </c>
      <c r="BQ259" t="s">
        <v>74</v>
      </c>
      <c r="BR259" t="s">
        <v>105</v>
      </c>
      <c r="BS259" t="s">
        <v>5140</v>
      </c>
      <c r="BT259" t="str">
        <f>HYPERLINK("https%3A%2F%2Fwww.webofscience.com%2Fwos%2Fwoscc%2Ffull-record%2FWOS:000418809200002","View Full Record in Web of Science")</f>
        <v>View Full Record in Web of Science</v>
      </c>
    </row>
    <row r="260" spans="1:72" x14ac:dyDescent="0.15">
      <c r="A260" t="s">
        <v>72</v>
      </c>
      <c r="B260" t="s">
        <v>5141</v>
      </c>
      <c r="C260" t="s">
        <v>74</v>
      </c>
      <c r="D260" t="s">
        <v>74</v>
      </c>
      <c r="E260" t="s">
        <v>74</v>
      </c>
      <c r="F260" t="s">
        <v>5142</v>
      </c>
      <c r="G260" t="s">
        <v>74</v>
      </c>
      <c r="H260" t="s">
        <v>74</v>
      </c>
      <c r="I260" t="s">
        <v>5143</v>
      </c>
      <c r="J260" t="s">
        <v>2170</v>
      </c>
      <c r="K260" t="s">
        <v>74</v>
      </c>
      <c r="L260" t="s">
        <v>74</v>
      </c>
      <c r="M260" t="s">
        <v>78</v>
      </c>
      <c r="N260" t="s">
        <v>79</v>
      </c>
      <c r="O260" t="s">
        <v>74</v>
      </c>
      <c r="P260" t="s">
        <v>74</v>
      </c>
      <c r="Q260" t="s">
        <v>74</v>
      </c>
      <c r="R260" t="s">
        <v>74</v>
      </c>
      <c r="S260" t="s">
        <v>74</v>
      </c>
      <c r="T260" t="s">
        <v>5144</v>
      </c>
      <c r="U260" t="s">
        <v>5145</v>
      </c>
      <c r="V260" t="s">
        <v>5146</v>
      </c>
      <c r="W260" t="s">
        <v>5147</v>
      </c>
      <c r="X260" t="s">
        <v>5148</v>
      </c>
      <c r="Y260" t="s">
        <v>5149</v>
      </c>
      <c r="Z260" t="s">
        <v>5150</v>
      </c>
      <c r="AA260" t="s">
        <v>5151</v>
      </c>
      <c r="AB260" t="s">
        <v>5152</v>
      </c>
      <c r="AC260" t="s">
        <v>74</v>
      </c>
      <c r="AD260" t="s">
        <v>74</v>
      </c>
      <c r="AE260" t="s">
        <v>74</v>
      </c>
      <c r="AF260" t="s">
        <v>74</v>
      </c>
      <c r="AG260">
        <v>105</v>
      </c>
      <c r="AH260">
        <v>13</v>
      </c>
      <c r="AI260">
        <v>13</v>
      </c>
      <c r="AJ260">
        <v>1</v>
      </c>
      <c r="AK260">
        <v>15</v>
      </c>
      <c r="AL260" t="s">
        <v>2183</v>
      </c>
      <c r="AM260" t="s">
        <v>2184</v>
      </c>
      <c r="AN260" t="s">
        <v>2185</v>
      </c>
      <c r="AO260" t="s">
        <v>2186</v>
      </c>
      <c r="AP260" t="s">
        <v>2187</v>
      </c>
      <c r="AQ260" t="s">
        <v>74</v>
      </c>
      <c r="AR260" t="s">
        <v>2188</v>
      </c>
      <c r="AS260" t="s">
        <v>2189</v>
      </c>
      <c r="AT260" t="s">
        <v>74</v>
      </c>
      <c r="AU260">
        <v>2017</v>
      </c>
      <c r="AV260">
        <v>43</v>
      </c>
      <c r="AW260">
        <v>2</v>
      </c>
      <c r="AX260" t="s">
        <v>74</v>
      </c>
      <c r="AY260" t="s">
        <v>74</v>
      </c>
      <c r="AZ260" t="s">
        <v>74</v>
      </c>
      <c r="BA260" t="s">
        <v>74</v>
      </c>
      <c r="BB260">
        <v>591</v>
      </c>
      <c r="BC260">
        <v>628</v>
      </c>
      <c r="BD260" t="s">
        <v>74</v>
      </c>
      <c r="BE260" t="s">
        <v>5153</v>
      </c>
      <c r="BF260" t="str">
        <f>HYPERLINK("http://dx.doi.org/10.18172/cig.3265","http://dx.doi.org/10.18172/cig.3265")</f>
        <v>http://dx.doi.org/10.18172/cig.3265</v>
      </c>
      <c r="BG260" t="s">
        <v>74</v>
      </c>
      <c r="BH260" t="s">
        <v>74</v>
      </c>
      <c r="BI260">
        <v>38</v>
      </c>
      <c r="BJ260" t="s">
        <v>2191</v>
      </c>
      <c r="BK260" t="s">
        <v>2057</v>
      </c>
      <c r="BL260" t="s">
        <v>2192</v>
      </c>
      <c r="BM260" t="s">
        <v>2193</v>
      </c>
      <c r="BN260" t="s">
        <v>74</v>
      </c>
      <c r="BO260" t="s">
        <v>941</v>
      </c>
      <c r="BP260" t="s">
        <v>74</v>
      </c>
      <c r="BQ260" t="s">
        <v>74</v>
      </c>
      <c r="BR260" t="s">
        <v>105</v>
      </c>
      <c r="BS260" t="s">
        <v>5154</v>
      </c>
      <c r="BT260" t="str">
        <f>HYPERLINK("https%3A%2F%2Fwww.webofscience.com%2Fwos%2Fwoscc%2Ffull-record%2FWOS:000418809200011","View Full Record in Web of Science")</f>
        <v>View Full Record in Web of Science</v>
      </c>
    </row>
    <row r="261" spans="1:72" x14ac:dyDescent="0.15">
      <c r="A261" t="s">
        <v>72</v>
      </c>
      <c r="B261" t="s">
        <v>5155</v>
      </c>
      <c r="C261" t="s">
        <v>74</v>
      </c>
      <c r="D261" t="s">
        <v>74</v>
      </c>
      <c r="E261" t="s">
        <v>74</v>
      </c>
      <c r="F261" t="s">
        <v>5156</v>
      </c>
      <c r="G261" t="s">
        <v>74</v>
      </c>
      <c r="H261" t="s">
        <v>74</v>
      </c>
      <c r="I261" t="s">
        <v>5157</v>
      </c>
      <c r="J261" t="s">
        <v>2170</v>
      </c>
      <c r="K261" t="s">
        <v>74</v>
      </c>
      <c r="L261" t="s">
        <v>74</v>
      </c>
      <c r="M261" t="s">
        <v>78</v>
      </c>
      <c r="N261" t="s">
        <v>79</v>
      </c>
      <c r="O261" t="s">
        <v>74</v>
      </c>
      <c r="P261" t="s">
        <v>74</v>
      </c>
      <c r="Q261" t="s">
        <v>74</v>
      </c>
      <c r="R261" t="s">
        <v>74</v>
      </c>
      <c r="S261" t="s">
        <v>74</v>
      </c>
      <c r="T261" t="s">
        <v>5158</v>
      </c>
      <c r="U261" t="s">
        <v>5159</v>
      </c>
      <c r="V261" t="s">
        <v>5160</v>
      </c>
      <c r="W261" t="s">
        <v>5161</v>
      </c>
      <c r="X261" t="s">
        <v>5162</v>
      </c>
      <c r="Y261" t="s">
        <v>5163</v>
      </c>
      <c r="Z261" t="s">
        <v>5164</v>
      </c>
      <c r="AA261" t="s">
        <v>5165</v>
      </c>
      <c r="AB261" t="s">
        <v>5166</v>
      </c>
      <c r="AC261" t="s">
        <v>5167</v>
      </c>
      <c r="AD261" t="s">
        <v>5167</v>
      </c>
      <c r="AE261" t="s">
        <v>5168</v>
      </c>
      <c r="AF261" t="s">
        <v>74</v>
      </c>
      <c r="AG261">
        <v>45</v>
      </c>
      <c r="AH261">
        <v>12</v>
      </c>
      <c r="AI261">
        <v>12</v>
      </c>
      <c r="AJ261">
        <v>0</v>
      </c>
      <c r="AK261">
        <v>7</v>
      </c>
      <c r="AL261" t="s">
        <v>2183</v>
      </c>
      <c r="AM261" t="s">
        <v>2184</v>
      </c>
      <c r="AN261" t="s">
        <v>2185</v>
      </c>
      <c r="AO261" t="s">
        <v>2186</v>
      </c>
      <c r="AP261" t="s">
        <v>2187</v>
      </c>
      <c r="AQ261" t="s">
        <v>74</v>
      </c>
      <c r="AR261" t="s">
        <v>2188</v>
      </c>
      <c r="AS261" t="s">
        <v>2189</v>
      </c>
      <c r="AT261" t="s">
        <v>74</v>
      </c>
      <c r="AU261">
        <v>2017</v>
      </c>
      <c r="AV261">
        <v>43</v>
      </c>
      <c r="AW261">
        <v>2</v>
      </c>
      <c r="AX261" t="s">
        <v>74</v>
      </c>
      <c r="AY261" t="s">
        <v>74</v>
      </c>
      <c r="AZ261" t="s">
        <v>74</v>
      </c>
      <c r="BA261" t="s">
        <v>74</v>
      </c>
      <c r="BB261">
        <v>629</v>
      </c>
      <c r="BC261">
        <v>648</v>
      </c>
      <c r="BD261" t="s">
        <v>74</v>
      </c>
      <c r="BE261" t="s">
        <v>5169</v>
      </c>
      <c r="BF261" t="str">
        <f>HYPERLINK("http://dx.doi.org/10.18172/cig.3201","http://dx.doi.org/10.18172/cig.3201")</f>
        <v>http://dx.doi.org/10.18172/cig.3201</v>
      </c>
      <c r="BG261" t="s">
        <v>74</v>
      </c>
      <c r="BH261" t="s">
        <v>74</v>
      </c>
      <c r="BI261">
        <v>20</v>
      </c>
      <c r="BJ261" t="s">
        <v>2191</v>
      </c>
      <c r="BK261" t="s">
        <v>2057</v>
      </c>
      <c r="BL261" t="s">
        <v>2192</v>
      </c>
      <c r="BM261" t="s">
        <v>2193</v>
      </c>
      <c r="BN261" t="s">
        <v>74</v>
      </c>
      <c r="BO261" t="s">
        <v>725</v>
      </c>
      <c r="BP261" t="s">
        <v>74</v>
      </c>
      <c r="BQ261" t="s">
        <v>74</v>
      </c>
      <c r="BR261" t="s">
        <v>105</v>
      </c>
      <c r="BS261" t="s">
        <v>5170</v>
      </c>
      <c r="BT261" t="str">
        <f>HYPERLINK("https%3A%2F%2Fwww.webofscience.com%2Fwos%2Fwoscc%2Ffull-record%2FWOS:000418809200012","View Full Record in Web of Science")</f>
        <v>View Full Record in Web of Science</v>
      </c>
    </row>
    <row r="262" spans="1:72" x14ac:dyDescent="0.15">
      <c r="A262" t="s">
        <v>72</v>
      </c>
      <c r="B262" t="s">
        <v>5171</v>
      </c>
      <c r="C262" t="s">
        <v>74</v>
      </c>
      <c r="D262" t="s">
        <v>74</v>
      </c>
      <c r="E262" t="s">
        <v>74</v>
      </c>
      <c r="F262" t="s">
        <v>5172</v>
      </c>
      <c r="G262" t="s">
        <v>74</v>
      </c>
      <c r="H262" t="s">
        <v>74</v>
      </c>
      <c r="I262" t="s">
        <v>5173</v>
      </c>
      <c r="J262" t="s">
        <v>2170</v>
      </c>
      <c r="K262" t="s">
        <v>74</v>
      </c>
      <c r="L262" t="s">
        <v>74</v>
      </c>
      <c r="M262" t="s">
        <v>78</v>
      </c>
      <c r="N262" t="s">
        <v>79</v>
      </c>
      <c r="O262" t="s">
        <v>74</v>
      </c>
      <c r="P262" t="s">
        <v>74</v>
      </c>
      <c r="Q262" t="s">
        <v>74</v>
      </c>
      <c r="R262" t="s">
        <v>74</v>
      </c>
      <c r="S262" t="s">
        <v>74</v>
      </c>
      <c r="T262" t="s">
        <v>5174</v>
      </c>
      <c r="U262" t="s">
        <v>5175</v>
      </c>
      <c r="V262" t="s">
        <v>5176</v>
      </c>
      <c r="W262" t="s">
        <v>5177</v>
      </c>
      <c r="X262" t="s">
        <v>5178</v>
      </c>
      <c r="Y262" t="s">
        <v>5179</v>
      </c>
      <c r="Z262" t="s">
        <v>5180</v>
      </c>
      <c r="AA262" t="s">
        <v>74</v>
      </c>
      <c r="AB262" t="s">
        <v>74</v>
      </c>
      <c r="AC262" t="s">
        <v>5181</v>
      </c>
      <c r="AD262" t="s">
        <v>5137</v>
      </c>
      <c r="AE262" t="s">
        <v>5182</v>
      </c>
      <c r="AF262" t="s">
        <v>74</v>
      </c>
      <c r="AG262">
        <v>64</v>
      </c>
      <c r="AH262">
        <v>3</v>
      </c>
      <c r="AI262">
        <v>3</v>
      </c>
      <c r="AJ262">
        <v>0</v>
      </c>
      <c r="AK262">
        <v>6</v>
      </c>
      <c r="AL262" t="s">
        <v>2183</v>
      </c>
      <c r="AM262" t="s">
        <v>2184</v>
      </c>
      <c r="AN262" t="s">
        <v>2185</v>
      </c>
      <c r="AO262" t="s">
        <v>2186</v>
      </c>
      <c r="AP262" t="s">
        <v>2187</v>
      </c>
      <c r="AQ262" t="s">
        <v>74</v>
      </c>
      <c r="AR262" t="s">
        <v>2188</v>
      </c>
      <c r="AS262" t="s">
        <v>2189</v>
      </c>
      <c r="AT262" t="s">
        <v>74</v>
      </c>
      <c r="AU262">
        <v>2017</v>
      </c>
      <c r="AV262">
        <v>43</v>
      </c>
      <c r="AW262">
        <v>2</v>
      </c>
      <c r="AX262" t="s">
        <v>74</v>
      </c>
      <c r="AY262" t="s">
        <v>74</v>
      </c>
      <c r="AZ262" t="s">
        <v>74</v>
      </c>
      <c r="BA262" t="s">
        <v>74</v>
      </c>
      <c r="BB262">
        <v>649</v>
      </c>
      <c r="BC262">
        <v>666</v>
      </c>
      <c r="BD262" t="s">
        <v>74</v>
      </c>
      <c r="BE262" t="s">
        <v>5183</v>
      </c>
      <c r="BF262" t="str">
        <f>HYPERLINK("http://dx.doi.org/10.18172/cig.3231","http://dx.doi.org/10.18172/cig.3231")</f>
        <v>http://dx.doi.org/10.18172/cig.3231</v>
      </c>
      <c r="BG262" t="s">
        <v>74</v>
      </c>
      <c r="BH262" t="s">
        <v>74</v>
      </c>
      <c r="BI262">
        <v>18</v>
      </c>
      <c r="BJ262" t="s">
        <v>2191</v>
      </c>
      <c r="BK262" t="s">
        <v>2057</v>
      </c>
      <c r="BL262" t="s">
        <v>2192</v>
      </c>
      <c r="BM262" t="s">
        <v>2193</v>
      </c>
      <c r="BN262" t="s">
        <v>74</v>
      </c>
      <c r="BO262" t="s">
        <v>941</v>
      </c>
      <c r="BP262" t="s">
        <v>74</v>
      </c>
      <c r="BQ262" t="s">
        <v>74</v>
      </c>
      <c r="BR262" t="s">
        <v>105</v>
      </c>
      <c r="BS262" t="s">
        <v>5184</v>
      </c>
      <c r="BT262" t="str">
        <f>HYPERLINK("https%3A%2F%2Fwww.webofscience.com%2Fwos%2Fwoscc%2Ffull-record%2FWOS:000418809200013","View Full Record in Web of Science")</f>
        <v>View Full Record in Web of Science</v>
      </c>
    </row>
    <row r="263" spans="1:72" x14ac:dyDescent="0.15">
      <c r="A263" t="s">
        <v>72</v>
      </c>
      <c r="B263" t="s">
        <v>5185</v>
      </c>
      <c r="C263" t="s">
        <v>74</v>
      </c>
      <c r="D263" t="s">
        <v>74</v>
      </c>
      <c r="E263" t="s">
        <v>74</v>
      </c>
      <c r="F263" t="s">
        <v>5186</v>
      </c>
      <c r="G263" t="s">
        <v>74</v>
      </c>
      <c r="H263" t="s">
        <v>74</v>
      </c>
      <c r="I263" t="s">
        <v>5187</v>
      </c>
      <c r="J263" t="s">
        <v>4842</v>
      </c>
      <c r="K263" t="s">
        <v>74</v>
      </c>
      <c r="L263" t="s">
        <v>74</v>
      </c>
      <c r="M263" t="s">
        <v>78</v>
      </c>
      <c r="N263" t="s">
        <v>79</v>
      </c>
      <c r="O263" t="s">
        <v>74</v>
      </c>
      <c r="P263" t="s">
        <v>74</v>
      </c>
      <c r="Q263" t="s">
        <v>74</v>
      </c>
      <c r="R263" t="s">
        <v>74</v>
      </c>
      <c r="S263" t="s">
        <v>74</v>
      </c>
      <c r="T263" t="s">
        <v>5188</v>
      </c>
      <c r="U263" t="s">
        <v>5189</v>
      </c>
      <c r="V263" t="s">
        <v>5190</v>
      </c>
      <c r="W263" t="s">
        <v>5191</v>
      </c>
      <c r="X263" t="s">
        <v>5192</v>
      </c>
      <c r="Y263" t="s">
        <v>5193</v>
      </c>
      <c r="Z263" t="s">
        <v>5194</v>
      </c>
      <c r="AA263" t="s">
        <v>5195</v>
      </c>
      <c r="AB263" t="s">
        <v>74</v>
      </c>
      <c r="AC263" t="s">
        <v>74</v>
      </c>
      <c r="AD263" t="s">
        <v>74</v>
      </c>
      <c r="AE263" t="s">
        <v>74</v>
      </c>
      <c r="AF263" t="s">
        <v>74</v>
      </c>
      <c r="AG263">
        <v>20</v>
      </c>
      <c r="AH263">
        <v>3</v>
      </c>
      <c r="AI263">
        <v>3</v>
      </c>
      <c r="AJ263">
        <v>0</v>
      </c>
      <c r="AK263">
        <v>1</v>
      </c>
      <c r="AL263" t="s">
        <v>4854</v>
      </c>
      <c r="AM263" t="s">
        <v>1553</v>
      </c>
      <c r="AN263" t="s">
        <v>4855</v>
      </c>
      <c r="AO263" t="s">
        <v>4856</v>
      </c>
      <c r="AP263" t="s">
        <v>74</v>
      </c>
      <c r="AQ263" t="s">
        <v>74</v>
      </c>
      <c r="AR263" t="s">
        <v>4857</v>
      </c>
      <c r="AS263" t="s">
        <v>4858</v>
      </c>
      <c r="AT263" t="s">
        <v>74</v>
      </c>
      <c r="AU263">
        <v>2017</v>
      </c>
      <c r="AV263">
        <v>70</v>
      </c>
      <c r="AW263">
        <v>11</v>
      </c>
      <c r="AX263" t="s">
        <v>74</v>
      </c>
      <c r="AY263" t="s">
        <v>74</v>
      </c>
      <c r="AZ263" t="s">
        <v>74</v>
      </c>
      <c r="BA263" t="s">
        <v>74</v>
      </c>
      <c r="BB263">
        <v>1557</v>
      </c>
      <c r="BC263">
        <v>1566</v>
      </c>
      <c r="BD263" t="s">
        <v>74</v>
      </c>
      <c r="BE263" t="s">
        <v>74</v>
      </c>
      <c r="BF263" t="s">
        <v>74</v>
      </c>
      <c r="BG263" t="s">
        <v>74</v>
      </c>
      <c r="BH263" t="s">
        <v>74</v>
      </c>
      <c r="BI263">
        <v>10</v>
      </c>
      <c r="BJ263" t="s">
        <v>100</v>
      </c>
      <c r="BK263" t="s">
        <v>101</v>
      </c>
      <c r="BL263" t="s">
        <v>102</v>
      </c>
      <c r="BM263" t="s">
        <v>5196</v>
      </c>
      <c r="BN263" t="s">
        <v>74</v>
      </c>
      <c r="BO263" t="s">
        <v>74</v>
      </c>
      <c r="BP263" t="s">
        <v>74</v>
      </c>
      <c r="BQ263" t="s">
        <v>74</v>
      </c>
      <c r="BR263" t="s">
        <v>105</v>
      </c>
      <c r="BS263" t="s">
        <v>5197</v>
      </c>
      <c r="BT263" t="str">
        <f>HYPERLINK("https%3A%2F%2Fwww.webofscience.com%2Fwos%2Fwoscc%2Ffull-record%2FWOS:000419422600010","View Full Record in Web of Science")</f>
        <v>View Full Record in Web of Science</v>
      </c>
    </row>
    <row r="264" spans="1:72" x14ac:dyDescent="0.15">
      <c r="A264" t="s">
        <v>72</v>
      </c>
      <c r="B264" t="s">
        <v>5198</v>
      </c>
      <c r="C264" t="s">
        <v>74</v>
      </c>
      <c r="D264" t="s">
        <v>74</v>
      </c>
      <c r="E264" t="s">
        <v>74</v>
      </c>
      <c r="F264" t="s">
        <v>5199</v>
      </c>
      <c r="G264" t="s">
        <v>74</v>
      </c>
      <c r="H264" t="s">
        <v>74</v>
      </c>
      <c r="I264" t="s">
        <v>5200</v>
      </c>
      <c r="J264" t="s">
        <v>5201</v>
      </c>
      <c r="K264" t="s">
        <v>74</v>
      </c>
      <c r="L264" t="s">
        <v>74</v>
      </c>
      <c r="M264" t="s">
        <v>78</v>
      </c>
      <c r="N264" t="s">
        <v>79</v>
      </c>
      <c r="O264" t="s">
        <v>74</v>
      </c>
      <c r="P264" t="s">
        <v>74</v>
      </c>
      <c r="Q264" t="s">
        <v>74</v>
      </c>
      <c r="R264" t="s">
        <v>74</v>
      </c>
      <c r="S264" t="s">
        <v>74</v>
      </c>
      <c r="T264" t="s">
        <v>5202</v>
      </c>
      <c r="U264" t="s">
        <v>5203</v>
      </c>
      <c r="V264" t="s">
        <v>5204</v>
      </c>
      <c r="W264" t="s">
        <v>5205</v>
      </c>
      <c r="X264" t="s">
        <v>5206</v>
      </c>
      <c r="Y264" t="s">
        <v>5207</v>
      </c>
      <c r="Z264" t="s">
        <v>5208</v>
      </c>
      <c r="AA264" t="s">
        <v>5209</v>
      </c>
      <c r="AB264" t="s">
        <v>5210</v>
      </c>
      <c r="AC264" t="s">
        <v>5211</v>
      </c>
      <c r="AD264" t="s">
        <v>5212</v>
      </c>
      <c r="AE264" t="s">
        <v>5213</v>
      </c>
      <c r="AF264" t="s">
        <v>74</v>
      </c>
      <c r="AG264">
        <v>33</v>
      </c>
      <c r="AH264">
        <v>11</v>
      </c>
      <c r="AI264">
        <v>13</v>
      </c>
      <c r="AJ264">
        <v>3</v>
      </c>
      <c r="AK264">
        <v>28</v>
      </c>
      <c r="AL264" t="s">
        <v>2103</v>
      </c>
      <c r="AM264" t="s">
        <v>2104</v>
      </c>
      <c r="AN264" t="s">
        <v>2105</v>
      </c>
      <c r="AO264" t="s">
        <v>5214</v>
      </c>
      <c r="AP264" t="s">
        <v>5215</v>
      </c>
      <c r="AQ264" t="s">
        <v>74</v>
      </c>
      <c r="AR264" t="s">
        <v>5216</v>
      </c>
      <c r="AS264" t="s">
        <v>5217</v>
      </c>
      <c r="AT264" t="s">
        <v>74</v>
      </c>
      <c r="AU264">
        <v>2017</v>
      </c>
      <c r="AV264">
        <v>26</v>
      </c>
      <c r="AW264">
        <v>10</v>
      </c>
      <c r="AX264" t="s">
        <v>74</v>
      </c>
      <c r="AY264" t="s">
        <v>74</v>
      </c>
      <c r="AZ264" t="s">
        <v>74</v>
      </c>
      <c r="BA264" t="s">
        <v>74</v>
      </c>
      <c r="BB264">
        <v>1210</v>
      </c>
      <c r="BC264">
        <v>1220</v>
      </c>
      <c r="BD264" t="s">
        <v>74</v>
      </c>
      <c r="BE264" t="s">
        <v>5218</v>
      </c>
      <c r="BF264" t="str">
        <f>HYPERLINK("http://dx.doi.org/10.1080/10498850.2015.1094686","http://dx.doi.org/10.1080/10498850.2015.1094686")</f>
        <v>http://dx.doi.org/10.1080/10498850.2015.1094686</v>
      </c>
      <c r="BG264" t="s">
        <v>74</v>
      </c>
      <c r="BH264" t="s">
        <v>74</v>
      </c>
      <c r="BI264">
        <v>11</v>
      </c>
      <c r="BJ264" t="s">
        <v>4818</v>
      </c>
      <c r="BK264" t="s">
        <v>101</v>
      </c>
      <c r="BL264" t="s">
        <v>4818</v>
      </c>
      <c r="BM264" t="s">
        <v>5219</v>
      </c>
      <c r="BN264" t="s">
        <v>74</v>
      </c>
      <c r="BO264" t="s">
        <v>74</v>
      </c>
      <c r="BP264" t="s">
        <v>74</v>
      </c>
      <c r="BQ264" t="s">
        <v>74</v>
      </c>
      <c r="BR264" t="s">
        <v>105</v>
      </c>
      <c r="BS264" t="s">
        <v>5220</v>
      </c>
      <c r="BT264" t="str">
        <f>HYPERLINK("https%3A%2F%2Fwww.webofscience.com%2Fwos%2Fwoscc%2Ffull-record%2FWOS:000419358200011","View Full Record in Web of Science")</f>
        <v>View Full Record in Web of Science</v>
      </c>
    </row>
    <row r="265" spans="1:72" x14ac:dyDescent="0.15">
      <c r="A265" t="s">
        <v>72</v>
      </c>
      <c r="B265" t="s">
        <v>5221</v>
      </c>
      <c r="C265" t="s">
        <v>74</v>
      </c>
      <c r="D265" t="s">
        <v>74</v>
      </c>
      <c r="E265" t="s">
        <v>74</v>
      </c>
      <c r="F265" t="s">
        <v>5222</v>
      </c>
      <c r="G265" t="s">
        <v>74</v>
      </c>
      <c r="H265" t="s">
        <v>74</v>
      </c>
      <c r="I265" t="s">
        <v>5223</v>
      </c>
      <c r="J265" t="s">
        <v>5224</v>
      </c>
      <c r="K265" t="s">
        <v>74</v>
      </c>
      <c r="L265" t="s">
        <v>74</v>
      </c>
      <c r="M265" t="s">
        <v>5225</v>
      </c>
      <c r="N265" t="s">
        <v>79</v>
      </c>
      <c r="O265" t="s">
        <v>74</v>
      </c>
      <c r="P265" t="s">
        <v>74</v>
      </c>
      <c r="Q265" t="s">
        <v>74</v>
      </c>
      <c r="R265" t="s">
        <v>74</v>
      </c>
      <c r="S265" t="s">
        <v>74</v>
      </c>
      <c r="T265" t="s">
        <v>5226</v>
      </c>
      <c r="U265" t="s">
        <v>5227</v>
      </c>
      <c r="V265" t="s">
        <v>5228</v>
      </c>
      <c r="W265" t="s">
        <v>5229</v>
      </c>
      <c r="X265" t="s">
        <v>5230</v>
      </c>
      <c r="Y265" t="s">
        <v>5231</v>
      </c>
      <c r="Z265" t="s">
        <v>74</v>
      </c>
      <c r="AA265" t="s">
        <v>74</v>
      </c>
      <c r="AB265" t="s">
        <v>74</v>
      </c>
      <c r="AC265" t="s">
        <v>5232</v>
      </c>
      <c r="AD265" t="s">
        <v>5233</v>
      </c>
      <c r="AE265" t="s">
        <v>74</v>
      </c>
      <c r="AF265" t="s">
        <v>74</v>
      </c>
      <c r="AG265">
        <v>35</v>
      </c>
      <c r="AH265">
        <v>6</v>
      </c>
      <c r="AI265">
        <v>6</v>
      </c>
      <c r="AJ265">
        <v>0</v>
      </c>
      <c r="AK265">
        <v>8</v>
      </c>
      <c r="AL265" t="s">
        <v>5234</v>
      </c>
      <c r="AM265" t="s">
        <v>3261</v>
      </c>
      <c r="AN265" t="s">
        <v>5235</v>
      </c>
      <c r="AO265" t="s">
        <v>5236</v>
      </c>
      <c r="AP265" t="s">
        <v>5237</v>
      </c>
      <c r="AQ265" t="s">
        <v>74</v>
      </c>
      <c r="AR265" t="s">
        <v>5238</v>
      </c>
      <c r="AS265" t="s">
        <v>5239</v>
      </c>
      <c r="AT265" t="s">
        <v>74</v>
      </c>
      <c r="AU265">
        <v>2017</v>
      </c>
      <c r="AV265">
        <v>126</v>
      </c>
      <c r="AW265">
        <v>1</v>
      </c>
      <c r="AX265" t="s">
        <v>74</v>
      </c>
      <c r="AY265" t="s">
        <v>74</v>
      </c>
      <c r="AZ265" t="s">
        <v>270</v>
      </c>
      <c r="BA265" t="s">
        <v>74</v>
      </c>
      <c r="BB265">
        <v>1</v>
      </c>
      <c r="BC265">
        <v>24</v>
      </c>
      <c r="BD265" t="s">
        <v>74</v>
      </c>
      <c r="BE265" t="s">
        <v>5240</v>
      </c>
      <c r="BF265" t="str">
        <f>HYPERLINK("http://dx.doi.org/10.5026/jgeography.126.1","http://dx.doi.org/10.5026/jgeography.126.1")</f>
        <v>http://dx.doi.org/10.5026/jgeography.126.1</v>
      </c>
      <c r="BG265" t="s">
        <v>74</v>
      </c>
      <c r="BH265" t="s">
        <v>74</v>
      </c>
      <c r="BI265">
        <v>24</v>
      </c>
      <c r="BJ265" t="s">
        <v>2191</v>
      </c>
      <c r="BK265" t="s">
        <v>2057</v>
      </c>
      <c r="BL265" t="s">
        <v>2192</v>
      </c>
      <c r="BM265" t="s">
        <v>5241</v>
      </c>
      <c r="BN265" t="s">
        <v>74</v>
      </c>
      <c r="BO265" t="s">
        <v>941</v>
      </c>
      <c r="BP265" t="s">
        <v>74</v>
      </c>
      <c r="BQ265" t="s">
        <v>74</v>
      </c>
      <c r="BR265" t="s">
        <v>105</v>
      </c>
      <c r="BS265" t="s">
        <v>5242</v>
      </c>
      <c r="BT265" t="str">
        <f>HYPERLINK("https%3A%2F%2Fwww.webofscience.com%2Fwos%2Fwoscc%2Ffull-record%2FWOS:000418719200001","View Full Record in Web of Science")</f>
        <v>View Full Record in Web of Science</v>
      </c>
    </row>
    <row r="266" spans="1:72" x14ac:dyDescent="0.15">
      <c r="A266" t="s">
        <v>1823</v>
      </c>
      <c r="B266" t="s">
        <v>5243</v>
      </c>
      <c r="C266" t="s">
        <v>74</v>
      </c>
      <c r="D266" t="s">
        <v>5244</v>
      </c>
      <c r="E266" t="s">
        <v>74</v>
      </c>
      <c r="F266" t="s">
        <v>5245</v>
      </c>
      <c r="G266" t="s">
        <v>74</v>
      </c>
      <c r="H266" t="s">
        <v>74</v>
      </c>
      <c r="I266" t="s">
        <v>5246</v>
      </c>
      <c r="J266" t="s">
        <v>5247</v>
      </c>
      <c r="K266" t="s">
        <v>3417</v>
      </c>
      <c r="L266" t="s">
        <v>74</v>
      </c>
      <c r="M266" t="s">
        <v>78</v>
      </c>
      <c r="N266" t="s">
        <v>1829</v>
      </c>
      <c r="O266" t="s">
        <v>5248</v>
      </c>
      <c r="P266" t="s">
        <v>5249</v>
      </c>
      <c r="Q266" t="s">
        <v>5250</v>
      </c>
      <c r="R266" t="s">
        <v>74</v>
      </c>
      <c r="S266" t="s">
        <v>74</v>
      </c>
      <c r="T266" t="s">
        <v>5251</v>
      </c>
      <c r="U266" t="s">
        <v>5252</v>
      </c>
      <c r="V266" t="s">
        <v>5253</v>
      </c>
      <c r="W266" t="s">
        <v>5254</v>
      </c>
      <c r="X266" t="s">
        <v>74</v>
      </c>
      <c r="Y266" t="s">
        <v>5255</v>
      </c>
      <c r="Z266" t="s">
        <v>5256</v>
      </c>
      <c r="AA266" t="s">
        <v>5257</v>
      </c>
      <c r="AB266" t="s">
        <v>74</v>
      </c>
      <c r="AC266" t="s">
        <v>5258</v>
      </c>
      <c r="AD266" t="s">
        <v>4160</v>
      </c>
      <c r="AE266" t="s">
        <v>5259</v>
      </c>
      <c r="AF266" t="s">
        <v>74</v>
      </c>
      <c r="AG266">
        <v>16</v>
      </c>
      <c r="AH266">
        <v>0</v>
      </c>
      <c r="AI266">
        <v>0</v>
      </c>
      <c r="AJ266">
        <v>0</v>
      </c>
      <c r="AK266">
        <v>6</v>
      </c>
      <c r="AL266" t="s">
        <v>3432</v>
      </c>
      <c r="AM266" t="s">
        <v>3433</v>
      </c>
      <c r="AN266" t="s">
        <v>3434</v>
      </c>
      <c r="AO266" t="s">
        <v>3435</v>
      </c>
      <c r="AP266" t="s">
        <v>3436</v>
      </c>
      <c r="AQ266" t="s">
        <v>5260</v>
      </c>
      <c r="AR266" t="s">
        <v>3438</v>
      </c>
      <c r="AS266" t="s">
        <v>74</v>
      </c>
      <c r="AT266" t="s">
        <v>74</v>
      </c>
      <c r="AU266">
        <v>2017</v>
      </c>
      <c r="AV266">
        <v>10423</v>
      </c>
      <c r="AW266" t="s">
        <v>74</v>
      </c>
      <c r="AX266" t="s">
        <v>74</v>
      </c>
      <c r="AY266" t="s">
        <v>74</v>
      </c>
      <c r="AZ266" t="s">
        <v>74</v>
      </c>
      <c r="BA266" t="s">
        <v>74</v>
      </c>
      <c r="BB266" t="s">
        <v>74</v>
      </c>
      <c r="BC266" t="s">
        <v>74</v>
      </c>
      <c r="BD266" t="s">
        <v>5261</v>
      </c>
      <c r="BE266" t="s">
        <v>5262</v>
      </c>
      <c r="BF266" t="str">
        <f>HYPERLINK("http://dx.doi.org/10.1117/12.2278203","http://dx.doi.org/10.1117/12.2278203")</f>
        <v>http://dx.doi.org/10.1117/12.2278203</v>
      </c>
      <c r="BG266" t="s">
        <v>74</v>
      </c>
      <c r="BH266" t="s">
        <v>74</v>
      </c>
      <c r="BI266">
        <v>8</v>
      </c>
      <c r="BJ266" t="s">
        <v>5263</v>
      </c>
      <c r="BK266" t="s">
        <v>1844</v>
      </c>
      <c r="BL266" t="s">
        <v>5264</v>
      </c>
      <c r="BM266" t="s">
        <v>5265</v>
      </c>
      <c r="BN266" t="s">
        <v>74</v>
      </c>
      <c r="BO266" t="s">
        <v>74</v>
      </c>
      <c r="BP266" t="s">
        <v>74</v>
      </c>
      <c r="BQ266" t="s">
        <v>74</v>
      </c>
      <c r="BR266" t="s">
        <v>105</v>
      </c>
      <c r="BS266" t="s">
        <v>5266</v>
      </c>
      <c r="BT266" t="str">
        <f>HYPERLINK("https%3A%2F%2Fwww.webofscience.com%2Fwos%2Fwoscc%2Ffull-record%2FWOS:000418446600042","View Full Record in Web of Science")</f>
        <v>View Full Record in Web of Science</v>
      </c>
    </row>
    <row r="267" spans="1:72" x14ac:dyDescent="0.15">
      <c r="A267" t="s">
        <v>72</v>
      </c>
      <c r="B267" t="s">
        <v>5267</v>
      </c>
      <c r="C267" t="s">
        <v>74</v>
      </c>
      <c r="D267" t="s">
        <v>74</v>
      </c>
      <c r="E267" t="s">
        <v>74</v>
      </c>
      <c r="F267" t="s">
        <v>5268</v>
      </c>
      <c r="G267" t="s">
        <v>74</v>
      </c>
      <c r="H267" t="s">
        <v>74</v>
      </c>
      <c r="I267" t="s">
        <v>5269</v>
      </c>
      <c r="J267" t="s">
        <v>5270</v>
      </c>
      <c r="K267" t="s">
        <v>74</v>
      </c>
      <c r="L267" t="s">
        <v>74</v>
      </c>
      <c r="M267" t="s">
        <v>78</v>
      </c>
      <c r="N267" t="s">
        <v>79</v>
      </c>
      <c r="O267" t="s">
        <v>74</v>
      </c>
      <c r="P267" t="s">
        <v>74</v>
      </c>
      <c r="Q267" t="s">
        <v>74</v>
      </c>
      <c r="R267" t="s">
        <v>74</v>
      </c>
      <c r="S267" t="s">
        <v>74</v>
      </c>
      <c r="T267" t="s">
        <v>5271</v>
      </c>
      <c r="U267" t="s">
        <v>5272</v>
      </c>
      <c r="V267" t="s">
        <v>5273</v>
      </c>
      <c r="W267" t="s">
        <v>5274</v>
      </c>
      <c r="X267" t="s">
        <v>5275</v>
      </c>
      <c r="Y267" t="s">
        <v>5276</v>
      </c>
      <c r="Z267" t="s">
        <v>5277</v>
      </c>
      <c r="AA267" t="s">
        <v>5278</v>
      </c>
      <c r="AB267" t="s">
        <v>5279</v>
      </c>
      <c r="AC267" t="s">
        <v>5280</v>
      </c>
      <c r="AD267" t="s">
        <v>5280</v>
      </c>
      <c r="AE267" t="s">
        <v>5281</v>
      </c>
      <c r="AF267" t="s">
        <v>74</v>
      </c>
      <c r="AG267">
        <v>22</v>
      </c>
      <c r="AH267">
        <v>0</v>
      </c>
      <c r="AI267">
        <v>2</v>
      </c>
      <c r="AJ267">
        <v>0</v>
      </c>
      <c r="AK267">
        <v>3</v>
      </c>
      <c r="AL267" t="s">
        <v>5282</v>
      </c>
      <c r="AM267" t="s">
        <v>5283</v>
      </c>
      <c r="AN267" t="s">
        <v>5284</v>
      </c>
      <c r="AO267" t="s">
        <v>5285</v>
      </c>
      <c r="AP267" t="s">
        <v>5286</v>
      </c>
      <c r="AQ267" t="s">
        <v>74</v>
      </c>
      <c r="AR267" t="s">
        <v>5287</v>
      </c>
      <c r="AS267" t="s">
        <v>5288</v>
      </c>
      <c r="AT267" t="s">
        <v>74</v>
      </c>
      <c r="AU267">
        <v>2017</v>
      </c>
      <c r="AV267">
        <v>39</v>
      </c>
      <c r="AW267">
        <v>4</v>
      </c>
      <c r="AX267" t="s">
        <v>74</v>
      </c>
      <c r="AY267" t="s">
        <v>74</v>
      </c>
      <c r="AZ267" t="s">
        <v>74</v>
      </c>
      <c r="BA267" t="s">
        <v>74</v>
      </c>
      <c r="BB267">
        <v>453</v>
      </c>
      <c r="BC267">
        <v>466</v>
      </c>
      <c r="BD267" t="s">
        <v>74</v>
      </c>
      <c r="BE267" t="s">
        <v>5289</v>
      </c>
      <c r="BF267" t="str">
        <f>HYPERLINK("http://dx.doi.org/10.2989/1814232X.2017.1400999","http://dx.doi.org/10.2989/1814232X.2017.1400999")</f>
        <v>http://dx.doi.org/10.2989/1814232X.2017.1400999</v>
      </c>
      <c r="BG267" t="s">
        <v>74</v>
      </c>
      <c r="BH267" t="s">
        <v>74</v>
      </c>
      <c r="BI267">
        <v>14</v>
      </c>
      <c r="BJ267" t="s">
        <v>2474</v>
      </c>
      <c r="BK267" t="s">
        <v>101</v>
      </c>
      <c r="BL267" t="s">
        <v>2474</v>
      </c>
      <c r="BM267" t="s">
        <v>5290</v>
      </c>
      <c r="BN267" t="s">
        <v>74</v>
      </c>
      <c r="BO267" t="s">
        <v>74</v>
      </c>
      <c r="BP267" t="s">
        <v>74</v>
      </c>
      <c r="BQ267" t="s">
        <v>74</v>
      </c>
      <c r="BR267" t="s">
        <v>105</v>
      </c>
      <c r="BS267" t="s">
        <v>5291</v>
      </c>
      <c r="BT267" t="str">
        <f>HYPERLINK("https%3A%2F%2Fwww.webofscience.com%2Fwos%2Fwoscc%2Ffull-record%2FWOS:000418896600008","View Full Record in Web of Science")</f>
        <v>View Full Record in Web of Science</v>
      </c>
    </row>
    <row r="268" spans="1:72" x14ac:dyDescent="0.15">
      <c r="A268" t="s">
        <v>72</v>
      </c>
      <c r="B268" t="s">
        <v>5292</v>
      </c>
      <c r="C268" t="s">
        <v>74</v>
      </c>
      <c r="D268" t="s">
        <v>74</v>
      </c>
      <c r="E268" t="s">
        <v>74</v>
      </c>
      <c r="F268" t="s">
        <v>5293</v>
      </c>
      <c r="G268" t="s">
        <v>74</v>
      </c>
      <c r="H268" t="s">
        <v>74</v>
      </c>
      <c r="I268" t="s">
        <v>5294</v>
      </c>
      <c r="J268" t="s">
        <v>2705</v>
      </c>
      <c r="K268" t="s">
        <v>74</v>
      </c>
      <c r="L268" t="s">
        <v>74</v>
      </c>
      <c r="M268" t="s">
        <v>2706</v>
      </c>
      <c r="N268" t="s">
        <v>79</v>
      </c>
      <c r="O268" t="s">
        <v>74</v>
      </c>
      <c r="P268" t="s">
        <v>74</v>
      </c>
      <c r="Q268" t="s">
        <v>74</v>
      </c>
      <c r="R268" t="s">
        <v>74</v>
      </c>
      <c r="S268" t="s">
        <v>74</v>
      </c>
      <c r="T268" t="s">
        <v>5295</v>
      </c>
      <c r="U268" t="s">
        <v>5296</v>
      </c>
      <c r="V268" t="s">
        <v>5297</v>
      </c>
      <c r="W268" t="s">
        <v>5298</v>
      </c>
      <c r="X268" t="s">
        <v>5299</v>
      </c>
      <c r="Y268" t="s">
        <v>5300</v>
      </c>
      <c r="Z268" t="s">
        <v>5301</v>
      </c>
      <c r="AA268" t="s">
        <v>5302</v>
      </c>
      <c r="AB268" t="s">
        <v>5303</v>
      </c>
      <c r="AC268" t="s">
        <v>5304</v>
      </c>
      <c r="AD268" t="s">
        <v>5305</v>
      </c>
      <c r="AE268" t="s">
        <v>5306</v>
      </c>
      <c r="AF268" t="s">
        <v>74</v>
      </c>
      <c r="AG268">
        <v>32</v>
      </c>
      <c r="AH268">
        <v>3</v>
      </c>
      <c r="AI268">
        <v>5</v>
      </c>
      <c r="AJ268">
        <v>0</v>
      </c>
      <c r="AK268">
        <v>5</v>
      </c>
      <c r="AL268" t="s">
        <v>2719</v>
      </c>
      <c r="AM268" t="s">
        <v>2048</v>
      </c>
      <c r="AN268" t="s">
        <v>2720</v>
      </c>
      <c r="AO268" t="s">
        <v>2721</v>
      </c>
      <c r="AP268" t="s">
        <v>2722</v>
      </c>
      <c r="AQ268" t="s">
        <v>74</v>
      </c>
      <c r="AR268" t="s">
        <v>2723</v>
      </c>
      <c r="AS268" t="s">
        <v>2724</v>
      </c>
      <c r="AT268" t="s">
        <v>74</v>
      </c>
      <c r="AU268">
        <v>2017</v>
      </c>
      <c r="AV268">
        <v>57</v>
      </c>
      <c r="AW268">
        <v>3</v>
      </c>
      <c r="AX268" t="s">
        <v>74</v>
      </c>
      <c r="AY268" t="s">
        <v>74</v>
      </c>
      <c r="AZ268" t="s">
        <v>74</v>
      </c>
      <c r="BA268" t="s">
        <v>74</v>
      </c>
      <c r="BB268">
        <v>293</v>
      </c>
      <c r="BC268">
        <v>306</v>
      </c>
      <c r="BD268" t="s">
        <v>74</v>
      </c>
      <c r="BE268" t="s">
        <v>5307</v>
      </c>
      <c r="BF268" t="str">
        <f>HYPERLINK("http://dx.doi.org/10.15356/2076-6734-2017-3-293-306","http://dx.doi.org/10.15356/2076-6734-2017-3-293-306")</f>
        <v>http://dx.doi.org/10.15356/2076-6734-2017-3-293-306</v>
      </c>
      <c r="BG268" t="s">
        <v>74</v>
      </c>
      <c r="BH268" t="s">
        <v>74</v>
      </c>
      <c r="BI268">
        <v>14</v>
      </c>
      <c r="BJ268" t="s">
        <v>669</v>
      </c>
      <c r="BK268" t="s">
        <v>2057</v>
      </c>
      <c r="BL268" t="s">
        <v>670</v>
      </c>
      <c r="BM268" t="s">
        <v>2726</v>
      </c>
      <c r="BN268" t="s">
        <v>74</v>
      </c>
      <c r="BO268" t="s">
        <v>941</v>
      </c>
      <c r="BP268" t="s">
        <v>74</v>
      </c>
      <c r="BQ268" t="s">
        <v>74</v>
      </c>
      <c r="BR268" t="s">
        <v>105</v>
      </c>
      <c r="BS268" t="s">
        <v>5308</v>
      </c>
      <c r="BT268" t="str">
        <f>HYPERLINK("https%3A%2F%2Fwww.webofscience.com%2Fwos%2Fwoscc%2Ffull-record%2FWOS:000418522200002","View Full Record in Web of Science")</f>
        <v>View Full Record in Web of Science</v>
      </c>
    </row>
    <row r="269" spans="1:72" x14ac:dyDescent="0.15">
      <c r="A269" t="s">
        <v>72</v>
      </c>
      <c r="B269" t="s">
        <v>5309</v>
      </c>
      <c r="C269" t="s">
        <v>74</v>
      </c>
      <c r="D269" t="s">
        <v>74</v>
      </c>
      <c r="E269" t="s">
        <v>74</v>
      </c>
      <c r="F269" t="s">
        <v>5310</v>
      </c>
      <c r="G269" t="s">
        <v>74</v>
      </c>
      <c r="H269" t="s">
        <v>74</v>
      </c>
      <c r="I269" t="s">
        <v>5311</v>
      </c>
      <c r="J269" t="s">
        <v>2705</v>
      </c>
      <c r="K269" t="s">
        <v>74</v>
      </c>
      <c r="L269" t="s">
        <v>74</v>
      </c>
      <c r="M269" t="s">
        <v>2706</v>
      </c>
      <c r="N269" t="s">
        <v>79</v>
      </c>
      <c r="O269" t="s">
        <v>74</v>
      </c>
      <c r="P269" t="s">
        <v>74</v>
      </c>
      <c r="Q269" t="s">
        <v>74</v>
      </c>
      <c r="R269" t="s">
        <v>74</v>
      </c>
      <c r="S269" t="s">
        <v>74</v>
      </c>
      <c r="T269" t="s">
        <v>5312</v>
      </c>
      <c r="U269" t="s">
        <v>5313</v>
      </c>
      <c r="V269" t="s">
        <v>5314</v>
      </c>
      <c r="W269" t="s">
        <v>5315</v>
      </c>
      <c r="X269" t="s">
        <v>5316</v>
      </c>
      <c r="Y269" t="s">
        <v>5317</v>
      </c>
      <c r="Z269" t="s">
        <v>5318</v>
      </c>
      <c r="AA269" t="s">
        <v>5319</v>
      </c>
      <c r="AB269" t="s">
        <v>74</v>
      </c>
      <c r="AC269" t="s">
        <v>5320</v>
      </c>
      <c r="AD269" t="s">
        <v>5321</v>
      </c>
      <c r="AE269" t="s">
        <v>5322</v>
      </c>
      <c r="AF269" t="s">
        <v>74</v>
      </c>
      <c r="AG269">
        <v>23</v>
      </c>
      <c r="AH269">
        <v>0</v>
      </c>
      <c r="AI269">
        <v>0</v>
      </c>
      <c r="AJ269">
        <v>0</v>
      </c>
      <c r="AK269">
        <v>9</v>
      </c>
      <c r="AL269" t="s">
        <v>2719</v>
      </c>
      <c r="AM269" t="s">
        <v>2048</v>
      </c>
      <c r="AN269" t="s">
        <v>2720</v>
      </c>
      <c r="AO269" t="s">
        <v>2721</v>
      </c>
      <c r="AP269" t="s">
        <v>2722</v>
      </c>
      <c r="AQ269" t="s">
        <v>74</v>
      </c>
      <c r="AR269" t="s">
        <v>2723</v>
      </c>
      <c r="AS269" t="s">
        <v>2724</v>
      </c>
      <c r="AT269" t="s">
        <v>74</v>
      </c>
      <c r="AU269">
        <v>2017</v>
      </c>
      <c r="AV269">
        <v>57</v>
      </c>
      <c r="AW269">
        <v>3</v>
      </c>
      <c r="AX269" t="s">
        <v>74</v>
      </c>
      <c r="AY269" t="s">
        <v>74</v>
      </c>
      <c r="AZ269" t="s">
        <v>74</v>
      </c>
      <c r="BA269" t="s">
        <v>74</v>
      </c>
      <c r="BB269">
        <v>417</v>
      </c>
      <c r="BC269">
        <v>426</v>
      </c>
      <c r="BD269" t="s">
        <v>74</v>
      </c>
      <c r="BE269" t="s">
        <v>5323</v>
      </c>
      <c r="BF269" t="str">
        <f>HYPERLINK("http://dx.doi.org/10.15356/2076-6734-2017-3-417-426","http://dx.doi.org/10.15356/2076-6734-2017-3-417-426")</f>
        <v>http://dx.doi.org/10.15356/2076-6734-2017-3-417-426</v>
      </c>
      <c r="BG269" t="s">
        <v>74</v>
      </c>
      <c r="BH269" t="s">
        <v>74</v>
      </c>
      <c r="BI269">
        <v>10</v>
      </c>
      <c r="BJ269" t="s">
        <v>669</v>
      </c>
      <c r="BK269" t="s">
        <v>2057</v>
      </c>
      <c r="BL269" t="s">
        <v>670</v>
      </c>
      <c r="BM269" t="s">
        <v>2726</v>
      </c>
      <c r="BN269" t="s">
        <v>74</v>
      </c>
      <c r="BO269" t="s">
        <v>941</v>
      </c>
      <c r="BP269" t="s">
        <v>74</v>
      </c>
      <c r="BQ269" t="s">
        <v>74</v>
      </c>
      <c r="BR269" t="s">
        <v>105</v>
      </c>
      <c r="BS269" t="s">
        <v>5324</v>
      </c>
      <c r="BT269" t="str">
        <f>HYPERLINK("https%3A%2F%2Fwww.webofscience.com%2Fwos%2Fwoscc%2Ffull-record%2FWOS:000418522200012","View Full Record in Web of Science")</f>
        <v>View Full Record in Web of Science</v>
      </c>
    </row>
    <row r="270" spans="1:72" x14ac:dyDescent="0.15">
      <c r="A270" t="s">
        <v>72</v>
      </c>
      <c r="B270" t="s">
        <v>5325</v>
      </c>
      <c r="C270" t="s">
        <v>74</v>
      </c>
      <c r="D270" t="s">
        <v>74</v>
      </c>
      <c r="E270" t="s">
        <v>74</v>
      </c>
      <c r="F270" t="s">
        <v>5326</v>
      </c>
      <c r="G270" t="s">
        <v>74</v>
      </c>
      <c r="H270" t="s">
        <v>74</v>
      </c>
      <c r="I270" t="s">
        <v>5327</v>
      </c>
      <c r="J270" t="s">
        <v>2705</v>
      </c>
      <c r="K270" t="s">
        <v>74</v>
      </c>
      <c r="L270" t="s">
        <v>74</v>
      </c>
      <c r="M270" t="s">
        <v>78</v>
      </c>
      <c r="N270" t="s">
        <v>79</v>
      </c>
      <c r="O270" t="s">
        <v>74</v>
      </c>
      <c r="P270" t="s">
        <v>74</v>
      </c>
      <c r="Q270" t="s">
        <v>74</v>
      </c>
      <c r="R270" t="s">
        <v>74</v>
      </c>
      <c r="S270" t="s">
        <v>74</v>
      </c>
      <c r="T270" t="s">
        <v>5328</v>
      </c>
      <c r="U270" t="s">
        <v>5329</v>
      </c>
      <c r="V270" t="s">
        <v>5330</v>
      </c>
      <c r="W270" t="s">
        <v>5331</v>
      </c>
      <c r="X270" t="s">
        <v>5316</v>
      </c>
      <c r="Y270" t="s">
        <v>5332</v>
      </c>
      <c r="Z270" t="s">
        <v>5333</v>
      </c>
      <c r="AA270" t="s">
        <v>5334</v>
      </c>
      <c r="AB270" t="s">
        <v>5335</v>
      </c>
      <c r="AC270" t="s">
        <v>74</v>
      </c>
      <c r="AD270" t="s">
        <v>74</v>
      </c>
      <c r="AE270" t="s">
        <v>74</v>
      </c>
      <c r="AF270" t="s">
        <v>74</v>
      </c>
      <c r="AG270">
        <v>5</v>
      </c>
      <c r="AH270">
        <v>12</v>
      </c>
      <c r="AI270">
        <v>17</v>
      </c>
      <c r="AJ270">
        <v>0</v>
      </c>
      <c r="AK270">
        <v>6</v>
      </c>
      <c r="AL270" t="s">
        <v>2719</v>
      </c>
      <c r="AM270" t="s">
        <v>2048</v>
      </c>
      <c r="AN270" t="s">
        <v>2720</v>
      </c>
      <c r="AO270" t="s">
        <v>2721</v>
      </c>
      <c r="AP270" t="s">
        <v>2722</v>
      </c>
      <c r="AQ270" t="s">
        <v>74</v>
      </c>
      <c r="AR270" t="s">
        <v>2723</v>
      </c>
      <c r="AS270" t="s">
        <v>2724</v>
      </c>
      <c r="AT270" t="s">
        <v>74</v>
      </c>
      <c r="AU270">
        <v>2017</v>
      </c>
      <c r="AV270">
        <v>57</v>
      </c>
      <c r="AW270">
        <v>3</v>
      </c>
      <c r="AX270" t="s">
        <v>74</v>
      </c>
      <c r="AY270" t="s">
        <v>74</v>
      </c>
      <c r="AZ270" t="s">
        <v>74</v>
      </c>
      <c r="BA270" t="s">
        <v>74</v>
      </c>
      <c r="BB270">
        <v>427</v>
      </c>
      <c r="BC270">
        <v>432</v>
      </c>
      <c r="BD270" t="s">
        <v>74</v>
      </c>
      <c r="BE270" t="s">
        <v>5336</v>
      </c>
      <c r="BF270" t="str">
        <f>HYPERLINK("http://dx.doi.org/10.15356/2076-6734-2017-3-427-432","http://dx.doi.org/10.15356/2076-6734-2017-3-427-432")</f>
        <v>http://dx.doi.org/10.15356/2076-6734-2017-3-427-432</v>
      </c>
      <c r="BG270" t="s">
        <v>74</v>
      </c>
      <c r="BH270" t="s">
        <v>74</v>
      </c>
      <c r="BI270">
        <v>6</v>
      </c>
      <c r="BJ270" t="s">
        <v>669</v>
      </c>
      <c r="BK270" t="s">
        <v>2057</v>
      </c>
      <c r="BL270" t="s">
        <v>670</v>
      </c>
      <c r="BM270" t="s">
        <v>2726</v>
      </c>
      <c r="BN270" t="s">
        <v>74</v>
      </c>
      <c r="BO270" t="s">
        <v>941</v>
      </c>
      <c r="BP270" t="s">
        <v>74</v>
      </c>
      <c r="BQ270" t="s">
        <v>74</v>
      </c>
      <c r="BR270" t="s">
        <v>105</v>
      </c>
      <c r="BS270" t="s">
        <v>5337</v>
      </c>
      <c r="BT270" t="str">
        <f>HYPERLINK("https%3A%2F%2Fwww.webofscience.com%2Fwos%2Fwoscc%2Ffull-record%2FWOS:000418522200013","View Full Record in Web of Science")</f>
        <v>View Full Record in Web of Science</v>
      </c>
    </row>
    <row r="271" spans="1:72" x14ac:dyDescent="0.15">
      <c r="A271" t="s">
        <v>72</v>
      </c>
      <c r="B271" t="s">
        <v>5338</v>
      </c>
      <c r="C271" t="s">
        <v>74</v>
      </c>
      <c r="D271" t="s">
        <v>74</v>
      </c>
      <c r="E271" t="s">
        <v>74</v>
      </c>
      <c r="F271" t="s">
        <v>5339</v>
      </c>
      <c r="G271" t="s">
        <v>74</v>
      </c>
      <c r="H271" t="s">
        <v>74</v>
      </c>
      <c r="I271" t="s">
        <v>5340</v>
      </c>
      <c r="J271" t="s">
        <v>2705</v>
      </c>
      <c r="K271" t="s">
        <v>74</v>
      </c>
      <c r="L271" t="s">
        <v>74</v>
      </c>
      <c r="M271" t="s">
        <v>2706</v>
      </c>
      <c r="N271" t="s">
        <v>79</v>
      </c>
      <c r="O271" t="s">
        <v>74</v>
      </c>
      <c r="P271" t="s">
        <v>74</v>
      </c>
      <c r="Q271" t="s">
        <v>74</v>
      </c>
      <c r="R271" t="s">
        <v>74</v>
      </c>
      <c r="S271" t="s">
        <v>74</v>
      </c>
      <c r="T271" t="s">
        <v>5341</v>
      </c>
      <c r="U271" t="s">
        <v>5342</v>
      </c>
      <c r="V271" t="s">
        <v>5343</v>
      </c>
      <c r="W271" t="s">
        <v>5344</v>
      </c>
      <c r="X271" t="s">
        <v>5345</v>
      </c>
      <c r="Y271" t="s">
        <v>5346</v>
      </c>
      <c r="Z271" t="s">
        <v>5347</v>
      </c>
      <c r="AA271" t="s">
        <v>5348</v>
      </c>
      <c r="AB271" t="s">
        <v>5349</v>
      </c>
      <c r="AC271" t="s">
        <v>74</v>
      </c>
      <c r="AD271" t="s">
        <v>74</v>
      </c>
      <c r="AE271" t="s">
        <v>74</v>
      </c>
      <c r="AF271" t="s">
        <v>74</v>
      </c>
      <c r="AG271">
        <v>45</v>
      </c>
      <c r="AH271">
        <v>7</v>
      </c>
      <c r="AI271">
        <v>12</v>
      </c>
      <c r="AJ271">
        <v>0</v>
      </c>
      <c r="AK271">
        <v>4</v>
      </c>
      <c r="AL271" t="s">
        <v>2719</v>
      </c>
      <c r="AM271" t="s">
        <v>2048</v>
      </c>
      <c r="AN271" t="s">
        <v>2720</v>
      </c>
      <c r="AO271" t="s">
        <v>2721</v>
      </c>
      <c r="AP271" t="s">
        <v>2722</v>
      </c>
      <c r="AQ271" t="s">
        <v>74</v>
      </c>
      <c r="AR271" t="s">
        <v>2723</v>
      </c>
      <c r="AS271" t="s">
        <v>2724</v>
      </c>
      <c r="AT271" t="s">
        <v>74</v>
      </c>
      <c r="AU271">
        <v>2017</v>
      </c>
      <c r="AV271">
        <v>57</v>
      </c>
      <c r="AW271">
        <v>4</v>
      </c>
      <c r="AX271" t="s">
        <v>74</v>
      </c>
      <c r="AY271" t="s">
        <v>74</v>
      </c>
      <c r="AZ271" t="s">
        <v>74</v>
      </c>
      <c r="BA271" t="s">
        <v>74</v>
      </c>
      <c r="BB271">
        <v>453</v>
      </c>
      <c r="BC271">
        <v>467</v>
      </c>
      <c r="BD271" t="s">
        <v>74</v>
      </c>
      <c r="BE271" t="s">
        <v>5350</v>
      </c>
      <c r="BF271" t="str">
        <f>HYPERLINK("http://dx.doi.org/10.15356/2076-6734-2017-4-453-467","http://dx.doi.org/10.15356/2076-6734-2017-4-453-467")</f>
        <v>http://dx.doi.org/10.15356/2076-6734-2017-4-453-467</v>
      </c>
      <c r="BG271" t="s">
        <v>74</v>
      </c>
      <c r="BH271" t="s">
        <v>74</v>
      </c>
      <c r="BI271">
        <v>15</v>
      </c>
      <c r="BJ271" t="s">
        <v>669</v>
      </c>
      <c r="BK271" t="s">
        <v>2057</v>
      </c>
      <c r="BL271" t="s">
        <v>670</v>
      </c>
      <c r="BM271" t="s">
        <v>5351</v>
      </c>
      <c r="BN271" t="s">
        <v>74</v>
      </c>
      <c r="BO271" t="s">
        <v>941</v>
      </c>
      <c r="BP271" t="s">
        <v>74</v>
      </c>
      <c r="BQ271" t="s">
        <v>74</v>
      </c>
      <c r="BR271" t="s">
        <v>105</v>
      </c>
      <c r="BS271" t="s">
        <v>5352</v>
      </c>
      <c r="BT271" t="str">
        <f>HYPERLINK("https%3A%2F%2Fwww.webofscience.com%2Fwos%2Fwoscc%2Ffull-record%2FWOS:000418523000002","View Full Record in Web of Science")</f>
        <v>View Full Record in Web of Science</v>
      </c>
    </row>
    <row r="272" spans="1:72" x14ac:dyDescent="0.15">
      <c r="A272" t="s">
        <v>72</v>
      </c>
      <c r="B272" t="s">
        <v>5353</v>
      </c>
      <c r="C272" t="s">
        <v>74</v>
      </c>
      <c r="D272" t="s">
        <v>74</v>
      </c>
      <c r="E272" t="s">
        <v>74</v>
      </c>
      <c r="F272" t="s">
        <v>5354</v>
      </c>
      <c r="G272" t="s">
        <v>74</v>
      </c>
      <c r="H272" t="s">
        <v>74</v>
      </c>
      <c r="I272" t="s">
        <v>5355</v>
      </c>
      <c r="J272" t="s">
        <v>2705</v>
      </c>
      <c r="K272" t="s">
        <v>74</v>
      </c>
      <c r="L272" t="s">
        <v>74</v>
      </c>
      <c r="M272" t="s">
        <v>2706</v>
      </c>
      <c r="N272" t="s">
        <v>79</v>
      </c>
      <c r="O272" t="s">
        <v>74</v>
      </c>
      <c r="P272" t="s">
        <v>74</v>
      </c>
      <c r="Q272" t="s">
        <v>74</v>
      </c>
      <c r="R272" t="s">
        <v>74</v>
      </c>
      <c r="S272" t="s">
        <v>74</v>
      </c>
      <c r="T272" t="s">
        <v>5356</v>
      </c>
      <c r="U272" t="s">
        <v>74</v>
      </c>
      <c r="V272" t="s">
        <v>5357</v>
      </c>
      <c r="W272" t="s">
        <v>5358</v>
      </c>
      <c r="X272" t="s">
        <v>2711</v>
      </c>
      <c r="Y272" t="s">
        <v>5359</v>
      </c>
      <c r="Z272" t="s">
        <v>5360</v>
      </c>
      <c r="AA272" t="s">
        <v>5361</v>
      </c>
      <c r="AB272" t="s">
        <v>5362</v>
      </c>
      <c r="AC272" t="s">
        <v>5363</v>
      </c>
      <c r="AD272" t="s">
        <v>5364</v>
      </c>
      <c r="AE272" t="s">
        <v>5365</v>
      </c>
      <c r="AF272" t="s">
        <v>74</v>
      </c>
      <c r="AG272">
        <v>20</v>
      </c>
      <c r="AH272">
        <v>0</v>
      </c>
      <c r="AI272">
        <v>0</v>
      </c>
      <c r="AJ272">
        <v>0</v>
      </c>
      <c r="AK272">
        <v>0</v>
      </c>
      <c r="AL272" t="s">
        <v>2719</v>
      </c>
      <c r="AM272" t="s">
        <v>2048</v>
      </c>
      <c r="AN272" t="s">
        <v>2720</v>
      </c>
      <c r="AO272" t="s">
        <v>2721</v>
      </c>
      <c r="AP272" t="s">
        <v>2722</v>
      </c>
      <c r="AQ272" t="s">
        <v>74</v>
      </c>
      <c r="AR272" t="s">
        <v>2723</v>
      </c>
      <c r="AS272" t="s">
        <v>2724</v>
      </c>
      <c r="AT272" t="s">
        <v>74</v>
      </c>
      <c r="AU272">
        <v>2017</v>
      </c>
      <c r="AV272">
        <v>57</v>
      </c>
      <c r="AW272">
        <v>4</v>
      </c>
      <c r="AX272" t="s">
        <v>74</v>
      </c>
      <c r="AY272" t="s">
        <v>74</v>
      </c>
      <c r="AZ272" t="s">
        <v>74</v>
      </c>
      <c r="BA272" t="s">
        <v>74</v>
      </c>
      <c r="BB272">
        <v>543</v>
      </c>
      <c r="BC272">
        <v>552</v>
      </c>
      <c r="BD272" t="s">
        <v>74</v>
      </c>
      <c r="BE272" t="s">
        <v>5366</v>
      </c>
      <c r="BF272" t="str">
        <f>HYPERLINK("http://dx.doi.org/10.15356/2076-6734-2017-4-543-552","http://dx.doi.org/10.15356/2076-6734-2017-4-543-552")</f>
        <v>http://dx.doi.org/10.15356/2076-6734-2017-4-543-552</v>
      </c>
      <c r="BG272" t="s">
        <v>74</v>
      </c>
      <c r="BH272" t="s">
        <v>74</v>
      </c>
      <c r="BI272">
        <v>10</v>
      </c>
      <c r="BJ272" t="s">
        <v>669</v>
      </c>
      <c r="BK272" t="s">
        <v>2057</v>
      </c>
      <c r="BL272" t="s">
        <v>670</v>
      </c>
      <c r="BM272" t="s">
        <v>5351</v>
      </c>
      <c r="BN272" t="s">
        <v>74</v>
      </c>
      <c r="BO272" t="s">
        <v>941</v>
      </c>
      <c r="BP272" t="s">
        <v>74</v>
      </c>
      <c r="BQ272" t="s">
        <v>74</v>
      </c>
      <c r="BR272" t="s">
        <v>105</v>
      </c>
      <c r="BS272" t="s">
        <v>5367</v>
      </c>
      <c r="BT272" t="str">
        <f>HYPERLINK("https%3A%2F%2Fwww.webofscience.com%2Fwos%2Fwoscc%2Ffull-record%2FWOS:000418523000009","View Full Record in Web of Science")</f>
        <v>View Full Record in Web of Science</v>
      </c>
    </row>
    <row r="273" spans="1:72" x14ac:dyDescent="0.15">
      <c r="A273" t="s">
        <v>72</v>
      </c>
      <c r="B273" t="s">
        <v>5368</v>
      </c>
      <c r="C273" t="s">
        <v>74</v>
      </c>
      <c r="D273" t="s">
        <v>74</v>
      </c>
      <c r="E273" t="s">
        <v>74</v>
      </c>
      <c r="F273" t="s">
        <v>5369</v>
      </c>
      <c r="G273" t="s">
        <v>74</v>
      </c>
      <c r="H273" t="s">
        <v>74</v>
      </c>
      <c r="I273" t="s">
        <v>5370</v>
      </c>
      <c r="J273" t="s">
        <v>5371</v>
      </c>
      <c r="K273" t="s">
        <v>74</v>
      </c>
      <c r="L273" t="s">
        <v>74</v>
      </c>
      <c r="M273" t="s">
        <v>78</v>
      </c>
      <c r="N273" t="s">
        <v>2034</v>
      </c>
      <c r="O273" t="s">
        <v>74</v>
      </c>
      <c r="P273" t="s">
        <v>74</v>
      </c>
      <c r="Q273" t="s">
        <v>74</v>
      </c>
      <c r="R273" t="s">
        <v>74</v>
      </c>
      <c r="S273" t="s">
        <v>74</v>
      </c>
      <c r="T273" t="s">
        <v>74</v>
      </c>
      <c r="U273" t="s">
        <v>5372</v>
      </c>
      <c r="V273" t="s">
        <v>5373</v>
      </c>
      <c r="W273" t="s">
        <v>5374</v>
      </c>
      <c r="X273" t="s">
        <v>5375</v>
      </c>
      <c r="Y273" t="s">
        <v>5376</v>
      </c>
      <c r="Z273" t="s">
        <v>5377</v>
      </c>
      <c r="AA273" t="s">
        <v>74</v>
      </c>
      <c r="AB273" t="s">
        <v>74</v>
      </c>
      <c r="AC273" t="s">
        <v>5378</v>
      </c>
      <c r="AD273" t="s">
        <v>5379</v>
      </c>
      <c r="AE273" t="s">
        <v>5380</v>
      </c>
      <c r="AF273" t="s">
        <v>74</v>
      </c>
      <c r="AG273">
        <v>139</v>
      </c>
      <c r="AH273">
        <v>9</v>
      </c>
      <c r="AI273">
        <v>9</v>
      </c>
      <c r="AJ273">
        <v>2</v>
      </c>
      <c r="AK273">
        <v>13</v>
      </c>
      <c r="AL273" t="s">
        <v>5381</v>
      </c>
      <c r="AM273" t="s">
        <v>3074</v>
      </c>
      <c r="AN273" t="s">
        <v>5382</v>
      </c>
      <c r="AO273" t="s">
        <v>5383</v>
      </c>
      <c r="AP273" t="s">
        <v>74</v>
      </c>
      <c r="AQ273" t="s">
        <v>74</v>
      </c>
      <c r="AR273" t="s">
        <v>5384</v>
      </c>
      <c r="AS273" t="s">
        <v>5385</v>
      </c>
      <c r="AT273" t="s">
        <v>2136</v>
      </c>
      <c r="AU273">
        <v>2017</v>
      </c>
      <c r="AV273">
        <v>47</v>
      </c>
      <c r="AW273">
        <v>1</v>
      </c>
      <c r="AX273" t="s">
        <v>74</v>
      </c>
      <c r="AY273" t="s">
        <v>74</v>
      </c>
      <c r="AZ273" t="s">
        <v>74</v>
      </c>
      <c r="BA273" t="s">
        <v>74</v>
      </c>
      <c r="BB273">
        <v>34</v>
      </c>
      <c r="BC273">
        <v>55</v>
      </c>
      <c r="BD273" t="s">
        <v>74</v>
      </c>
      <c r="BE273" t="s">
        <v>5386</v>
      </c>
      <c r="BF273" t="str">
        <f>HYPERLINK("http://dx.doi.org/10.2113/gsjfr.47.1.34","http://dx.doi.org/10.2113/gsjfr.47.1.34")</f>
        <v>http://dx.doi.org/10.2113/gsjfr.47.1.34</v>
      </c>
      <c r="BG273" t="s">
        <v>74</v>
      </c>
      <c r="BH273" t="s">
        <v>74</v>
      </c>
      <c r="BI273">
        <v>22</v>
      </c>
      <c r="BJ273" t="s">
        <v>2699</v>
      </c>
      <c r="BK273" t="s">
        <v>101</v>
      </c>
      <c r="BL273" t="s">
        <v>2699</v>
      </c>
      <c r="BM273" t="s">
        <v>5387</v>
      </c>
      <c r="BN273" t="s">
        <v>74</v>
      </c>
      <c r="BO273" t="s">
        <v>74</v>
      </c>
      <c r="BP273" t="s">
        <v>74</v>
      </c>
      <c r="BQ273" t="s">
        <v>74</v>
      </c>
      <c r="BR273" t="s">
        <v>105</v>
      </c>
      <c r="BS273" t="s">
        <v>5388</v>
      </c>
      <c r="BT273" t="str">
        <f>HYPERLINK("https%3A%2F%2Fwww.webofscience.com%2Fwos%2Fwoscc%2Ffull-record%2FWOS:000418395200005","View Full Record in Web of Science")</f>
        <v>View Full Record in Web of Science</v>
      </c>
    </row>
    <row r="274" spans="1:72" x14ac:dyDescent="0.15">
      <c r="A274" t="s">
        <v>72</v>
      </c>
      <c r="B274" t="s">
        <v>5389</v>
      </c>
      <c r="C274" t="s">
        <v>74</v>
      </c>
      <c r="D274" t="s">
        <v>74</v>
      </c>
      <c r="E274" t="s">
        <v>74</v>
      </c>
      <c r="F274" t="s">
        <v>5390</v>
      </c>
      <c r="G274" t="s">
        <v>74</v>
      </c>
      <c r="H274" t="s">
        <v>74</v>
      </c>
      <c r="I274" t="s">
        <v>5391</v>
      </c>
      <c r="J274" t="s">
        <v>5392</v>
      </c>
      <c r="K274" t="s">
        <v>74</v>
      </c>
      <c r="L274" t="s">
        <v>74</v>
      </c>
      <c r="M274" t="s">
        <v>78</v>
      </c>
      <c r="N274" t="s">
        <v>79</v>
      </c>
      <c r="O274" t="s">
        <v>74</v>
      </c>
      <c r="P274" t="s">
        <v>74</v>
      </c>
      <c r="Q274" t="s">
        <v>74</v>
      </c>
      <c r="R274" t="s">
        <v>74</v>
      </c>
      <c r="S274" t="s">
        <v>74</v>
      </c>
      <c r="T274" t="s">
        <v>74</v>
      </c>
      <c r="U274" t="s">
        <v>5393</v>
      </c>
      <c r="V274" t="s">
        <v>5394</v>
      </c>
      <c r="W274" t="s">
        <v>5395</v>
      </c>
      <c r="X274" t="s">
        <v>5396</v>
      </c>
      <c r="Y274" t="s">
        <v>5397</v>
      </c>
      <c r="Z274" t="s">
        <v>5398</v>
      </c>
      <c r="AA274" t="s">
        <v>74</v>
      </c>
      <c r="AB274" t="s">
        <v>74</v>
      </c>
      <c r="AC274" t="s">
        <v>74</v>
      </c>
      <c r="AD274" t="s">
        <v>74</v>
      </c>
      <c r="AE274" t="s">
        <v>74</v>
      </c>
      <c r="AF274" t="s">
        <v>74</v>
      </c>
      <c r="AG274">
        <v>55</v>
      </c>
      <c r="AH274">
        <v>17</v>
      </c>
      <c r="AI274">
        <v>17</v>
      </c>
      <c r="AJ274">
        <v>0</v>
      </c>
      <c r="AK274">
        <v>4</v>
      </c>
      <c r="AL274" t="s">
        <v>5399</v>
      </c>
      <c r="AM274" t="s">
        <v>5400</v>
      </c>
      <c r="AN274" t="s">
        <v>5401</v>
      </c>
      <c r="AO274" t="s">
        <v>5402</v>
      </c>
      <c r="AP274" t="s">
        <v>74</v>
      </c>
      <c r="AQ274" t="s">
        <v>74</v>
      </c>
      <c r="AR274" t="s">
        <v>5403</v>
      </c>
      <c r="AS274" t="s">
        <v>5404</v>
      </c>
      <c r="AT274" t="s">
        <v>74</v>
      </c>
      <c r="AU274">
        <v>2017</v>
      </c>
      <c r="AV274">
        <v>61</v>
      </c>
      <c r="AW274" t="s">
        <v>74</v>
      </c>
      <c r="AX274" t="s">
        <v>74</v>
      </c>
      <c r="AY274">
        <v>2</v>
      </c>
      <c r="AZ274" t="s">
        <v>74</v>
      </c>
      <c r="BA274" t="s">
        <v>74</v>
      </c>
      <c r="BB274">
        <v>81</v>
      </c>
      <c r="BC274">
        <v>103</v>
      </c>
      <c r="BD274" t="s">
        <v>74</v>
      </c>
      <c r="BE274" t="s">
        <v>5405</v>
      </c>
      <c r="BF274" t="str">
        <f>HYPERLINK("http://dx.doi.org/10.1127/zfg_suppl/2016/0329","http://dx.doi.org/10.1127/zfg_suppl/2016/0329")</f>
        <v>http://dx.doi.org/10.1127/zfg_suppl/2016/0329</v>
      </c>
      <c r="BG274" t="s">
        <v>74</v>
      </c>
      <c r="BH274" t="s">
        <v>74</v>
      </c>
      <c r="BI274">
        <v>23</v>
      </c>
      <c r="BJ274" t="s">
        <v>615</v>
      </c>
      <c r="BK274" t="s">
        <v>245</v>
      </c>
      <c r="BL274" t="s">
        <v>616</v>
      </c>
      <c r="BM274" t="s">
        <v>5406</v>
      </c>
      <c r="BN274" t="s">
        <v>74</v>
      </c>
      <c r="BO274" t="s">
        <v>1223</v>
      </c>
      <c r="BP274" t="s">
        <v>74</v>
      </c>
      <c r="BQ274" t="s">
        <v>74</v>
      </c>
      <c r="BR274" t="s">
        <v>105</v>
      </c>
      <c r="BS274" t="s">
        <v>5407</v>
      </c>
      <c r="BT274" t="str">
        <f>HYPERLINK("https%3A%2F%2Fwww.webofscience.com%2Fwos%2Fwoscc%2Ffull-record%2FWOS:000417964400006","View Full Record in Web of Science")</f>
        <v>View Full Record in Web of Science</v>
      </c>
    </row>
    <row r="275" spans="1:72" x14ac:dyDescent="0.15">
      <c r="A275" t="s">
        <v>72</v>
      </c>
      <c r="B275" t="s">
        <v>5408</v>
      </c>
      <c r="C275" t="s">
        <v>74</v>
      </c>
      <c r="D275" t="s">
        <v>74</v>
      </c>
      <c r="E275" t="s">
        <v>74</v>
      </c>
      <c r="F275" t="s">
        <v>5409</v>
      </c>
      <c r="G275" t="s">
        <v>74</v>
      </c>
      <c r="H275" t="s">
        <v>74</v>
      </c>
      <c r="I275" t="s">
        <v>5410</v>
      </c>
      <c r="J275" t="s">
        <v>5411</v>
      </c>
      <c r="K275" t="s">
        <v>74</v>
      </c>
      <c r="L275" t="s">
        <v>74</v>
      </c>
      <c r="M275" t="s">
        <v>78</v>
      </c>
      <c r="N275" t="s">
        <v>79</v>
      </c>
      <c r="O275" t="s">
        <v>74</v>
      </c>
      <c r="P275" t="s">
        <v>74</v>
      </c>
      <c r="Q275" t="s">
        <v>74</v>
      </c>
      <c r="R275" t="s">
        <v>74</v>
      </c>
      <c r="S275" t="s">
        <v>74</v>
      </c>
      <c r="T275" t="s">
        <v>5412</v>
      </c>
      <c r="U275" t="s">
        <v>5413</v>
      </c>
      <c r="V275" t="s">
        <v>5414</v>
      </c>
      <c r="W275" t="s">
        <v>5415</v>
      </c>
      <c r="X275" t="s">
        <v>5416</v>
      </c>
      <c r="Y275" t="s">
        <v>5417</v>
      </c>
      <c r="Z275" t="s">
        <v>5418</v>
      </c>
      <c r="AA275" t="s">
        <v>74</v>
      </c>
      <c r="AB275" t="s">
        <v>74</v>
      </c>
      <c r="AC275" t="s">
        <v>5419</v>
      </c>
      <c r="AD275" t="s">
        <v>74</v>
      </c>
      <c r="AE275" t="s">
        <v>5420</v>
      </c>
      <c r="AF275" t="s">
        <v>74</v>
      </c>
      <c r="AG275">
        <v>67</v>
      </c>
      <c r="AH275">
        <v>2</v>
      </c>
      <c r="AI275">
        <v>4</v>
      </c>
      <c r="AJ275">
        <v>0</v>
      </c>
      <c r="AK275">
        <v>3</v>
      </c>
      <c r="AL275" t="s">
        <v>5421</v>
      </c>
      <c r="AM275" t="s">
        <v>3665</v>
      </c>
      <c r="AN275" t="s">
        <v>5422</v>
      </c>
      <c r="AO275" t="s">
        <v>5423</v>
      </c>
      <c r="AP275" t="s">
        <v>5424</v>
      </c>
      <c r="AQ275" t="s">
        <v>74</v>
      </c>
      <c r="AR275" t="s">
        <v>5411</v>
      </c>
      <c r="AS275" t="s">
        <v>5425</v>
      </c>
      <c r="AT275" t="s">
        <v>74</v>
      </c>
      <c r="AU275">
        <v>2017</v>
      </c>
      <c r="AV275">
        <v>54</v>
      </c>
      <c r="AW275">
        <v>6</v>
      </c>
      <c r="AX275" t="s">
        <v>74</v>
      </c>
      <c r="AY275" t="s">
        <v>74</v>
      </c>
      <c r="AZ275" t="s">
        <v>74</v>
      </c>
      <c r="BA275" t="s">
        <v>74</v>
      </c>
      <c r="BB275">
        <v>688</v>
      </c>
      <c r="BC275">
        <v>699</v>
      </c>
      <c r="BD275" t="s">
        <v>74</v>
      </c>
      <c r="BE275" t="s">
        <v>5426</v>
      </c>
      <c r="BF275" t="str">
        <f>HYPERLINK("http://dx.doi.org/10.5710/AMGH.24.04.2017.3090","http://dx.doi.org/10.5710/AMGH.24.04.2017.3090")</f>
        <v>http://dx.doi.org/10.5710/AMGH.24.04.2017.3090</v>
      </c>
      <c r="BG275" t="s">
        <v>74</v>
      </c>
      <c r="BH275" t="s">
        <v>74</v>
      </c>
      <c r="BI275">
        <v>12</v>
      </c>
      <c r="BJ275" t="s">
        <v>2699</v>
      </c>
      <c r="BK275" t="s">
        <v>101</v>
      </c>
      <c r="BL275" t="s">
        <v>2699</v>
      </c>
      <c r="BM275" t="s">
        <v>5427</v>
      </c>
      <c r="BN275" t="s">
        <v>74</v>
      </c>
      <c r="BO275" t="s">
        <v>74</v>
      </c>
      <c r="BP275" t="s">
        <v>74</v>
      </c>
      <c r="BQ275" t="s">
        <v>74</v>
      </c>
      <c r="BR275" t="s">
        <v>105</v>
      </c>
      <c r="BS275" t="s">
        <v>5428</v>
      </c>
      <c r="BT275" t="str">
        <f>HYPERLINK("https%3A%2F%2Fwww.webofscience.com%2Fwos%2Fwoscc%2Ffull-record%2FWOS:000418068600004","View Full Record in Web of Science")</f>
        <v>View Full Record in Web of Science</v>
      </c>
    </row>
    <row r="276" spans="1:72" x14ac:dyDescent="0.15">
      <c r="A276" t="s">
        <v>72</v>
      </c>
      <c r="B276" t="s">
        <v>5429</v>
      </c>
      <c r="C276" t="s">
        <v>74</v>
      </c>
      <c r="D276" t="s">
        <v>74</v>
      </c>
      <c r="E276" t="s">
        <v>74</v>
      </c>
      <c r="F276" t="s">
        <v>5430</v>
      </c>
      <c r="G276" t="s">
        <v>74</v>
      </c>
      <c r="H276" t="s">
        <v>74</v>
      </c>
      <c r="I276" t="s">
        <v>5431</v>
      </c>
      <c r="J276" t="s">
        <v>5432</v>
      </c>
      <c r="K276" t="s">
        <v>74</v>
      </c>
      <c r="L276" t="s">
        <v>74</v>
      </c>
      <c r="M276" t="s">
        <v>78</v>
      </c>
      <c r="N276" t="s">
        <v>79</v>
      </c>
      <c r="O276" t="s">
        <v>74</v>
      </c>
      <c r="P276" t="s">
        <v>74</v>
      </c>
      <c r="Q276" t="s">
        <v>74</v>
      </c>
      <c r="R276" t="s">
        <v>74</v>
      </c>
      <c r="S276" t="s">
        <v>74</v>
      </c>
      <c r="T276" t="s">
        <v>5433</v>
      </c>
      <c r="U276" t="s">
        <v>74</v>
      </c>
      <c r="V276" t="s">
        <v>5434</v>
      </c>
      <c r="W276" t="s">
        <v>5435</v>
      </c>
      <c r="X276" t="s">
        <v>5436</v>
      </c>
      <c r="Y276" t="s">
        <v>5437</v>
      </c>
      <c r="Z276" t="s">
        <v>74</v>
      </c>
      <c r="AA276" t="s">
        <v>74</v>
      </c>
      <c r="AB276" t="s">
        <v>74</v>
      </c>
      <c r="AC276" t="s">
        <v>74</v>
      </c>
      <c r="AD276" t="s">
        <v>74</v>
      </c>
      <c r="AE276" t="s">
        <v>74</v>
      </c>
      <c r="AF276" t="s">
        <v>74</v>
      </c>
      <c r="AG276">
        <v>28</v>
      </c>
      <c r="AH276">
        <v>6</v>
      </c>
      <c r="AI276">
        <v>6</v>
      </c>
      <c r="AJ276">
        <v>0</v>
      </c>
      <c r="AK276">
        <v>15</v>
      </c>
      <c r="AL276" t="s">
        <v>5438</v>
      </c>
      <c r="AM276" t="s">
        <v>5439</v>
      </c>
      <c r="AN276" t="s">
        <v>5440</v>
      </c>
      <c r="AO276" t="s">
        <v>5441</v>
      </c>
      <c r="AP276" t="s">
        <v>5442</v>
      </c>
      <c r="AQ276" t="s">
        <v>74</v>
      </c>
      <c r="AR276" t="s">
        <v>5443</v>
      </c>
      <c r="AS276" t="s">
        <v>5444</v>
      </c>
      <c r="AT276" t="s">
        <v>74</v>
      </c>
      <c r="AU276">
        <v>2017</v>
      </c>
      <c r="AV276">
        <v>32</v>
      </c>
      <c r="AW276">
        <v>4</v>
      </c>
      <c r="AX276" t="s">
        <v>74</v>
      </c>
      <c r="AY276" t="s">
        <v>74</v>
      </c>
      <c r="AZ276" t="s">
        <v>270</v>
      </c>
      <c r="BA276" t="s">
        <v>74</v>
      </c>
      <c r="BB276">
        <v>709</v>
      </c>
      <c r="BC276">
        <v>732</v>
      </c>
      <c r="BD276" t="s">
        <v>74</v>
      </c>
      <c r="BE276" t="s">
        <v>5445</v>
      </c>
      <c r="BF276" t="str">
        <f>HYPERLINK("http://dx.doi.org/10.1163/15718085-13204026","http://dx.doi.org/10.1163/15718085-13204026")</f>
        <v>http://dx.doi.org/10.1163/15718085-13204026</v>
      </c>
      <c r="BG276" t="s">
        <v>74</v>
      </c>
      <c r="BH276" t="s">
        <v>74</v>
      </c>
      <c r="BI276">
        <v>24</v>
      </c>
      <c r="BJ276" t="s">
        <v>4429</v>
      </c>
      <c r="BK276" t="s">
        <v>1918</v>
      </c>
      <c r="BL276" t="s">
        <v>4430</v>
      </c>
      <c r="BM276" t="s">
        <v>5446</v>
      </c>
      <c r="BN276" t="s">
        <v>74</v>
      </c>
      <c r="BO276" t="s">
        <v>5447</v>
      </c>
      <c r="BP276" t="s">
        <v>74</v>
      </c>
      <c r="BQ276" t="s">
        <v>74</v>
      </c>
      <c r="BR276" t="s">
        <v>105</v>
      </c>
      <c r="BS276" t="s">
        <v>5448</v>
      </c>
      <c r="BT276" t="str">
        <f>HYPERLINK("https%3A%2F%2Fwww.webofscience.com%2Fwos%2Fwoscc%2Ffull-record%2FWOS:000417472400004","View Full Record in Web of Science")</f>
        <v>View Full Record in Web of Science</v>
      </c>
    </row>
    <row r="277" spans="1:72" x14ac:dyDescent="0.15">
      <c r="A277" t="s">
        <v>1823</v>
      </c>
      <c r="B277" t="s">
        <v>5449</v>
      </c>
      <c r="C277" t="s">
        <v>74</v>
      </c>
      <c r="D277" t="s">
        <v>5450</v>
      </c>
      <c r="E277" t="s">
        <v>74</v>
      </c>
      <c r="F277" t="s">
        <v>5451</v>
      </c>
      <c r="G277" t="s">
        <v>74</v>
      </c>
      <c r="H277" t="s">
        <v>74</v>
      </c>
      <c r="I277" t="s">
        <v>5452</v>
      </c>
      <c r="J277" t="s">
        <v>5453</v>
      </c>
      <c r="K277" t="s">
        <v>4734</v>
      </c>
      <c r="L277" t="s">
        <v>74</v>
      </c>
      <c r="M277" t="s">
        <v>78</v>
      </c>
      <c r="N277" t="s">
        <v>1829</v>
      </c>
      <c r="O277" t="s">
        <v>5454</v>
      </c>
      <c r="P277" t="s">
        <v>5455</v>
      </c>
      <c r="Q277" t="s">
        <v>5456</v>
      </c>
      <c r="R277" t="s">
        <v>74</v>
      </c>
      <c r="S277" t="s">
        <v>74</v>
      </c>
      <c r="T277" t="s">
        <v>74</v>
      </c>
      <c r="U277" t="s">
        <v>74</v>
      </c>
      <c r="V277" t="s">
        <v>5457</v>
      </c>
      <c r="W277" t="s">
        <v>5458</v>
      </c>
      <c r="X277" t="s">
        <v>5459</v>
      </c>
      <c r="Y277" t="s">
        <v>5460</v>
      </c>
      <c r="Z277" t="s">
        <v>5461</v>
      </c>
      <c r="AA277" t="s">
        <v>5462</v>
      </c>
      <c r="AB277" t="s">
        <v>5463</v>
      </c>
      <c r="AC277" t="s">
        <v>5464</v>
      </c>
      <c r="AD277" t="s">
        <v>5465</v>
      </c>
      <c r="AE277" t="s">
        <v>5466</v>
      </c>
      <c r="AF277" t="s">
        <v>74</v>
      </c>
      <c r="AG277">
        <v>9</v>
      </c>
      <c r="AH277">
        <v>1</v>
      </c>
      <c r="AI277">
        <v>1</v>
      </c>
      <c r="AJ277">
        <v>0</v>
      </c>
      <c r="AK277">
        <v>0</v>
      </c>
      <c r="AL277" t="s">
        <v>4304</v>
      </c>
      <c r="AM277" t="s">
        <v>4305</v>
      </c>
      <c r="AN277" t="s">
        <v>4306</v>
      </c>
      <c r="AO277" t="s">
        <v>4743</v>
      </c>
      <c r="AP277" t="s">
        <v>4744</v>
      </c>
      <c r="AQ277" t="s">
        <v>74</v>
      </c>
      <c r="AR277" t="s">
        <v>4745</v>
      </c>
      <c r="AS277" t="s">
        <v>74</v>
      </c>
      <c r="AT277" t="s">
        <v>74</v>
      </c>
      <c r="AU277">
        <v>2017</v>
      </c>
      <c r="AV277">
        <v>852</v>
      </c>
      <c r="AW277" t="s">
        <v>74</v>
      </c>
      <c r="AX277" t="s">
        <v>74</v>
      </c>
      <c r="AY277" t="s">
        <v>74</v>
      </c>
      <c r="AZ277" t="s">
        <v>74</v>
      </c>
      <c r="BA277" t="s">
        <v>74</v>
      </c>
      <c r="BB277" t="s">
        <v>74</v>
      </c>
      <c r="BC277" t="s">
        <v>74</v>
      </c>
      <c r="BD277">
        <v>12022</v>
      </c>
      <c r="BE277" t="s">
        <v>5467</v>
      </c>
      <c r="BF277" t="str">
        <f>HYPERLINK("http://dx.doi.org/10.1088/1742-6596/852/1/012022","http://dx.doi.org/10.1088/1742-6596/852/1/012022")</f>
        <v>http://dx.doi.org/10.1088/1742-6596/852/1/012022</v>
      </c>
      <c r="BG277" t="s">
        <v>74</v>
      </c>
      <c r="BH277" t="s">
        <v>74</v>
      </c>
      <c r="BI277">
        <v>7</v>
      </c>
      <c r="BJ277" t="s">
        <v>5468</v>
      </c>
      <c r="BK277" t="s">
        <v>1844</v>
      </c>
      <c r="BL277" t="s">
        <v>3993</v>
      </c>
      <c r="BM277" t="s">
        <v>5469</v>
      </c>
      <c r="BN277" t="s">
        <v>74</v>
      </c>
      <c r="BO277" t="s">
        <v>941</v>
      </c>
      <c r="BP277" t="s">
        <v>74</v>
      </c>
      <c r="BQ277" t="s">
        <v>74</v>
      </c>
      <c r="BR277" t="s">
        <v>105</v>
      </c>
      <c r="BS277" t="s">
        <v>5470</v>
      </c>
      <c r="BT277" t="str">
        <f>HYPERLINK("https%3A%2F%2Fwww.webofscience.com%2Fwos%2Fwoscc%2Ffull-record%2FWOS:000417438600022","View Full Record in Web of Science")</f>
        <v>View Full Record in Web of Science</v>
      </c>
    </row>
    <row r="278" spans="1:72" x14ac:dyDescent="0.15">
      <c r="A278" t="s">
        <v>1823</v>
      </c>
      <c r="B278" t="s">
        <v>5449</v>
      </c>
      <c r="C278" t="s">
        <v>74</v>
      </c>
      <c r="D278" t="s">
        <v>5450</v>
      </c>
      <c r="E278" t="s">
        <v>74</v>
      </c>
      <c r="F278" t="s">
        <v>5471</v>
      </c>
      <c r="G278" t="s">
        <v>74</v>
      </c>
      <c r="H278" t="s">
        <v>74</v>
      </c>
      <c r="I278" t="s">
        <v>5472</v>
      </c>
      <c r="J278" t="s">
        <v>5453</v>
      </c>
      <c r="K278" t="s">
        <v>4734</v>
      </c>
      <c r="L278" t="s">
        <v>74</v>
      </c>
      <c r="M278" t="s">
        <v>78</v>
      </c>
      <c r="N278" t="s">
        <v>1829</v>
      </c>
      <c r="O278" t="s">
        <v>5454</v>
      </c>
      <c r="P278" t="s">
        <v>5455</v>
      </c>
      <c r="Q278" t="s">
        <v>5456</v>
      </c>
      <c r="R278" t="s">
        <v>74</v>
      </c>
      <c r="S278" t="s">
        <v>74</v>
      </c>
      <c r="T278" t="s">
        <v>74</v>
      </c>
      <c r="U278" t="s">
        <v>74</v>
      </c>
      <c r="V278" t="s">
        <v>5473</v>
      </c>
      <c r="W278" t="s">
        <v>5474</v>
      </c>
      <c r="X278" t="s">
        <v>5459</v>
      </c>
      <c r="Y278" t="s">
        <v>5475</v>
      </c>
      <c r="Z278" t="s">
        <v>5461</v>
      </c>
      <c r="AA278" t="s">
        <v>5476</v>
      </c>
      <c r="AB278" t="s">
        <v>5477</v>
      </c>
      <c r="AC278" t="s">
        <v>5464</v>
      </c>
      <c r="AD278" t="s">
        <v>5465</v>
      </c>
      <c r="AE278" t="s">
        <v>5466</v>
      </c>
      <c r="AF278" t="s">
        <v>74</v>
      </c>
      <c r="AG278">
        <v>9</v>
      </c>
      <c r="AH278">
        <v>2</v>
      </c>
      <c r="AI278">
        <v>2</v>
      </c>
      <c r="AJ278">
        <v>0</v>
      </c>
      <c r="AK278">
        <v>0</v>
      </c>
      <c r="AL278" t="s">
        <v>4304</v>
      </c>
      <c r="AM278" t="s">
        <v>4305</v>
      </c>
      <c r="AN278" t="s">
        <v>4306</v>
      </c>
      <c r="AO278" t="s">
        <v>4743</v>
      </c>
      <c r="AP278" t="s">
        <v>4744</v>
      </c>
      <c r="AQ278" t="s">
        <v>74</v>
      </c>
      <c r="AR278" t="s">
        <v>4745</v>
      </c>
      <c r="AS278" t="s">
        <v>74</v>
      </c>
      <c r="AT278" t="s">
        <v>74</v>
      </c>
      <c r="AU278">
        <v>2017</v>
      </c>
      <c r="AV278">
        <v>852</v>
      </c>
      <c r="AW278" t="s">
        <v>74</v>
      </c>
      <c r="AX278" t="s">
        <v>74</v>
      </c>
      <c r="AY278" t="s">
        <v>74</v>
      </c>
      <c r="AZ278" t="s">
        <v>74</v>
      </c>
      <c r="BA278" t="s">
        <v>74</v>
      </c>
      <c r="BB278" t="s">
        <v>74</v>
      </c>
      <c r="BC278" t="s">
        <v>74</v>
      </c>
      <c r="BD278">
        <v>12025</v>
      </c>
      <c r="BE278" t="s">
        <v>5478</v>
      </c>
      <c r="BF278" t="str">
        <f>HYPERLINK("http://dx.doi.org/10.1088/1742-6596/852/1/012025","http://dx.doi.org/10.1088/1742-6596/852/1/012025")</f>
        <v>http://dx.doi.org/10.1088/1742-6596/852/1/012025</v>
      </c>
      <c r="BG278" t="s">
        <v>74</v>
      </c>
      <c r="BH278" t="s">
        <v>74</v>
      </c>
      <c r="BI278">
        <v>6</v>
      </c>
      <c r="BJ278" t="s">
        <v>5468</v>
      </c>
      <c r="BK278" t="s">
        <v>1844</v>
      </c>
      <c r="BL278" t="s">
        <v>3993</v>
      </c>
      <c r="BM278" t="s">
        <v>5469</v>
      </c>
      <c r="BN278" t="s">
        <v>74</v>
      </c>
      <c r="BO278" t="s">
        <v>941</v>
      </c>
      <c r="BP278" t="s">
        <v>74</v>
      </c>
      <c r="BQ278" t="s">
        <v>74</v>
      </c>
      <c r="BR278" t="s">
        <v>105</v>
      </c>
      <c r="BS278" t="s">
        <v>5479</v>
      </c>
      <c r="BT278" t="str">
        <f>HYPERLINK("https%3A%2F%2Fwww.webofscience.com%2Fwos%2Fwoscc%2Ffull-record%2FWOS:000417438600025","View Full Record in Web of Science")</f>
        <v>View Full Record in Web of Science</v>
      </c>
    </row>
    <row r="279" spans="1:72" x14ac:dyDescent="0.15">
      <c r="A279" t="s">
        <v>1823</v>
      </c>
      <c r="B279" t="s">
        <v>5480</v>
      </c>
      <c r="C279" t="s">
        <v>74</v>
      </c>
      <c r="D279" t="s">
        <v>5450</v>
      </c>
      <c r="E279" t="s">
        <v>74</v>
      </c>
      <c r="F279" t="s">
        <v>5481</v>
      </c>
      <c r="G279" t="s">
        <v>74</v>
      </c>
      <c r="H279" t="s">
        <v>74</v>
      </c>
      <c r="I279" t="s">
        <v>5482</v>
      </c>
      <c r="J279" t="s">
        <v>5453</v>
      </c>
      <c r="K279" t="s">
        <v>4734</v>
      </c>
      <c r="L279" t="s">
        <v>74</v>
      </c>
      <c r="M279" t="s">
        <v>78</v>
      </c>
      <c r="N279" t="s">
        <v>1829</v>
      </c>
      <c r="O279" t="s">
        <v>5454</v>
      </c>
      <c r="P279" t="s">
        <v>5455</v>
      </c>
      <c r="Q279" t="s">
        <v>5456</v>
      </c>
      <c r="R279" t="s">
        <v>74</v>
      </c>
      <c r="S279" t="s">
        <v>74</v>
      </c>
      <c r="T279" t="s">
        <v>5483</v>
      </c>
      <c r="U279" t="s">
        <v>5484</v>
      </c>
      <c r="V279" t="s">
        <v>5485</v>
      </c>
      <c r="W279" t="s">
        <v>5486</v>
      </c>
      <c r="X279" t="s">
        <v>5487</v>
      </c>
      <c r="Y279" t="s">
        <v>5488</v>
      </c>
      <c r="Z279" t="s">
        <v>5489</v>
      </c>
      <c r="AA279" t="s">
        <v>5490</v>
      </c>
      <c r="AB279" t="s">
        <v>5491</v>
      </c>
      <c r="AC279" t="s">
        <v>5492</v>
      </c>
      <c r="AD279" t="s">
        <v>5493</v>
      </c>
      <c r="AE279" t="s">
        <v>5494</v>
      </c>
      <c r="AF279" t="s">
        <v>74</v>
      </c>
      <c r="AG279">
        <v>17</v>
      </c>
      <c r="AH279">
        <v>0</v>
      </c>
      <c r="AI279">
        <v>0</v>
      </c>
      <c r="AJ279">
        <v>0</v>
      </c>
      <c r="AK279">
        <v>1</v>
      </c>
      <c r="AL279" t="s">
        <v>4304</v>
      </c>
      <c r="AM279" t="s">
        <v>4305</v>
      </c>
      <c r="AN279" t="s">
        <v>4306</v>
      </c>
      <c r="AO279" t="s">
        <v>4743</v>
      </c>
      <c r="AP279" t="s">
        <v>4744</v>
      </c>
      <c r="AQ279" t="s">
        <v>74</v>
      </c>
      <c r="AR279" t="s">
        <v>4745</v>
      </c>
      <c r="AS279" t="s">
        <v>74</v>
      </c>
      <c r="AT279" t="s">
        <v>74</v>
      </c>
      <c r="AU279">
        <v>2017</v>
      </c>
      <c r="AV279">
        <v>852</v>
      </c>
      <c r="AW279" t="s">
        <v>74</v>
      </c>
      <c r="AX279" t="s">
        <v>74</v>
      </c>
      <c r="AY279" t="s">
        <v>74</v>
      </c>
      <c r="AZ279" t="s">
        <v>74</v>
      </c>
      <c r="BA279" t="s">
        <v>74</v>
      </c>
      <c r="BB279" t="s">
        <v>74</v>
      </c>
      <c r="BC279" t="s">
        <v>74</v>
      </c>
      <c r="BD279">
        <v>12046</v>
      </c>
      <c r="BE279" t="s">
        <v>5495</v>
      </c>
      <c r="BF279" t="str">
        <f>HYPERLINK("http://dx.doi.org/10.1088/1742-6596/852/1/012046","http://dx.doi.org/10.1088/1742-6596/852/1/012046")</f>
        <v>http://dx.doi.org/10.1088/1742-6596/852/1/012046</v>
      </c>
      <c r="BG279" t="s">
        <v>74</v>
      </c>
      <c r="BH279" t="s">
        <v>74</v>
      </c>
      <c r="BI279">
        <v>9</v>
      </c>
      <c r="BJ279" t="s">
        <v>5468</v>
      </c>
      <c r="BK279" t="s">
        <v>1844</v>
      </c>
      <c r="BL279" t="s">
        <v>3993</v>
      </c>
      <c r="BM279" t="s">
        <v>5469</v>
      </c>
      <c r="BN279" t="s">
        <v>74</v>
      </c>
      <c r="BO279" t="s">
        <v>941</v>
      </c>
      <c r="BP279" t="s">
        <v>74</v>
      </c>
      <c r="BQ279" t="s">
        <v>74</v>
      </c>
      <c r="BR279" t="s">
        <v>105</v>
      </c>
      <c r="BS279" t="s">
        <v>5496</v>
      </c>
      <c r="BT279" t="str">
        <f>HYPERLINK("https%3A%2F%2Fwww.webofscience.com%2Fwos%2Fwoscc%2Ffull-record%2FWOS:000417438600046","View Full Record in Web of Science")</f>
        <v>View Full Record in Web of Science</v>
      </c>
    </row>
    <row r="280" spans="1:72" x14ac:dyDescent="0.15">
      <c r="A280" t="s">
        <v>1823</v>
      </c>
      <c r="B280" t="s">
        <v>5497</v>
      </c>
      <c r="C280" t="s">
        <v>74</v>
      </c>
      <c r="D280" t="s">
        <v>5450</v>
      </c>
      <c r="E280" t="s">
        <v>74</v>
      </c>
      <c r="F280" t="s">
        <v>5498</v>
      </c>
      <c r="G280" t="s">
        <v>74</v>
      </c>
      <c r="H280" t="s">
        <v>74</v>
      </c>
      <c r="I280" t="s">
        <v>5499</v>
      </c>
      <c r="J280" t="s">
        <v>5453</v>
      </c>
      <c r="K280" t="s">
        <v>4734</v>
      </c>
      <c r="L280" t="s">
        <v>74</v>
      </c>
      <c r="M280" t="s">
        <v>78</v>
      </c>
      <c r="N280" t="s">
        <v>1829</v>
      </c>
      <c r="O280" t="s">
        <v>5454</v>
      </c>
      <c r="P280" t="s">
        <v>5455</v>
      </c>
      <c r="Q280" t="s">
        <v>5456</v>
      </c>
      <c r="R280" t="s">
        <v>74</v>
      </c>
      <c r="S280" t="s">
        <v>74</v>
      </c>
      <c r="T280" t="s">
        <v>74</v>
      </c>
      <c r="U280" t="s">
        <v>5500</v>
      </c>
      <c r="V280" t="s">
        <v>5501</v>
      </c>
      <c r="W280" t="s">
        <v>5502</v>
      </c>
      <c r="X280" t="s">
        <v>5487</v>
      </c>
      <c r="Y280" t="s">
        <v>5503</v>
      </c>
      <c r="Z280" t="s">
        <v>5489</v>
      </c>
      <c r="AA280" t="s">
        <v>5490</v>
      </c>
      <c r="AB280" t="s">
        <v>5491</v>
      </c>
      <c r="AC280" t="s">
        <v>5504</v>
      </c>
      <c r="AD280" t="s">
        <v>5505</v>
      </c>
      <c r="AE280" t="s">
        <v>5506</v>
      </c>
      <c r="AF280" t="s">
        <v>74</v>
      </c>
      <c r="AG280">
        <v>15</v>
      </c>
      <c r="AH280">
        <v>0</v>
      </c>
      <c r="AI280">
        <v>0</v>
      </c>
      <c r="AJ280">
        <v>0</v>
      </c>
      <c r="AK280">
        <v>1</v>
      </c>
      <c r="AL280" t="s">
        <v>4304</v>
      </c>
      <c r="AM280" t="s">
        <v>4305</v>
      </c>
      <c r="AN280" t="s">
        <v>4306</v>
      </c>
      <c r="AO280" t="s">
        <v>4743</v>
      </c>
      <c r="AP280" t="s">
        <v>4744</v>
      </c>
      <c r="AQ280" t="s">
        <v>74</v>
      </c>
      <c r="AR280" t="s">
        <v>4745</v>
      </c>
      <c r="AS280" t="s">
        <v>74</v>
      </c>
      <c r="AT280" t="s">
        <v>74</v>
      </c>
      <c r="AU280">
        <v>2017</v>
      </c>
      <c r="AV280">
        <v>852</v>
      </c>
      <c r="AW280" t="s">
        <v>74</v>
      </c>
      <c r="AX280" t="s">
        <v>74</v>
      </c>
      <c r="AY280" t="s">
        <v>74</v>
      </c>
      <c r="AZ280" t="s">
        <v>74</v>
      </c>
      <c r="BA280" t="s">
        <v>74</v>
      </c>
      <c r="BB280" t="s">
        <v>74</v>
      </c>
      <c r="BC280" t="s">
        <v>74</v>
      </c>
      <c r="BD280">
        <v>12020</v>
      </c>
      <c r="BE280" t="s">
        <v>5507</v>
      </c>
      <c r="BF280" t="str">
        <f>HYPERLINK("http://dx.doi.org/10.1088/1742-6596/852/1/012020","http://dx.doi.org/10.1088/1742-6596/852/1/012020")</f>
        <v>http://dx.doi.org/10.1088/1742-6596/852/1/012020</v>
      </c>
      <c r="BG280" t="s">
        <v>74</v>
      </c>
      <c r="BH280" t="s">
        <v>74</v>
      </c>
      <c r="BI280">
        <v>9</v>
      </c>
      <c r="BJ280" t="s">
        <v>5468</v>
      </c>
      <c r="BK280" t="s">
        <v>1844</v>
      </c>
      <c r="BL280" t="s">
        <v>3993</v>
      </c>
      <c r="BM280" t="s">
        <v>5469</v>
      </c>
      <c r="BN280" t="s">
        <v>74</v>
      </c>
      <c r="BO280" t="s">
        <v>941</v>
      </c>
      <c r="BP280" t="s">
        <v>74</v>
      </c>
      <c r="BQ280" t="s">
        <v>74</v>
      </c>
      <c r="BR280" t="s">
        <v>105</v>
      </c>
      <c r="BS280" t="s">
        <v>5508</v>
      </c>
      <c r="BT280" t="str">
        <f>HYPERLINK("https%3A%2F%2Fwww.webofscience.com%2Fwos%2Fwoscc%2Ffull-record%2FWOS:000417438600020","View Full Record in Web of Science")</f>
        <v>View Full Record in Web of Science</v>
      </c>
    </row>
    <row r="281" spans="1:72" x14ac:dyDescent="0.15">
      <c r="A281" t="s">
        <v>1823</v>
      </c>
      <c r="B281" t="s">
        <v>5509</v>
      </c>
      <c r="C281" t="s">
        <v>74</v>
      </c>
      <c r="D281" t="s">
        <v>5450</v>
      </c>
      <c r="E281" t="s">
        <v>74</v>
      </c>
      <c r="F281" t="s">
        <v>5510</v>
      </c>
      <c r="G281" t="s">
        <v>74</v>
      </c>
      <c r="H281" t="s">
        <v>74</v>
      </c>
      <c r="I281" t="s">
        <v>5511</v>
      </c>
      <c r="J281" t="s">
        <v>5453</v>
      </c>
      <c r="K281" t="s">
        <v>4734</v>
      </c>
      <c r="L281" t="s">
        <v>74</v>
      </c>
      <c r="M281" t="s">
        <v>78</v>
      </c>
      <c r="N281" t="s">
        <v>1829</v>
      </c>
      <c r="O281" t="s">
        <v>5454</v>
      </c>
      <c r="P281" t="s">
        <v>5455</v>
      </c>
      <c r="Q281" t="s">
        <v>5456</v>
      </c>
      <c r="R281" t="s">
        <v>74</v>
      </c>
      <c r="S281" t="s">
        <v>74</v>
      </c>
      <c r="T281" t="s">
        <v>74</v>
      </c>
      <c r="U281" t="s">
        <v>5512</v>
      </c>
      <c r="V281" t="s">
        <v>5513</v>
      </c>
      <c r="W281" t="s">
        <v>5514</v>
      </c>
      <c r="X281" t="s">
        <v>5487</v>
      </c>
      <c r="Y281" t="s">
        <v>5515</v>
      </c>
      <c r="Z281" t="s">
        <v>5489</v>
      </c>
      <c r="AA281" t="s">
        <v>5490</v>
      </c>
      <c r="AB281" t="s">
        <v>5491</v>
      </c>
      <c r="AC281" t="s">
        <v>5516</v>
      </c>
      <c r="AD281" t="s">
        <v>5517</v>
      </c>
      <c r="AE281" t="s">
        <v>5518</v>
      </c>
      <c r="AF281" t="s">
        <v>74</v>
      </c>
      <c r="AG281">
        <v>14</v>
      </c>
      <c r="AH281">
        <v>2</v>
      </c>
      <c r="AI281">
        <v>2</v>
      </c>
      <c r="AJ281">
        <v>0</v>
      </c>
      <c r="AK281">
        <v>1</v>
      </c>
      <c r="AL281" t="s">
        <v>4304</v>
      </c>
      <c r="AM281" t="s">
        <v>4305</v>
      </c>
      <c r="AN281" t="s">
        <v>4306</v>
      </c>
      <c r="AO281" t="s">
        <v>4743</v>
      </c>
      <c r="AP281" t="s">
        <v>4744</v>
      </c>
      <c r="AQ281" t="s">
        <v>74</v>
      </c>
      <c r="AR281" t="s">
        <v>4745</v>
      </c>
      <c r="AS281" t="s">
        <v>74</v>
      </c>
      <c r="AT281" t="s">
        <v>74</v>
      </c>
      <c r="AU281">
        <v>2017</v>
      </c>
      <c r="AV281">
        <v>852</v>
      </c>
      <c r="AW281" t="s">
        <v>74</v>
      </c>
      <c r="AX281" t="s">
        <v>74</v>
      </c>
      <c r="AY281" t="s">
        <v>74</v>
      </c>
      <c r="AZ281" t="s">
        <v>74</v>
      </c>
      <c r="BA281" t="s">
        <v>74</v>
      </c>
      <c r="BB281" t="s">
        <v>74</v>
      </c>
      <c r="BC281" t="s">
        <v>74</v>
      </c>
      <c r="BD281">
        <v>12017</v>
      </c>
      <c r="BE281" t="s">
        <v>5519</v>
      </c>
      <c r="BF281" t="str">
        <f>HYPERLINK("http://dx.doi.org/10.1088/1742-6596/852/1/012017","http://dx.doi.org/10.1088/1742-6596/852/1/012017")</f>
        <v>http://dx.doi.org/10.1088/1742-6596/852/1/012017</v>
      </c>
      <c r="BG281" t="s">
        <v>74</v>
      </c>
      <c r="BH281" t="s">
        <v>74</v>
      </c>
      <c r="BI281">
        <v>10</v>
      </c>
      <c r="BJ281" t="s">
        <v>5468</v>
      </c>
      <c r="BK281" t="s">
        <v>1844</v>
      </c>
      <c r="BL281" t="s">
        <v>3993</v>
      </c>
      <c r="BM281" t="s">
        <v>5469</v>
      </c>
      <c r="BN281" t="s">
        <v>74</v>
      </c>
      <c r="BO281" t="s">
        <v>941</v>
      </c>
      <c r="BP281" t="s">
        <v>74</v>
      </c>
      <c r="BQ281" t="s">
        <v>74</v>
      </c>
      <c r="BR281" t="s">
        <v>105</v>
      </c>
      <c r="BS281" t="s">
        <v>5520</v>
      </c>
      <c r="BT281" t="str">
        <f>HYPERLINK("https%3A%2F%2Fwww.webofscience.com%2Fwos%2Fwoscc%2Ffull-record%2FWOS:000417438600017","View Full Record in Web of Science")</f>
        <v>View Full Record in Web of Science</v>
      </c>
    </row>
    <row r="282" spans="1:72" x14ac:dyDescent="0.15">
      <c r="A282" t="s">
        <v>2331</v>
      </c>
      <c r="B282" t="s">
        <v>5521</v>
      </c>
      <c r="C282" t="s">
        <v>74</v>
      </c>
      <c r="D282" t="s">
        <v>5522</v>
      </c>
      <c r="E282" t="s">
        <v>74</v>
      </c>
      <c r="F282" t="s">
        <v>5523</v>
      </c>
      <c r="G282" t="s">
        <v>74</v>
      </c>
      <c r="H282" t="s">
        <v>74</v>
      </c>
      <c r="I282" t="s">
        <v>5524</v>
      </c>
      <c r="J282" t="s">
        <v>5525</v>
      </c>
      <c r="K282" t="s">
        <v>74</v>
      </c>
      <c r="L282" t="s">
        <v>74</v>
      </c>
      <c r="M282" t="s">
        <v>78</v>
      </c>
      <c r="N282" t="s">
        <v>2067</v>
      </c>
      <c r="O282" t="s">
        <v>74</v>
      </c>
      <c r="P282" t="s">
        <v>74</v>
      </c>
      <c r="Q282" t="s">
        <v>74</v>
      </c>
      <c r="R282" t="s">
        <v>74</v>
      </c>
      <c r="S282" t="s">
        <v>74</v>
      </c>
      <c r="T282" t="s">
        <v>74</v>
      </c>
      <c r="U282" t="s">
        <v>74</v>
      </c>
      <c r="V282" t="s">
        <v>74</v>
      </c>
      <c r="W282" t="s">
        <v>5526</v>
      </c>
      <c r="X282" t="s">
        <v>5527</v>
      </c>
      <c r="Y282" t="s">
        <v>5528</v>
      </c>
      <c r="Z282" t="s">
        <v>5529</v>
      </c>
      <c r="AA282" t="s">
        <v>5530</v>
      </c>
      <c r="AB282" t="s">
        <v>5531</v>
      </c>
      <c r="AC282" t="s">
        <v>74</v>
      </c>
      <c r="AD282" t="s">
        <v>74</v>
      </c>
      <c r="AE282" t="s">
        <v>74</v>
      </c>
      <c r="AF282" t="s">
        <v>74</v>
      </c>
      <c r="AG282">
        <v>57</v>
      </c>
      <c r="AH282">
        <v>6</v>
      </c>
      <c r="AI282">
        <v>6</v>
      </c>
      <c r="AJ282">
        <v>0</v>
      </c>
      <c r="AK282">
        <v>1</v>
      </c>
      <c r="AL282" t="s">
        <v>5532</v>
      </c>
      <c r="AM282" t="s">
        <v>5533</v>
      </c>
      <c r="AN282" t="s">
        <v>5534</v>
      </c>
      <c r="AO282" t="s">
        <v>74</v>
      </c>
      <c r="AP282" t="s">
        <v>74</v>
      </c>
      <c r="AQ282" t="s">
        <v>5535</v>
      </c>
      <c r="AR282" t="s">
        <v>74</v>
      </c>
      <c r="AS282" t="s">
        <v>74</v>
      </c>
      <c r="AT282" t="s">
        <v>74</v>
      </c>
      <c r="AU282">
        <v>2017</v>
      </c>
      <c r="AV282" t="s">
        <v>74</v>
      </c>
      <c r="AW282" t="s">
        <v>74</v>
      </c>
      <c r="AX282" t="s">
        <v>74</v>
      </c>
      <c r="AY282" t="s">
        <v>74</v>
      </c>
      <c r="AZ282" t="s">
        <v>74</v>
      </c>
      <c r="BA282" t="s">
        <v>74</v>
      </c>
      <c r="BB282">
        <v>484</v>
      </c>
      <c r="BC282">
        <v>504</v>
      </c>
      <c r="BD282" t="s">
        <v>74</v>
      </c>
      <c r="BE282" t="s">
        <v>74</v>
      </c>
      <c r="BF282" t="s">
        <v>74</v>
      </c>
      <c r="BG282" t="s">
        <v>5536</v>
      </c>
      <c r="BH282" t="s">
        <v>74</v>
      </c>
      <c r="BI282">
        <v>21</v>
      </c>
      <c r="BJ282" t="s">
        <v>5537</v>
      </c>
      <c r="BK282" t="s">
        <v>3409</v>
      </c>
      <c r="BL282" t="s">
        <v>5538</v>
      </c>
      <c r="BM282" t="s">
        <v>5539</v>
      </c>
      <c r="BN282" t="s">
        <v>74</v>
      </c>
      <c r="BO282" t="s">
        <v>74</v>
      </c>
      <c r="BP282" t="s">
        <v>74</v>
      </c>
      <c r="BQ282" t="s">
        <v>74</v>
      </c>
      <c r="BR282" t="s">
        <v>105</v>
      </c>
      <c r="BS282" t="s">
        <v>5540</v>
      </c>
      <c r="BT282" t="str">
        <f>HYPERLINK("https%3A%2F%2Fwww.webofscience.com%2Fwos%2Fwoscc%2Ffull-record%2FWOS:000416378500031","View Full Record in Web of Science")</f>
        <v>View Full Record in Web of Science</v>
      </c>
    </row>
    <row r="283" spans="1:72" x14ac:dyDescent="0.15">
      <c r="A283" t="s">
        <v>72</v>
      </c>
      <c r="B283" t="s">
        <v>5541</v>
      </c>
      <c r="C283" t="s">
        <v>74</v>
      </c>
      <c r="D283" t="s">
        <v>74</v>
      </c>
      <c r="E283" t="s">
        <v>74</v>
      </c>
      <c r="F283" t="s">
        <v>5542</v>
      </c>
      <c r="G283" t="s">
        <v>74</v>
      </c>
      <c r="H283" t="s">
        <v>74</v>
      </c>
      <c r="I283" t="s">
        <v>5543</v>
      </c>
      <c r="J283" t="s">
        <v>5544</v>
      </c>
      <c r="K283" t="s">
        <v>74</v>
      </c>
      <c r="L283" t="s">
        <v>74</v>
      </c>
      <c r="M283" t="s">
        <v>78</v>
      </c>
      <c r="N283" t="s">
        <v>2034</v>
      </c>
      <c r="O283" t="s">
        <v>74</v>
      </c>
      <c r="P283" t="s">
        <v>74</v>
      </c>
      <c r="Q283" t="s">
        <v>74</v>
      </c>
      <c r="R283" t="s">
        <v>74</v>
      </c>
      <c r="S283" t="s">
        <v>74</v>
      </c>
      <c r="T283" t="s">
        <v>5545</v>
      </c>
      <c r="U283" t="s">
        <v>5546</v>
      </c>
      <c r="V283" t="s">
        <v>5547</v>
      </c>
      <c r="W283" t="s">
        <v>5548</v>
      </c>
      <c r="X283" t="s">
        <v>5549</v>
      </c>
      <c r="Y283" t="s">
        <v>5550</v>
      </c>
      <c r="Z283" t="s">
        <v>5551</v>
      </c>
      <c r="AA283" t="s">
        <v>5552</v>
      </c>
      <c r="AB283" t="s">
        <v>5553</v>
      </c>
      <c r="AC283" t="s">
        <v>74</v>
      </c>
      <c r="AD283" t="s">
        <v>74</v>
      </c>
      <c r="AE283" t="s">
        <v>74</v>
      </c>
      <c r="AF283" t="s">
        <v>74</v>
      </c>
      <c r="AG283">
        <v>144</v>
      </c>
      <c r="AH283">
        <v>52</v>
      </c>
      <c r="AI283">
        <v>58</v>
      </c>
      <c r="AJ283">
        <v>4</v>
      </c>
      <c r="AK283">
        <v>35</v>
      </c>
      <c r="AL283" t="s">
        <v>5554</v>
      </c>
      <c r="AM283" t="s">
        <v>5555</v>
      </c>
      <c r="AN283" t="s">
        <v>5556</v>
      </c>
      <c r="AO283" t="s">
        <v>5557</v>
      </c>
      <c r="AP283" t="s">
        <v>5558</v>
      </c>
      <c r="AQ283" t="s">
        <v>74</v>
      </c>
      <c r="AR283" t="s">
        <v>5559</v>
      </c>
      <c r="AS283" t="s">
        <v>5560</v>
      </c>
      <c r="AT283" t="s">
        <v>74</v>
      </c>
      <c r="AU283">
        <v>2017</v>
      </c>
      <c r="AV283">
        <v>34</v>
      </c>
      <c r="AW283" t="s">
        <v>74</v>
      </c>
      <c r="AX283" t="s">
        <v>74</v>
      </c>
      <c r="AY283" t="s">
        <v>74</v>
      </c>
      <c r="AZ283" t="s">
        <v>74</v>
      </c>
      <c r="BA283" t="s">
        <v>74</v>
      </c>
      <c r="BB283">
        <v>373</v>
      </c>
      <c r="BC283">
        <v>396</v>
      </c>
      <c r="BD283" t="s">
        <v>74</v>
      </c>
      <c r="BE283" t="s">
        <v>5561</v>
      </c>
      <c r="BF283" t="str">
        <f>HYPERLINK("http://dx.doi.org/10.3354/esr00869","http://dx.doi.org/10.3354/esr00869")</f>
        <v>http://dx.doi.org/10.3354/esr00869</v>
      </c>
      <c r="BG283" t="s">
        <v>74</v>
      </c>
      <c r="BH283" t="s">
        <v>74</v>
      </c>
      <c r="BI283">
        <v>24</v>
      </c>
      <c r="BJ283" t="s">
        <v>1562</v>
      </c>
      <c r="BK283" t="s">
        <v>101</v>
      </c>
      <c r="BL283" t="s">
        <v>1563</v>
      </c>
      <c r="BM283" t="s">
        <v>5562</v>
      </c>
      <c r="BN283" t="s">
        <v>74</v>
      </c>
      <c r="BO283" t="s">
        <v>725</v>
      </c>
      <c r="BP283" t="s">
        <v>74</v>
      </c>
      <c r="BQ283" t="s">
        <v>74</v>
      </c>
      <c r="BR283" t="s">
        <v>105</v>
      </c>
      <c r="BS283" t="s">
        <v>5563</v>
      </c>
      <c r="BT283" t="str">
        <f>HYPERLINK("https%3A%2F%2Fwww.webofscience.com%2Fwos%2Fwoscc%2Ffull-record%2FWOS:000416862500008","View Full Record in Web of Science")</f>
        <v>View Full Record in Web of Science</v>
      </c>
    </row>
    <row r="284" spans="1:72" x14ac:dyDescent="0.15">
      <c r="A284" t="s">
        <v>72</v>
      </c>
      <c r="B284" t="s">
        <v>5564</v>
      </c>
      <c r="C284" t="s">
        <v>74</v>
      </c>
      <c r="D284" t="s">
        <v>74</v>
      </c>
      <c r="E284" t="s">
        <v>74</v>
      </c>
      <c r="F284" t="s">
        <v>5565</v>
      </c>
      <c r="G284" t="s">
        <v>74</v>
      </c>
      <c r="H284" t="s">
        <v>74</v>
      </c>
      <c r="I284" t="s">
        <v>5566</v>
      </c>
      <c r="J284" t="s">
        <v>5567</v>
      </c>
      <c r="K284" t="s">
        <v>74</v>
      </c>
      <c r="L284" t="s">
        <v>74</v>
      </c>
      <c r="M284" t="s">
        <v>78</v>
      </c>
      <c r="N284" t="s">
        <v>79</v>
      </c>
      <c r="O284" t="s">
        <v>74</v>
      </c>
      <c r="P284" t="s">
        <v>74</v>
      </c>
      <c r="Q284" t="s">
        <v>74</v>
      </c>
      <c r="R284" t="s">
        <v>74</v>
      </c>
      <c r="S284" t="s">
        <v>74</v>
      </c>
      <c r="T284" t="s">
        <v>5568</v>
      </c>
      <c r="U284" t="s">
        <v>5569</v>
      </c>
      <c r="V284" t="s">
        <v>5570</v>
      </c>
      <c r="W284" t="s">
        <v>5571</v>
      </c>
      <c r="X284" t="s">
        <v>5572</v>
      </c>
      <c r="Y284" t="s">
        <v>5573</v>
      </c>
      <c r="Z284" t="s">
        <v>5574</v>
      </c>
      <c r="AA284" t="s">
        <v>5575</v>
      </c>
      <c r="AB284" t="s">
        <v>5576</v>
      </c>
      <c r="AC284" t="s">
        <v>5577</v>
      </c>
      <c r="AD284" t="s">
        <v>5578</v>
      </c>
      <c r="AE284" t="s">
        <v>5579</v>
      </c>
      <c r="AF284" t="s">
        <v>74</v>
      </c>
      <c r="AG284">
        <v>15</v>
      </c>
      <c r="AH284">
        <v>6</v>
      </c>
      <c r="AI284">
        <v>6</v>
      </c>
      <c r="AJ284">
        <v>0</v>
      </c>
      <c r="AK284">
        <v>0</v>
      </c>
      <c r="AL284" t="s">
        <v>5580</v>
      </c>
      <c r="AM284" t="s">
        <v>5581</v>
      </c>
      <c r="AN284" t="s">
        <v>5582</v>
      </c>
      <c r="AO284" t="s">
        <v>5583</v>
      </c>
      <c r="AP284" t="s">
        <v>74</v>
      </c>
      <c r="AQ284" t="s">
        <v>74</v>
      </c>
      <c r="AR284" t="s">
        <v>5584</v>
      </c>
      <c r="AS284" t="s">
        <v>5585</v>
      </c>
      <c r="AT284" t="s">
        <v>74</v>
      </c>
      <c r="AU284">
        <v>2017</v>
      </c>
      <c r="AV284">
        <v>3</v>
      </c>
      <c r="AW284">
        <v>1</v>
      </c>
      <c r="AX284" t="s">
        <v>74</v>
      </c>
      <c r="AY284" t="s">
        <v>74</v>
      </c>
      <c r="AZ284" t="s">
        <v>74</v>
      </c>
      <c r="BA284" t="s">
        <v>74</v>
      </c>
      <c r="BB284">
        <v>73</v>
      </c>
      <c r="BC284">
        <v>77</v>
      </c>
      <c r="BD284" t="s">
        <v>74</v>
      </c>
      <c r="BE284" t="s">
        <v>5586</v>
      </c>
      <c r="BF284" t="str">
        <f>HYPERLINK("http://dx.doi.org/10.12737/23043","http://dx.doi.org/10.12737/23043")</f>
        <v>http://dx.doi.org/10.12737/23043</v>
      </c>
      <c r="BG284" t="s">
        <v>74</v>
      </c>
      <c r="BH284" t="s">
        <v>74</v>
      </c>
      <c r="BI284">
        <v>5</v>
      </c>
      <c r="BJ284" t="s">
        <v>299</v>
      </c>
      <c r="BK284" t="s">
        <v>2057</v>
      </c>
      <c r="BL284" t="s">
        <v>299</v>
      </c>
      <c r="BM284" t="s">
        <v>5587</v>
      </c>
      <c r="BN284" t="s">
        <v>74</v>
      </c>
      <c r="BO284" t="s">
        <v>672</v>
      </c>
      <c r="BP284" t="s">
        <v>74</v>
      </c>
      <c r="BQ284" t="s">
        <v>74</v>
      </c>
      <c r="BR284" t="s">
        <v>105</v>
      </c>
      <c r="BS284" t="s">
        <v>5588</v>
      </c>
      <c r="BT284" t="str">
        <f>HYPERLINK("https%3A%2F%2Fwww.webofscience.com%2Fwos%2Fwoscc%2Ffull-record%2FWOS:000416973600006","View Full Record in Web of Science")</f>
        <v>View Full Record in Web of Science</v>
      </c>
    </row>
    <row r="285" spans="1:72" x14ac:dyDescent="0.15">
      <c r="A285" t="s">
        <v>1921</v>
      </c>
      <c r="B285" t="s">
        <v>5589</v>
      </c>
      <c r="C285" t="s">
        <v>74</v>
      </c>
      <c r="D285" t="s">
        <v>5590</v>
      </c>
      <c r="E285" t="s">
        <v>74</v>
      </c>
      <c r="F285" t="s">
        <v>5591</v>
      </c>
      <c r="G285" t="s">
        <v>74</v>
      </c>
      <c r="H285" t="s">
        <v>74</v>
      </c>
      <c r="I285" t="s">
        <v>5592</v>
      </c>
      <c r="J285" t="s">
        <v>5593</v>
      </c>
      <c r="K285" t="s">
        <v>5594</v>
      </c>
      <c r="L285" t="s">
        <v>74</v>
      </c>
      <c r="M285" t="s">
        <v>78</v>
      </c>
      <c r="N285" t="s">
        <v>2067</v>
      </c>
      <c r="O285" t="s">
        <v>74</v>
      </c>
      <c r="P285" t="s">
        <v>74</v>
      </c>
      <c r="Q285" t="s">
        <v>74</v>
      </c>
      <c r="R285" t="s">
        <v>74</v>
      </c>
      <c r="S285" t="s">
        <v>74</v>
      </c>
      <c r="T285" t="s">
        <v>74</v>
      </c>
      <c r="U285" t="s">
        <v>5595</v>
      </c>
      <c r="V285" t="s">
        <v>74</v>
      </c>
      <c r="W285" t="s">
        <v>5596</v>
      </c>
      <c r="X285" t="s">
        <v>5597</v>
      </c>
      <c r="Y285" t="s">
        <v>5598</v>
      </c>
      <c r="Z285" t="s">
        <v>5599</v>
      </c>
      <c r="AA285" t="s">
        <v>74</v>
      </c>
      <c r="AB285" t="s">
        <v>74</v>
      </c>
      <c r="AC285" t="s">
        <v>74</v>
      </c>
      <c r="AD285" t="s">
        <v>74</v>
      </c>
      <c r="AE285" t="s">
        <v>74</v>
      </c>
      <c r="AF285" t="s">
        <v>74</v>
      </c>
      <c r="AG285">
        <v>260</v>
      </c>
      <c r="AH285">
        <v>5</v>
      </c>
      <c r="AI285">
        <v>6</v>
      </c>
      <c r="AJ285">
        <v>0</v>
      </c>
      <c r="AK285">
        <v>3</v>
      </c>
      <c r="AL285" t="s">
        <v>3497</v>
      </c>
      <c r="AM285" t="s">
        <v>3498</v>
      </c>
      <c r="AN285" t="s">
        <v>3499</v>
      </c>
      <c r="AO285" t="s">
        <v>5600</v>
      </c>
      <c r="AP285" t="s">
        <v>74</v>
      </c>
      <c r="AQ285" t="s">
        <v>5601</v>
      </c>
      <c r="AR285" t="s">
        <v>5602</v>
      </c>
      <c r="AS285" t="s">
        <v>74</v>
      </c>
      <c r="AT285" t="s">
        <v>74</v>
      </c>
      <c r="AU285">
        <v>2017</v>
      </c>
      <c r="AV285">
        <v>9</v>
      </c>
      <c r="AW285" t="s">
        <v>74</v>
      </c>
      <c r="AX285" t="s">
        <v>74</v>
      </c>
      <c r="AY285" t="s">
        <v>74</v>
      </c>
      <c r="AZ285" t="s">
        <v>74</v>
      </c>
      <c r="BA285" t="s">
        <v>74</v>
      </c>
      <c r="BB285">
        <v>13</v>
      </c>
      <c r="BC285">
        <v>31</v>
      </c>
      <c r="BD285" t="s">
        <v>74</v>
      </c>
      <c r="BE285" t="s">
        <v>5603</v>
      </c>
      <c r="BF285" t="str">
        <f>HYPERLINK("http://dx.doi.org/10.1007/978-3-319-46343-8_3","http://dx.doi.org/10.1007/978-3-319-46343-8_3")</f>
        <v>http://dx.doi.org/10.1007/978-3-319-46343-8_3</v>
      </c>
      <c r="BG285" t="s">
        <v>5604</v>
      </c>
      <c r="BH285" t="s">
        <v>74</v>
      </c>
      <c r="BI285">
        <v>19</v>
      </c>
      <c r="BJ285" t="s">
        <v>5605</v>
      </c>
      <c r="BK285" t="s">
        <v>2084</v>
      </c>
      <c r="BL285" t="s">
        <v>5605</v>
      </c>
      <c r="BM285" t="s">
        <v>5606</v>
      </c>
      <c r="BN285" t="s">
        <v>74</v>
      </c>
      <c r="BO285" t="s">
        <v>74</v>
      </c>
      <c r="BP285" t="s">
        <v>74</v>
      </c>
      <c r="BQ285" t="s">
        <v>74</v>
      </c>
      <c r="BR285" t="s">
        <v>105</v>
      </c>
      <c r="BS285" t="s">
        <v>5607</v>
      </c>
      <c r="BT285" t="str">
        <f>HYPERLINK("https%3A%2F%2Fwww.webofscience.com%2Fwos%2Fwoscc%2Ffull-record%2FWOS:000416895300004","View Full Record in Web of Science")</f>
        <v>View Full Record in Web of Science</v>
      </c>
    </row>
    <row r="286" spans="1:72" x14ac:dyDescent="0.15">
      <c r="A286" t="s">
        <v>1921</v>
      </c>
      <c r="B286" t="s">
        <v>5608</v>
      </c>
      <c r="C286" t="s">
        <v>74</v>
      </c>
      <c r="D286" t="s">
        <v>5590</v>
      </c>
      <c r="E286" t="s">
        <v>74</v>
      </c>
      <c r="F286" t="s">
        <v>5609</v>
      </c>
      <c r="G286" t="s">
        <v>74</v>
      </c>
      <c r="H286" t="s">
        <v>74</v>
      </c>
      <c r="I286" t="s">
        <v>5610</v>
      </c>
      <c r="J286" t="s">
        <v>5593</v>
      </c>
      <c r="K286" t="s">
        <v>5611</v>
      </c>
      <c r="L286" t="s">
        <v>74</v>
      </c>
      <c r="M286" t="s">
        <v>78</v>
      </c>
      <c r="N286" t="s">
        <v>2067</v>
      </c>
      <c r="O286" t="s">
        <v>74</v>
      </c>
      <c r="P286" t="s">
        <v>74</v>
      </c>
      <c r="Q286" t="s">
        <v>74</v>
      </c>
      <c r="R286" t="s">
        <v>74</v>
      </c>
      <c r="S286" t="s">
        <v>74</v>
      </c>
      <c r="T286" t="s">
        <v>74</v>
      </c>
      <c r="U286" t="s">
        <v>5612</v>
      </c>
      <c r="V286" t="s">
        <v>74</v>
      </c>
      <c r="W286" t="s">
        <v>5613</v>
      </c>
      <c r="X286" t="s">
        <v>5614</v>
      </c>
      <c r="Y286" t="s">
        <v>5615</v>
      </c>
      <c r="Z286" t="s">
        <v>5616</v>
      </c>
      <c r="AA286" t="s">
        <v>74</v>
      </c>
      <c r="AB286" t="s">
        <v>74</v>
      </c>
      <c r="AC286" t="s">
        <v>74</v>
      </c>
      <c r="AD286" t="s">
        <v>74</v>
      </c>
      <c r="AE286" t="s">
        <v>74</v>
      </c>
      <c r="AF286" t="s">
        <v>74</v>
      </c>
      <c r="AG286">
        <v>49</v>
      </c>
      <c r="AH286">
        <v>3</v>
      </c>
      <c r="AI286">
        <v>5</v>
      </c>
      <c r="AJ286">
        <v>0</v>
      </c>
      <c r="AK286">
        <v>1</v>
      </c>
      <c r="AL286" t="s">
        <v>3497</v>
      </c>
      <c r="AM286" t="s">
        <v>3498</v>
      </c>
      <c r="AN286" t="s">
        <v>3499</v>
      </c>
      <c r="AO286" t="s">
        <v>5600</v>
      </c>
      <c r="AP286" t="s">
        <v>74</v>
      </c>
      <c r="AQ286" t="s">
        <v>5601</v>
      </c>
      <c r="AR286" t="s">
        <v>5602</v>
      </c>
      <c r="AS286" t="s">
        <v>74</v>
      </c>
      <c r="AT286" t="s">
        <v>74</v>
      </c>
      <c r="AU286">
        <v>2017</v>
      </c>
      <c r="AV286">
        <v>9</v>
      </c>
      <c r="AW286" t="s">
        <v>74</v>
      </c>
      <c r="AX286" t="s">
        <v>74</v>
      </c>
      <c r="AY286" t="s">
        <v>74</v>
      </c>
      <c r="AZ286" t="s">
        <v>74</v>
      </c>
      <c r="BA286" t="s">
        <v>74</v>
      </c>
      <c r="BB286">
        <v>33</v>
      </c>
      <c r="BC286">
        <v>47</v>
      </c>
      <c r="BD286" t="s">
        <v>74</v>
      </c>
      <c r="BE286" t="s">
        <v>5617</v>
      </c>
      <c r="BF286" t="str">
        <f>HYPERLINK("http://dx.doi.org/10.1007/978-3-319-46343-8_4","http://dx.doi.org/10.1007/978-3-319-46343-8_4")</f>
        <v>http://dx.doi.org/10.1007/978-3-319-46343-8_4</v>
      </c>
      <c r="BG286" t="s">
        <v>5604</v>
      </c>
      <c r="BH286" t="s">
        <v>74</v>
      </c>
      <c r="BI286">
        <v>15</v>
      </c>
      <c r="BJ286" t="s">
        <v>5605</v>
      </c>
      <c r="BK286" t="s">
        <v>2084</v>
      </c>
      <c r="BL286" t="s">
        <v>5605</v>
      </c>
      <c r="BM286" t="s">
        <v>5606</v>
      </c>
      <c r="BN286" t="s">
        <v>74</v>
      </c>
      <c r="BO286" t="s">
        <v>74</v>
      </c>
      <c r="BP286" t="s">
        <v>74</v>
      </c>
      <c r="BQ286" t="s">
        <v>74</v>
      </c>
      <c r="BR286" t="s">
        <v>105</v>
      </c>
      <c r="BS286" t="s">
        <v>5618</v>
      </c>
      <c r="BT286" t="str">
        <f>HYPERLINK("https%3A%2F%2Fwww.webofscience.com%2Fwos%2Fwoscc%2Ffull-record%2FWOS:000416895300005","View Full Record in Web of Science")</f>
        <v>View Full Record in Web of Science</v>
      </c>
    </row>
    <row r="287" spans="1:72" x14ac:dyDescent="0.15">
      <c r="A287" t="s">
        <v>1921</v>
      </c>
      <c r="B287" t="s">
        <v>5619</v>
      </c>
      <c r="C287" t="s">
        <v>74</v>
      </c>
      <c r="D287" t="s">
        <v>5590</v>
      </c>
      <c r="E287" t="s">
        <v>74</v>
      </c>
      <c r="F287" t="s">
        <v>5620</v>
      </c>
      <c r="G287" t="s">
        <v>74</v>
      </c>
      <c r="H287" t="s">
        <v>74</v>
      </c>
      <c r="I287" t="s">
        <v>5621</v>
      </c>
      <c r="J287" t="s">
        <v>5593</v>
      </c>
      <c r="K287" t="s">
        <v>5594</v>
      </c>
      <c r="L287" t="s">
        <v>74</v>
      </c>
      <c r="M287" t="s">
        <v>78</v>
      </c>
      <c r="N287" t="s">
        <v>2067</v>
      </c>
      <c r="O287" t="s">
        <v>74</v>
      </c>
      <c r="P287" t="s">
        <v>74</v>
      </c>
      <c r="Q287" t="s">
        <v>74</v>
      </c>
      <c r="R287" t="s">
        <v>74</v>
      </c>
      <c r="S287" t="s">
        <v>74</v>
      </c>
      <c r="T287" t="s">
        <v>74</v>
      </c>
      <c r="U287" t="s">
        <v>5622</v>
      </c>
      <c r="V287" t="s">
        <v>74</v>
      </c>
      <c r="W287" t="s">
        <v>5623</v>
      </c>
      <c r="X287" t="s">
        <v>5624</v>
      </c>
      <c r="Y287" t="s">
        <v>5625</v>
      </c>
      <c r="Z287" t="s">
        <v>5626</v>
      </c>
      <c r="AA287" t="s">
        <v>5627</v>
      </c>
      <c r="AB287" t="s">
        <v>5628</v>
      </c>
      <c r="AC287" t="s">
        <v>74</v>
      </c>
      <c r="AD287" t="s">
        <v>74</v>
      </c>
      <c r="AE287" t="s">
        <v>74</v>
      </c>
      <c r="AF287" t="s">
        <v>74</v>
      </c>
      <c r="AG287">
        <v>91</v>
      </c>
      <c r="AH287">
        <v>21</v>
      </c>
      <c r="AI287">
        <v>23</v>
      </c>
      <c r="AJ287">
        <v>0</v>
      </c>
      <c r="AK287">
        <v>6</v>
      </c>
      <c r="AL287" t="s">
        <v>3497</v>
      </c>
      <c r="AM287" t="s">
        <v>3498</v>
      </c>
      <c r="AN287" t="s">
        <v>3499</v>
      </c>
      <c r="AO287" t="s">
        <v>5600</v>
      </c>
      <c r="AP287" t="s">
        <v>74</v>
      </c>
      <c r="AQ287" t="s">
        <v>5601</v>
      </c>
      <c r="AR287" t="s">
        <v>5602</v>
      </c>
      <c r="AS287" t="s">
        <v>74</v>
      </c>
      <c r="AT287" t="s">
        <v>74</v>
      </c>
      <c r="AU287">
        <v>2017</v>
      </c>
      <c r="AV287">
        <v>9</v>
      </c>
      <c r="AW287" t="s">
        <v>74</v>
      </c>
      <c r="AX287" t="s">
        <v>74</v>
      </c>
      <c r="AY287" t="s">
        <v>74</v>
      </c>
      <c r="AZ287" t="s">
        <v>74</v>
      </c>
      <c r="BA287" t="s">
        <v>74</v>
      </c>
      <c r="BB287">
        <v>49</v>
      </c>
      <c r="BC287">
        <v>75</v>
      </c>
      <c r="BD287" t="s">
        <v>74</v>
      </c>
      <c r="BE287" t="s">
        <v>5629</v>
      </c>
      <c r="BF287" t="str">
        <f>HYPERLINK("http://dx.doi.org/10.1007/978-3-319-46343-8_5","http://dx.doi.org/10.1007/978-3-319-46343-8_5")</f>
        <v>http://dx.doi.org/10.1007/978-3-319-46343-8_5</v>
      </c>
      <c r="BG287" t="s">
        <v>5604</v>
      </c>
      <c r="BH287" t="s">
        <v>74</v>
      </c>
      <c r="BI287">
        <v>27</v>
      </c>
      <c r="BJ287" t="s">
        <v>5605</v>
      </c>
      <c r="BK287" t="s">
        <v>2084</v>
      </c>
      <c r="BL287" t="s">
        <v>5605</v>
      </c>
      <c r="BM287" t="s">
        <v>5606</v>
      </c>
      <c r="BN287" t="s">
        <v>74</v>
      </c>
      <c r="BO287" t="s">
        <v>74</v>
      </c>
      <c r="BP287" t="s">
        <v>74</v>
      </c>
      <c r="BQ287" t="s">
        <v>74</v>
      </c>
      <c r="BR287" t="s">
        <v>105</v>
      </c>
      <c r="BS287" t="s">
        <v>5630</v>
      </c>
      <c r="BT287" t="str">
        <f>HYPERLINK("https%3A%2F%2Fwww.webofscience.com%2Fwos%2Fwoscc%2Ffull-record%2FWOS:000416895300006","View Full Record in Web of Science")</f>
        <v>View Full Record in Web of Science</v>
      </c>
    </row>
    <row r="288" spans="1:72" x14ac:dyDescent="0.15">
      <c r="A288" t="s">
        <v>1921</v>
      </c>
      <c r="B288" t="s">
        <v>5631</v>
      </c>
      <c r="C288" t="s">
        <v>74</v>
      </c>
      <c r="D288" t="s">
        <v>5590</v>
      </c>
      <c r="E288" t="s">
        <v>74</v>
      </c>
      <c r="F288" t="s">
        <v>5632</v>
      </c>
      <c r="G288" t="s">
        <v>74</v>
      </c>
      <c r="H288" t="s">
        <v>74</v>
      </c>
      <c r="I288" t="s">
        <v>5633</v>
      </c>
      <c r="J288" t="s">
        <v>5593</v>
      </c>
      <c r="K288" t="s">
        <v>5594</v>
      </c>
      <c r="L288" t="s">
        <v>74</v>
      </c>
      <c r="M288" t="s">
        <v>78</v>
      </c>
      <c r="N288" t="s">
        <v>2067</v>
      </c>
      <c r="O288" t="s">
        <v>74</v>
      </c>
      <c r="P288" t="s">
        <v>74</v>
      </c>
      <c r="Q288" t="s">
        <v>74</v>
      </c>
      <c r="R288" t="s">
        <v>74</v>
      </c>
      <c r="S288" t="s">
        <v>74</v>
      </c>
      <c r="T288" t="s">
        <v>74</v>
      </c>
      <c r="U288" t="s">
        <v>5634</v>
      </c>
      <c r="V288" t="s">
        <v>74</v>
      </c>
      <c r="W288" t="s">
        <v>5635</v>
      </c>
      <c r="X288" t="s">
        <v>5636</v>
      </c>
      <c r="Y288" t="s">
        <v>5637</v>
      </c>
      <c r="Z288" t="s">
        <v>5638</v>
      </c>
      <c r="AA288" t="s">
        <v>74</v>
      </c>
      <c r="AB288" t="s">
        <v>74</v>
      </c>
      <c r="AC288" t="s">
        <v>74</v>
      </c>
      <c r="AD288" t="s">
        <v>74</v>
      </c>
      <c r="AE288" t="s">
        <v>74</v>
      </c>
      <c r="AF288" t="s">
        <v>74</v>
      </c>
      <c r="AG288">
        <v>93</v>
      </c>
      <c r="AH288">
        <v>9</v>
      </c>
      <c r="AI288">
        <v>13</v>
      </c>
      <c r="AJ288">
        <v>0</v>
      </c>
      <c r="AK288">
        <v>2</v>
      </c>
      <c r="AL288" t="s">
        <v>3497</v>
      </c>
      <c r="AM288" t="s">
        <v>3498</v>
      </c>
      <c r="AN288" t="s">
        <v>3499</v>
      </c>
      <c r="AO288" t="s">
        <v>5600</v>
      </c>
      <c r="AP288" t="s">
        <v>74</v>
      </c>
      <c r="AQ288" t="s">
        <v>5601</v>
      </c>
      <c r="AR288" t="s">
        <v>5602</v>
      </c>
      <c r="AS288" t="s">
        <v>74</v>
      </c>
      <c r="AT288" t="s">
        <v>74</v>
      </c>
      <c r="AU288">
        <v>2017</v>
      </c>
      <c r="AV288">
        <v>9</v>
      </c>
      <c r="AW288" t="s">
        <v>74</v>
      </c>
      <c r="AX288" t="s">
        <v>74</v>
      </c>
      <c r="AY288" t="s">
        <v>74</v>
      </c>
      <c r="AZ288" t="s">
        <v>74</v>
      </c>
      <c r="BA288" t="s">
        <v>74</v>
      </c>
      <c r="BB288">
        <v>77</v>
      </c>
      <c r="BC288">
        <v>107</v>
      </c>
      <c r="BD288" t="s">
        <v>74</v>
      </c>
      <c r="BE288" t="s">
        <v>5639</v>
      </c>
      <c r="BF288" t="str">
        <f>HYPERLINK("http://dx.doi.org/10.1007/978-3-319-46343-8_6","http://dx.doi.org/10.1007/978-3-319-46343-8_6")</f>
        <v>http://dx.doi.org/10.1007/978-3-319-46343-8_6</v>
      </c>
      <c r="BG288" t="s">
        <v>5604</v>
      </c>
      <c r="BH288" t="s">
        <v>74</v>
      </c>
      <c r="BI288">
        <v>31</v>
      </c>
      <c r="BJ288" t="s">
        <v>5605</v>
      </c>
      <c r="BK288" t="s">
        <v>2084</v>
      </c>
      <c r="BL288" t="s">
        <v>5605</v>
      </c>
      <c r="BM288" t="s">
        <v>5606</v>
      </c>
      <c r="BN288" t="s">
        <v>74</v>
      </c>
      <c r="BO288" t="s">
        <v>74</v>
      </c>
      <c r="BP288" t="s">
        <v>74</v>
      </c>
      <c r="BQ288" t="s">
        <v>74</v>
      </c>
      <c r="BR288" t="s">
        <v>105</v>
      </c>
      <c r="BS288" t="s">
        <v>5640</v>
      </c>
      <c r="BT288" t="str">
        <f>HYPERLINK("https%3A%2F%2Fwww.webofscience.com%2Fwos%2Fwoscc%2Ffull-record%2FWOS:000416895300007","View Full Record in Web of Science")</f>
        <v>View Full Record in Web of Science</v>
      </c>
    </row>
    <row r="289" spans="1:72" x14ac:dyDescent="0.15">
      <c r="A289" t="s">
        <v>1921</v>
      </c>
      <c r="B289" t="s">
        <v>5641</v>
      </c>
      <c r="C289" t="s">
        <v>74</v>
      </c>
      <c r="D289" t="s">
        <v>5590</v>
      </c>
      <c r="E289" t="s">
        <v>74</v>
      </c>
      <c r="F289" t="s">
        <v>5642</v>
      </c>
      <c r="G289" t="s">
        <v>74</v>
      </c>
      <c r="H289" t="s">
        <v>74</v>
      </c>
      <c r="I289" t="s">
        <v>5643</v>
      </c>
      <c r="J289" t="s">
        <v>5593</v>
      </c>
      <c r="K289" t="s">
        <v>5594</v>
      </c>
      <c r="L289" t="s">
        <v>74</v>
      </c>
      <c r="M289" t="s">
        <v>78</v>
      </c>
      <c r="N289" t="s">
        <v>2067</v>
      </c>
      <c r="O289" t="s">
        <v>74</v>
      </c>
      <c r="P289" t="s">
        <v>74</v>
      </c>
      <c r="Q289" t="s">
        <v>74</v>
      </c>
      <c r="R289" t="s">
        <v>74</v>
      </c>
      <c r="S289" t="s">
        <v>74</v>
      </c>
      <c r="T289" t="s">
        <v>74</v>
      </c>
      <c r="U289" t="s">
        <v>5644</v>
      </c>
      <c r="V289" t="s">
        <v>74</v>
      </c>
      <c r="W289" t="s">
        <v>5645</v>
      </c>
      <c r="X289" t="s">
        <v>5646</v>
      </c>
      <c r="Y289" t="s">
        <v>5647</v>
      </c>
      <c r="Z289" t="s">
        <v>5648</v>
      </c>
      <c r="AA289" t="s">
        <v>5649</v>
      </c>
      <c r="AB289" t="s">
        <v>5650</v>
      </c>
      <c r="AC289" t="s">
        <v>74</v>
      </c>
      <c r="AD289" t="s">
        <v>74</v>
      </c>
      <c r="AE289" t="s">
        <v>74</v>
      </c>
      <c r="AF289" t="s">
        <v>74</v>
      </c>
      <c r="AG289">
        <v>81</v>
      </c>
      <c r="AH289">
        <v>9</v>
      </c>
      <c r="AI289">
        <v>13</v>
      </c>
      <c r="AJ289">
        <v>0</v>
      </c>
      <c r="AK289">
        <v>0</v>
      </c>
      <c r="AL289" t="s">
        <v>3497</v>
      </c>
      <c r="AM289" t="s">
        <v>3498</v>
      </c>
      <c r="AN289" t="s">
        <v>3499</v>
      </c>
      <c r="AO289" t="s">
        <v>5600</v>
      </c>
      <c r="AP289" t="s">
        <v>74</v>
      </c>
      <c r="AQ289" t="s">
        <v>5601</v>
      </c>
      <c r="AR289" t="s">
        <v>5602</v>
      </c>
      <c r="AS289" t="s">
        <v>74</v>
      </c>
      <c r="AT289" t="s">
        <v>74</v>
      </c>
      <c r="AU289">
        <v>2017</v>
      </c>
      <c r="AV289">
        <v>9</v>
      </c>
      <c r="AW289" t="s">
        <v>74</v>
      </c>
      <c r="AX289" t="s">
        <v>74</v>
      </c>
      <c r="AY289" t="s">
        <v>74</v>
      </c>
      <c r="AZ289" t="s">
        <v>74</v>
      </c>
      <c r="BA289" t="s">
        <v>74</v>
      </c>
      <c r="BB289">
        <v>141</v>
      </c>
      <c r="BC289">
        <v>182</v>
      </c>
      <c r="BD289" t="s">
        <v>74</v>
      </c>
      <c r="BE289" t="s">
        <v>5651</v>
      </c>
      <c r="BF289" t="str">
        <f>HYPERLINK("http://dx.doi.org/10.1007/978-3-319-46343-8_8","http://dx.doi.org/10.1007/978-3-319-46343-8_8")</f>
        <v>http://dx.doi.org/10.1007/978-3-319-46343-8_8</v>
      </c>
      <c r="BG289" t="s">
        <v>5604</v>
      </c>
      <c r="BH289" t="s">
        <v>74</v>
      </c>
      <c r="BI289">
        <v>42</v>
      </c>
      <c r="BJ289" t="s">
        <v>5605</v>
      </c>
      <c r="BK289" t="s">
        <v>2084</v>
      </c>
      <c r="BL289" t="s">
        <v>5605</v>
      </c>
      <c r="BM289" t="s">
        <v>5606</v>
      </c>
      <c r="BN289" t="s">
        <v>74</v>
      </c>
      <c r="BO289" t="s">
        <v>74</v>
      </c>
      <c r="BP289" t="s">
        <v>74</v>
      </c>
      <c r="BQ289" t="s">
        <v>74</v>
      </c>
      <c r="BR289" t="s">
        <v>105</v>
      </c>
      <c r="BS289" t="s">
        <v>5652</v>
      </c>
      <c r="BT289" t="str">
        <f>HYPERLINK("https%3A%2F%2Fwww.webofscience.com%2Fwos%2Fwoscc%2Ffull-record%2FWOS:000416895300009","View Full Record in Web of Science")</f>
        <v>View Full Record in Web of Science</v>
      </c>
    </row>
    <row r="290" spans="1:72" x14ac:dyDescent="0.15">
      <c r="A290" t="s">
        <v>1921</v>
      </c>
      <c r="B290" t="s">
        <v>5653</v>
      </c>
      <c r="C290" t="s">
        <v>74</v>
      </c>
      <c r="D290" t="s">
        <v>5590</v>
      </c>
      <c r="E290" t="s">
        <v>74</v>
      </c>
      <c r="F290" t="s">
        <v>5654</v>
      </c>
      <c r="G290" t="s">
        <v>74</v>
      </c>
      <c r="H290" t="s">
        <v>74</v>
      </c>
      <c r="I290" t="s">
        <v>5655</v>
      </c>
      <c r="J290" t="s">
        <v>5593</v>
      </c>
      <c r="K290" t="s">
        <v>5594</v>
      </c>
      <c r="L290" t="s">
        <v>74</v>
      </c>
      <c r="M290" t="s">
        <v>78</v>
      </c>
      <c r="N290" t="s">
        <v>2067</v>
      </c>
      <c r="O290" t="s">
        <v>74</v>
      </c>
      <c r="P290" t="s">
        <v>74</v>
      </c>
      <c r="Q290" t="s">
        <v>74</v>
      </c>
      <c r="R290" t="s">
        <v>74</v>
      </c>
      <c r="S290" t="s">
        <v>74</v>
      </c>
      <c r="T290" t="s">
        <v>74</v>
      </c>
      <c r="U290" t="s">
        <v>5656</v>
      </c>
      <c r="V290" t="s">
        <v>74</v>
      </c>
      <c r="W290" t="s">
        <v>5657</v>
      </c>
      <c r="X290" t="s">
        <v>5658</v>
      </c>
      <c r="Y290" t="s">
        <v>5659</v>
      </c>
      <c r="Z290" t="s">
        <v>5660</v>
      </c>
      <c r="AA290" t="s">
        <v>5661</v>
      </c>
      <c r="AB290" t="s">
        <v>5662</v>
      </c>
      <c r="AC290" t="s">
        <v>74</v>
      </c>
      <c r="AD290" t="s">
        <v>74</v>
      </c>
      <c r="AE290" t="s">
        <v>74</v>
      </c>
      <c r="AF290" t="s">
        <v>74</v>
      </c>
      <c r="AG290">
        <v>110</v>
      </c>
      <c r="AH290">
        <v>8</v>
      </c>
      <c r="AI290">
        <v>8</v>
      </c>
      <c r="AJ290">
        <v>0</v>
      </c>
      <c r="AK290">
        <v>3</v>
      </c>
      <c r="AL290" t="s">
        <v>3497</v>
      </c>
      <c r="AM290" t="s">
        <v>3498</v>
      </c>
      <c r="AN290" t="s">
        <v>3499</v>
      </c>
      <c r="AO290" t="s">
        <v>5600</v>
      </c>
      <c r="AP290" t="s">
        <v>74</v>
      </c>
      <c r="AQ290" t="s">
        <v>5601</v>
      </c>
      <c r="AR290" t="s">
        <v>5602</v>
      </c>
      <c r="AS290" t="s">
        <v>74</v>
      </c>
      <c r="AT290" t="s">
        <v>74</v>
      </c>
      <c r="AU290">
        <v>2017</v>
      </c>
      <c r="AV290">
        <v>9</v>
      </c>
      <c r="AW290" t="s">
        <v>74</v>
      </c>
      <c r="AX290" t="s">
        <v>74</v>
      </c>
      <c r="AY290" t="s">
        <v>74</v>
      </c>
      <c r="AZ290" t="s">
        <v>74</v>
      </c>
      <c r="BA290" t="s">
        <v>74</v>
      </c>
      <c r="BB290">
        <v>183</v>
      </c>
      <c r="BC290">
        <v>204</v>
      </c>
      <c r="BD290" t="s">
        <v>74</v>
      </c>
      <c r="BE290" t="s">
        <v>5663</v>
      </c>
      <c r="BF290" t="str">
        <f>HYPERLINK("http://dx.doi.org/10.1007/978-3-319-46343-8_9","http://dx.doi.org/10.1007/978-3-319-46343-8_9")</f>
        <v>http://dx.doi.org/10.1007/978-3-319-46343-8_9</v>
      </c>
      <c r="BG290" t="s">
        <v>5604</v>
      </c>
      <c r="BH290" t="s">
        <v>74</v>
      </c>
      <c r="BI290">
        <v>22</v>
      </c>
      <c r="BJ290" t="s">
        <v>5605</v>
      </c>
      <c r="BK290" t="s">
        <v>2084</v>
      </c>
      <c r="BL290" t="s">
        <v>5605</v>
      </c>
      <c r="BM290" t="s">
        <v>5606</v>
      </c>
      <c r="BN290" t="s">
        <v>74</v>
      </c>
      <c r="BO290" t="s">
        <v>506</v>
      </c>
      <c r="BP290" t="s">
        <v>74</v>
      </c>
      <c r="BQ290" t="s">
        <v>74</v>
      </c>
      <c r="BR290" t="s">
        <v>105</v>
      </c>
      <c r="BS290" t="s">
        <v>5664</v>
      </c>
      <c r="BT290" t="str">
        <f>HYPERLINK("https%3A%2F%2Fwww.webofscience.com%2Fwos%2Fwoscc%2Ffull-record%2FWOS:000416895300010","View Full Record in Web of Science")</f>
        <v>View Full Record in Web of Science</v>
      </c>
    </row>
    <row r="291" spans="1:72" x14ac:dyDescent="0.15">
      <c r="A291" t="s">
        <v>1921</v>
      </c>
      <c r="B291" t="s">
        <v>5665</v>
      </c>
      <c r="C291" t="s">
        <v>74</v>
      </c>
      <c r="D291" t="s">
        <v>5590</v>
      </c>
      <c r="E291" t="s">
        <v>74</v>
      </c>
      <c r="F291" t="s">
        <v>5666</v>
      </c>
      <c r="G291" t="s">
        <v>74</v>
      </c>
      <c r="H291" t="s">
        <v>74</v>
      </c>
      <c r="I291" t="s">
        <v>5667</v>
      </c>
      <c r="J291" t="s">
        <v>5593</v>
      </c>
      <c r="K291" t="s">
        <v>5594</v>
      </c>
      <c r="L291" t="s">
        <v>74</v>
      </c>
      <c r="M291" t="s">
        <v>78</v>
      </c>
      <c r="N291" t="s">
        <v>2067</v>
      </c>
      <c r="O291" t="s">
        <v>74</v>
      </c>
      <c r="P291" t="s">
        <v>74</v>
      </c>
      <c r="Q291" t="s">
        <v>74</v>
      </c>
      <c r="R291" t="s">
        <v>74</v>
      </c>
      <c r="S291" t="s">
        <v>74</v>
      </c>
      <c r="T291" t="s">
        <v>74</v>
      </c>
      <c r="U291" t="s">
        <v>5668</v>
      </c>
      <c r="V291" t="s">
        <v>74</v>
      </c>
      <c r="W291" t="s">
        <v>5669</v>
      </c>
      <c r="X291" t="s">
        <v>5670</v>
      </c>
      <c r="Y291" t="s">
        <v>5671</v>
      </c>
      <c r="Z291" t="s">
        <v>5672</v>
      </c>
      <c r="AA291" t="s">
        <v>74</v>
      </c>
      <c r="AB291" t="s">
        <v>74</v>
      </c>
      <c r="AC291" t="s">
        <v>74</v>
      </c>
      <c r="AD291" t="s">
        <v>74</v>
      </c>
      <c r="AE291" t="s">
        <v>74</v>
      </c>
      <c r="AF291" t="s">
        <v>74</v>
      </c>
      <c r="AG291">
        <v>39</v>
      </c>
      <c r="AH291">
        <v>0</v>
      </c>
      <c r="AI291">
        <v>0</v>
      </c>
      <c r="AJ291">
        <v>0</v>
      </c>
      <c r="AK291">
        <v>2</v>
      </c>
      <c r="AL291" t="s">
        <v>3497</v>
      </c>
      <c r="AM291" t="s">
        <v>3498</v>
      </c>
      <c r="AN291" t="s">
        <v>3499</v>
      </c>
      <c r="AO291" t="s">
        <v>5600</v>
      </c>
      <c r="AP291" t="s">
        <v>74</v>
      </c>
      <c r="AQ291" t="s">
        <v>5601</v>
      </c>
      <c r="AR291" t="s">
        <v>5602</v>
      </c>
      <c r="AS291" t="s">
        <v>74</v>
      </c>
      <c r="AT291" t="s">
        <v>74</v>
      </c>
      <c r="AU291">
        <v>2017</v>
      </c>
      <c r="AV291">
        <v>9</v>
      </c>
      <c r="AW291" t="s">
        <v>74</v>
      </c>
      <c r="AX291" t="s">
        <v>74</v>
      </c>
      <c r="AY291" t="s">
        <v>74</v>
      </c>
      <c r="AZ291" t="s">
        <v>74</v>
      </c>
      <c r="BA291" t="s">
        <v>74</v>
      </c>
      <c r="BB291">
        <v>205</v>
      </c>
      <c r="BC291">
        <v>215</v>
      </c>
      <c r="BD291" t="s">
        <v>74</v>
      </c>
      <c r="BE291" t="s">
        <v>5673</v>
      </c>
      <c r="BF291" t="str">
        <f>HYPERLINK("http://dx.doi.org/10.1007/978-3-319-46343-8_10","http://dx.doi.org/10.1007/978-3-319-46343-8_10")</f>
        <v>http://dx.doi.org/10.1007/978-3-319-46343-8_10</v>
      </c>
      <c r="BG291" t="s">
        <v>5604</v>
      </c>
      <c r="BH291" t="s">
        <v>74</v>
      </c>
      <c r="BI291">
        <v>11</v>
      </c>
      <c r="BJ291" t="s">
        <v>5605</v>
      </c>
      <c r="BK291" t="s">
        <v>2084</v>
      </c>
      <c r="BL291" t="s">
        <v>5605</v>
      </c>
      <c r="BM291" t="s">
        <v>5606</v>
      </c>
      <c r="BN291" t="s">
        <v>74</v>
      </c>
      <c r="BO291" t="s">
        <v>74</v>
      </c>
      <c r="BP291" t="s">
        <v>74</v>
      </c>
      <c r="BQ291" t="s">
        <v>74</v>
      </c>
      <c r="BR291" t="s">
        <v>105</v>
      </c>
      <c r="BS291" t="s">
        <v>5674</v>
      </c>
      <c r="BT291" t="str">
        <f>HYPERLINK("https%3A%2F%2Fwww.webofscience.com%2Fwos%2Fwoscc%2Ffull-record%2FWOS:000416895300011","View Full Record in Web of Science")</f>
        <v>View Full Record in Web of Science</v>
      </c>
    </row>
    <row r="292" spans="1:72" x14ac:dyDescent="0.15">
      <c r="A292" t="s">
        <v>72</v>
      </c>
      <c r="B292" t="s">
        <v>5675</v>
      </c>
      <c r="C292" t="s">
        <v>74</v>
      </c>
      <c r="D292" t="s">
        <v>74</v>
      </c>
      <c r="E292" t="s">
        <v>74</v>
      </c>
      <c r="F292" t="s">
        <v>5676</v>
      </c>
      <c r="G292" t="s">
        <v>74</v>
      </c>
      <c r="H292" t="s">
        <v>74</v>
      </c>
      <c r="I292" t="s">
        <v>5677</v>
      </c>
      <c r="J292" t="s">
        <v>5678</v>
      </c>
      <c r="K292" t="s">
        <v>74</v>
      </c>
      <c r="L292" t="s">
        <v>74</v>
      </c>
      <c r="M292" t="s">
        <v>78</v>
      </c>
      <c r="N292" t="s">
        <v>79</v>
      </c>
      <c r="O292" t="s">
        <v>74</v>
      </c>
      <c r="P292" t="s">
        <v>74</v>
      </c>
      <c r="Q292" t="s">
        <v>74</v>
      </c>
      <c r="R292" t="s">
        <v>74</v>
      </c>
      <c r="S292" t="s">
        <v>74</v>
      </c>
      <c r="T292" t="s">
        <v>74</v>
      </c>
      <c r="U292" t="s">
        <v>5679</v>
      </c>
      <c r="V292" t="s">
        <v>5680</v>
      </c>
      <c r="W292" t="s">
        <v>5681</v>
      </c>
      <c r="X292" t="s">
        <v>5682</v>
      </c>
      <c r="Y292" t="s">
        <v>5683</v>
      </c>
      <c r="Z292" t="s">
        <v>5684</v>
      </c>
      <c r="AA292" t="s">
        <v>5685</v>
      </c>
      <c r="AB292" t="s">
        <v>5686</v>
      </c>
      <c r="AC292" t="s">
        <v>5687</v>
      </c>
      <c r="AD292" t="s">
        <v>5688</v>
      </c>
      <c r="AE292" t="s">
        <v>5689</v>
      </c>
      <c r="AF292" t="s">
        <v>74</v>
      </c>
      <c r="AG292">
        <v>69</v>
      </c>
      <c r="AH292">
        <v>5</v>
      </c>
      <c r="AI292">
        <v>5</v>
      </c>
      <c r="AJ292">
        <v>1</v>
      </c>
      <c r="AK292">
        <v>12</v>
      </c>
      <c r="AL292" t="s">
        <v>2103</v>
      </c>
      <c r="AM292" t="s">
        <v>2104</v>
      </c>
      <c r="AN292" t="s">
        <v>2105</v>
      </c>
      <c r="AO292" t="s">
        <v>5690</v>
      </c>
      <c r="AP292" t="s">
        <v>5691</v>
      </c>
      <c r="AQ292" t="s">
        <v>74</v>
      </c>
      <c r="AR292" t="s">
        <v>5692</v>
      </c>
      <c r="AS292" t="s">
        <v>5693</v>
      </c>
      <c r="AT292" t="s">
        <v>74</v>
      </c>
      <c r="AU292">
        <v>2017</v>
      </c>
      <c r="AV292">
        <v>80</v>
      </c>
      <c r="AW292" t="s">
        <v>5694</v>
      </c>
      <c r="AX292" t="s">
        <v>74</v>
      </c>
      <c r="AY292" t="s">
        <v>74</v>
      </c>
      <c r="AZ292" t="s">
        <v>74</v>
      </c>
      <c r="BA292" t="s">
        <v>74</v>
      </c>
      <c r="BB292">
        <v>916</v>
      </c>
      <c r="BC292">
        <v>931</v>
      </c>
      <c r="BD292" t="s">
        <v>74</v>
      </c>
      <c r="BE292" t="s">
        <v>5695</v>
      </c>
      <c r="BF292" t="str">
        <f>HYPERLINK("http://dx.doi.org/10.1080/15287394.2017.1352204","http://dx.doi.org/10.1080/15287394.2017.1352204")</f>
        <v>http://dx.doi.org/10.1080/15287394.2017.1352204</v>
      </c>
      <c r="BG292" t="s">
        <v>74</v>
      </c>
      <c r="BH292" t="s">
        <v>74</v>
      </c>
      <c r="BI292">
        <v>16</v>
      </c>
      <c r="BJ292" t="s">
        <v>5696</v>
      </c>
      <c r="BK292" t="s">
        <v>101</v>
      </c>
      <c r="BL292" t="s">
        <v>5697</v>
      </c>
      <c r="BM292" t="s">
        <v>5698</v>
      </c>
      <c r="BN292">
        <v>28849995</v>
      </c>
      <c r="BO292" t="s">
        <v>74</v>
      </c>
      <c r="BP292" t="s">
        <v>74</v>
      </c>
      <c r="BQ292" t="s">
        <v>74</v>
      </c>
      <c r="BR292" t="s">
        <v>105</v>
      </c>
      <c r="BS292" t="s">
        <v>5699</v>
      </c>
      <c r="BT292" t="str">
        <f>HYPERLINK("https%3A%2F%2Fwww.webofscience.com%2Fwos%2Fwoscc%2Ffull-record%2FWOS:000416346600010","View Full Record in Web of Science")</f>
        <v>View Full Record in Web of Science</v>
      </c>
    </row>
    <row r="293" spans="1:72" x14ac:dyDescent="0.15">
      <c r="A293" t="s">
        <v>72</v>
      </c>
      <c r="B293" t="s">
        <v>5700</v>
      </c>
      <c r="C293" t="s">
        <v>74</v>
      </c>
      <c r="D293" t="s">
        <v>74</v>
      </c>
      <c r="E293" t="s">
        <v>74</v>
      </c>
      <c r="F293" t="s">
        <v>5701</v>
      </c>
      <c r="G293" t="s">
        <v>74</v>
      </c>
      <c r="H293" t="s">
        <v>74</v>
      </c>
      <c r="I293" t="s">
        <v>5702</v>
      </c>
      <c r="J293" t="s">
        <v>2776</v>
      </c>
      <c r="K293" t="s">
        <v>74</v>
      </c>
      <c r="L293" t="s">
        <v>74</v>
      </c>
      <c r="M293" t="s">
        <v>78</v>
      </c>
      <c r="N293" t="s">
        <v>79</v>
      </c>
      <c r="O293" t="s">
        <v>74</v>
      </c>
      <c r="P293" t="s">
        <v>74</v>
      </c>
      <c r="Q293" t="s">
        <v>74</v>
      </c>
      <c r="R293" t="s">
        <v>74</v>
      </c>
      <c r="S293" t="s">
        <v>74</v>
      </c>
      <c r="T293" t="s">
        <v>5703</v>
      </c>
      <c r="U293" t="s">
        <v>5704</v>
      </c>
      <c r="V293" t="s">
        <v>5705</v>
      </c>
      <c r="W293" t="s">
        <v>5706</v>
      </c>
      <c r="X293" t="s">
        <v>5707</v>
      </c>
      <c r="Y293" t="s">
        <v>5708</v>
      </c>
      <c r="Z293" t="s">
        <v>5709</v>
      </c>
      <c r="AA293" t="s">
        <v>74</v>
      </c>
      <c r="AB293" t="s">
        <v>5710</v>
      </c>
      <c r="AC293" t="s">
        <v>5711</v>
      </c>
      <c r="AD293" t="s">
        <v>5712</v>
      </c>
      <c r="AE293" t="s">
        <v>5713</v>
      </c>
      <c r="AF293" t="s">
        <v>74</v>
      </c>
      <c r="AG293">
        <v>71</v>
      </c>
      <c r="AH293">
        <v>10</v>
      </c>
      <c r="AI293">
        <v>11</v>
      </c>
      <c r="AJ293">
        <v>3</v>
      </c>
      <c r="AK293">
        <v>20</v>
      </c>
      <c r="AL293" t="s">
        <v>2276</v>
      </c>
      <c r="AM293" t="s">
        <v>2277</v>
      </c>
      <c r="AN293" t="s">
        <v>2278</v>
      </c>
      <c r="AO293" t="s">
        <v>2789</v>
      </c>
      <c r="AP293" t="s">
        <v>2790</v>
      </c>
      <c r="AQ293" t="s">
        <v>74</v>
      </c>
      <c r="AR293" t="s">
        <v>2791</v>
      </c>
      <c r="AS293" t="s">
        <v>2792</v>
      </c>
      <c r="AT293" t="s">
        <v>74</v>
      </c>
      <c r="AU293">
        <v>2017</v>
      </c>
      <c r="AV293">
        <v>68</v>
      </c>
      <c r="AW293">
        <v>12</v>
      </c>
      <c r="AX293" t="s">
        <v>74</v>
      </c>
      <c r="AY293" t="s">
        <v>74</v>
      </c>
      <c r="AZ293" t="s">
        <v>74</v>
      </c>
      <c r="BA293" t="s">
        <v>74</v>
      </c>
      <c r="BB293">
        <v>2355</v>
      </c>
      <c r="BC293">
        <v>2365</v>
      </c>
      <c r="BD293" t="s">
        <v>74</v>
      </c>
      <c r="BE293" t="s">
        <v>5714</v>
      </c>
      <c r="BF293" t="str">
        <f>HYPERLINK("http://dx.doi.org/10.1071/MF17023","http://dx.doi.org/10.1071/MF17023")</f>
        <v>http://dx.doi.org/10.1071/MF17023</v>
      </c>
      <c r="BG293" t="s">
        <v>74</v>
      </c>
      <c r="BH293" t="s">
        <v>74</v>
      </c>
      <c r="BI293">
        <v>11</v>
      </c>
      <c r="BJ293" t="s">
        <v>2794</v>
      </c>
      <c r="BK293" t="s">
        <v>101</v>
      </c>
      <c r="BL293" t="s">
        <v>2795</v>
      </c>
      <c r="BM293" t="s">
        <v>2832</v>
      </c>
      <c r="BN293" t="s">
        <v>74</v>
      </c>
      <c r="BO293" t="s">
        <v>74</v>
      </c>
      <c r="BP293" t="s">
        <v>74</v>
      </c>
      <c r="BQ293" t="s">
        <v>74</v>
      </c>
      <c r="BR293" t="s">
        <v>105</v>
      </c>
      <c r="BS293" t="s">
        <v>5715</v>
      </c>
      <c r="BT293" t="str">
        <f>HYPERLINK("https%3A%2F%2Fwww.webofscience.com%2Fwos%2Fwoscc%2Ffull-record%2FWOS:000416334800017","View Full Record in Web of Science")</f>
        <v>View Full Record in Web of Science</v>
      </c>
    </row>
    <row r="294" spans="1:72" x14ac:dyDescent="0.15">
      <c r="A294" t="s">
        <v>1921</v>
      </c>
      <c r="B294" t="s">
        <v>5716</v>
      </c>
      <c r="C294" t="s">
        <v>5716</v>
      </c>
      <c r="D294" t="s">
        <v>74</v>
      </c>
      <c r="E294" t="s">
        <v>74</v>
      </c>
      <c r="F294" t="s">
        <v>5717</v>
      </c>
      <c r="G294" t="s">
        <v>5716</v>
      </c>
      <c r="H294" t="s">
        <v>74</v>
      </c>
      <c r="I294" t="s">
        <v>5718</v>
      </c>
      <c r="J294" t="s">
        <v>5719</v>
      </c>
      <c r="K294" t="s">
        <v>5720</v>
      </c>
      <c r="L294" t="s">
        <v>74</v>
      </c>
      <c r="M294" t="s">
        <v>3657</v>
      </c>
      <c r="N294" t="s">
        <v>2067</v>
      </c>
      <c r="O294" t="s">
        <v>74</v>
      </c>
      <c r="P294" t="s">
        <v>74</v>
      </c>
      <c r="Q294" t="s">
        <v>74</v>
      </c>
      <c r="R294" t="s">
        <v>74</v>
      </c>
      <c r="S294" t="s">
        <v>74</v>
      </c>
      <c r="T294" t="s">
        <v>74</v>
      </c>
      <c r="U294" t="s">
        <v>74</v>
      </c>
      <c r="V294" t="s">
        <v>74</v>
      </c>
      <c r="W294" t="s">
        <v>74</v>
      </c>
      <c r="X294" t="s">
        <v>74</v>
      </c>
      <c r="Y294" t="s">
        <v>74</v>
      </c>
      <c r="Z294" t="s">
        <v>74</v>
      </c>
      <c r="AA294" t="s">
        <v>74</v>
      </c>
      <c r="AB294" t="s">
        <v>74</v>
      </c>
      <c r="AC294" t="s">
        <v>74</v>
      </c>
      <c r="AD294" t="s">
        <v>74</v>
      </c>
      <c r="AE294" t="s">
        <v>74</v>
      </c>
      <c r="AF294" t="s">
        <v>74</v>
      </c>
      <c r="AG294">
        <v>0</v>
      </c>
      <c r="AH294">
        <v>0</v>
      </c>
      <c r="AI294">
        <v>0</v>
      </c>
      <c r="AJ294">
        <v>0</v>
      </c>
      <c r="AK294">
        <v>2</v>
      </c>
      <c r="AL294" t="s">
        <v>5721</v>
      </c>
      <c r="AM294" t="s">
        <v>5722</v>
      </c>
      <c r="AN294" t="s">
        <v>5723</v>
      </c>
      <c r="AO294" t="s">
        <v>5724</v>
      </c>
      <c r="AP294" t="s">
        <v>74</v>
      </c>
      <c r="AQ294" t="s">
        <v>5725</v>
      </c>
      <c r="AR294" t="s">
        <v>5726</v>
      </c>
      <c r="AS294" t="s">
        <v>74</v>
      </c>
      <c r="AT294" t="s">
        <v>74</v>
      </c>
      <c r="AU294">
        <v>2017</v>
      </c>
      <c r="AV294" t="s">
        <v>74</v>
      </c>
      <c r="AW294" t="s">
        <v>74</v>
      </c>
      <c r="AX294" t="s">
        <v>74</v>
      </c>
      <c r="AY294" t="s">
        <v>74</v>
      </c>
      <c r="AZ294" t="s">
        <v>74</v>
      </c>
      <c r="BA294" t="s">
        <v>74</v>
      </c>
      <c r="BB294">
        <v>75</v>
      </c>
      <c r="BC294">
        <v>127</v>
      </c>
      <c r="BD294" t="s">
        <v>74</v>
      </c>
      <c r="BE294" t="s">
        <v>74</v>
      </c>
      <c r="BF294" t="s">
        <v>74</v>
      </c>
      <c r="BG294" t="s">
        <v>5727</v>
      </c>
      <c r="BH294" t="s">
        <v>74</v>
      </c>
      <c r="BI294">
        <v>53</v>
      </c>
      <c r="BJ294" t="s">
        <v>1917</v>
      </c>
      <c r="BK294" t="s">
        <v>3409</v>
      </c>
      <c r="BL294" t="s">
        <v>1917</v>
      </c>
      <c r="BM294" t="s">
        <v>5728</v>
      </c>
      <c r="BN294" t="s">
        <v>74</v>
      </c>
      <c r="BO294" t="s">
        <v>74</v>
      </c>
      <c r="BP294" t="s">
        <v>74</v>
      </c>
      <c r="BQ294" t="s">
        <v>74</v>
      </c>
      <c r="BR294" t="s">
        <v>105</v>
      </c>
      <c r="BS294" t="s">
        <v>5729</v>
      </c>
      <c r="BT294" t="str">
        <f>HYPERLINK("https%3A%2F%2Fwww.webofscience.com%2Fwos%2Fwoscc%2Ffull-record%2FWOS:000416671400004","View Full Record in Web of Science")</f>
        <v>View Full Record in Web of Science</v>
      </c>
    </row>
    <row r="295" spans="1:72" x14ac:dyDescent="0.15">
      <c r="A295" t="s">
        <v>72</v>
      </c>
      <c r="B295" t="s">
        <v>5730</v>
      </c>
      <c r="C295" t="s">
        <v>74</v>
      </c>
      <c r="D295" t="s">
        <v>74</v>
      </c>
      <c r="E295" t="s">
        <v>74</v>
      </c>
      <c r="F295" t="s">
        <v>5731</v>
      </c>
      <c r="G295" t="s">
        <v>74</v>
      </c>
      <c r="H295" t="s">
        <v>74</v>
      </c>
      <c r="I295" t="s">
        <v>5732</v>
      </c>
      <c r="J295" t="s">
        <v>5733</v>
      </c>
      <c r="K295" t="s">
        <v>74</v>
      </c>
      <c r="L295" t="s">
        <v>74</v>
      </c>
      <c r="M295" t="s">
        <v>78</v>
      </c>
      <c r="N295" t="s">
        <v>79</v>
      </c>
      <c r="O295" t="s">
        <v>74</v>
      </c>
      <c r="P295" t="s">
        <v>74</v>
      </c>
      <c r="Q295" t="s">
        <v>74</v>
      </c>
      <c r="R295" t="s">
        <v>74</v>
      </c>
      <c r="S295" t="s">
        <v>74</v>
      </c>
      <c r="T295" t="s">
        <v>5734</v>
      </c>
      <c r="U295" t="s">
        <v>74</v>
      </c>
      <c r="V295" t="s">
        <v>5735</v>
      </c>
      <c r="W295" t="s">
        <v>5736</v>
      </c>
      <c r="X295" t="s">
        <v>5737</v>
      </c>
      <c r="Y295" t="s">
        <v>5738</v>
      </c>
      <c r="Z295" t="s">
        <v>74</v>
      </c>
      <c r="AA295" t="s">
        <v>5739</v>
      </c>
      <c r="AB295" t="s">
        <v>5740</v>
      </c>
      <c r="AC295" t="s">
        <v>74</v>
      </c>
      <c r="AD295" t="s">
        <v>74</v>
      </c>
      <c r="AE295" t="s">
        <v>74</v>
      </c>
      <c r="AF295" t="s">
        <v>74</v>
      </c>
      <c r="AG295">
        <v>14</v>
      </c>
      <c r="AH295">
        <v>0</v>
      </c>
      <c r="AI295">
        <v>0</v>
      </c>
      <c r="AJ295">
        <v>0</v>
      </c>
      <c r="AK295">
        <v>3</v>
      </c>
      <c r="AL295" t="s">
        <v>5741</v>
      </c>
      <c r="AM295" t="s">
        <v>5742</v>
      </c>
      <c r="AN295" t="s">
        <v>5743</v>
      </c>
      <c r="AO295" t="s">
        <v>5744</v>
      </c>
      <c r="AP295" t="s">
        <v>5745</v>
      </c>
      <c r="AQ295" t="s">
        <v>74</v>
      </c>
      <c r="AR295" t="s">
        <v>5746</v>
      </c>
      <c r="AS295" t="s">
        <v>5747</v>
      </c>
      <c r="AT295" t="s">
        <v>74</v>
      </c>
      <c r="AU295">
        <v>2017</v>
      </c>
      <c r="AV295" t="s">
        <v>74</v>
      </c>
      <c r="AW295">
        <v>7</v>
      </c>
      <c r="AX295" t="s">
        <v>74</v>
      </c>
      <c r="AY295" t="s">
        <v>74</v>
      </c>
      <c r="AZ295" t="s">
        <v>74</v>
      </c>
      <c r="BA295" t="s">
        <v>74</v>
      </c>
      <c r="BB295">
        <v>181</v>
      </c>
      <c r="BC295">
        <v>189</v>
      </c>
      <c r="BD295" t="s">
        <v>74</v>
      </c>
      <c r="BE295" t="s">
        <v>5748</v>
      </c>
      <c r="BF295" t="str">
        <f>HYPERLINK("http://dx.doi.org/10.7203/metode.7.8504","http://dx.doi.org/10.7203/metode.7.8504")</f>
        <v>http://dx.doi.org/10.7203/metode.7.8504</v>
      </c>
      <c r="BG295" t="s">
        <v>74</v>
      </c>
      <c r="BH295" t="s">
        <v>74</v>
      </c>
      <c r="BI295">
        <v>9</v>
      </c>
      <c r="BJ295" t="s">
        <v>5749</v>
      </c>
      <c r="BK295" t="s">
        <v>2057</v>
      </c>
      <c r="BL295" t="s">
        <v>5750</v>
      </c>
      <c r="BM295" t="s">
        <v>5751</v>
      </c>
      <c r="BN295" t="s">
        <v>74</v>
      </c>
      <c r="BO295" t="s">
        <v>941</v>
      </c>
      <c r="BP295" t="s">
        <v>74</v>
      </c>
      <c r="BQ295" t="s">
        <v>74</v>
      </c>
      <c r="BR295" t="s">
        <v>105</v>
      </c>
      <c r="BS295" t="s">
        <v>5752</v>
      </c>
      <c r="BT295" t="str">
        <f>HYPERLINK("https%3A%2F%2Fwww.webofscience.com%2Fwos%2Fwoscc%2Ffull-record%2FWOS:000416598100023","View Full Record in Web of Science")</f>
        <v>View Full Record in Web of Science</v>
      </c>
    </row>
    <row r="296" spans="1:72" x14ac:dyDescent="0.15">
      <c r="A296" t="s">
        <v>2331</v>
      </c>
      <c r="B296" t="s">
        <v>5753</v>
      </c>
      <c r="C296" t="s">
        <v>74</v>
      </c>
      <c r="D296" t="s">
        <v>5754</v>
      </c>
      <c r="E296" t="s">
        <v>74</v>
      </c>
      <c r="F296" t="s">
        <v>5755</v>
      </c>
      <c r="G296" t="s">
        <v>74</v>
      </c>
      <c r="H296" t="s">
        <v>74</v>
      </c>
      <c r="I296" t="s">
        <v>5756</v>
      </c>
      <c r="J296" t="s">
        <v>5757</v>
      </c>
      <c r="K296" t="s">
        <v>74</v>
      </c>
      <c r="L296" t="s">
        <v>74</v>
      </c>
      <c r="M296" t="s">
        <v>78</v>
      </c>
      <c r="N296" t="s">
        <v>2067</v>
      </c>
      <c r="O296" t="s">
        <v>74</v>
      </c>
      <c r="P296" t="s">
        <v>74</v>
      </c>
      <c r="Q296" t="s">
        <v>74</v>
      </c>
      <c r="R296" t="s">
        <v>74</v>
      </c>
      <c r="S296" t="s">
        <v>74</v>
      </c>
      <c r="T296" t="s">
        <v>74</v>
      </c>
      <c r="U296" t="s">
        <v>5758</v>
      </c>
      <c r="V296" t="s">
        <v>74</v>
      </c>
      <c r="W296" t="s">
        <v>5759</v>
      </c>
      <c r="X296" t="s">
        <v>5760</v>
      </c>
      <c r="Y296" t="s">
        <v>5761</v>
      </c>
      <c r="Z296" t="s">
        <v>74</v>
      </c>
      <c r="AA296" t="s">
        <v>74</v>
      </c>
      <c r="AB296" t="s">
        <v>74</v>
      </c>
      <c r="AC296" t="s">
        <v>74</v>
      </c>
      <c r="AD296" t="s">
        <v>74</v>
      </c>
      <c r="AE296" t="s">
        <v>74</v>
      </c>
      <c r="AF296" t="s">
        <v>74</v>
      </c>
      <c r="AG296">
        <v>324</v>
      </c>
      <c r="AH296">
        <v>35</v>
      </c>
      <c r="AI296">
        <v>37</v>
      </c>
      <c r="AJ296">
        <v>0</v>
      </c>
      <c r="AK296">
        <v>2</v>
      </c>
      <c r="AL296" t="s">
        <v>168</v>
      </c>
      <c r="AM296" t="s">
        <v>169</v>
      </c>
      <c r="AN296" t="s">
        <v>5762</v>
      </c>
      <c r="AO296" t="s">
        <v>74</v>
      </c>
      <c r="AP296" t="s">
        <v>74</v>
      </c>
      <c r="AQ296" t="s">
        <v>5763</v>
      </c>
      <c r="AR296" t="s">
        <v>74</v>
      </c>
      <c r="AS296" t="s">
        <v>74</v>
      </c>
      <c r="AT296" t="s">
        <v>74</v>
      </c>
      <c r="AU296">
        <v>2017</v>
      </c>
      <c r="AV296" t="s">
        <v>74</v>
      </c>
      <c r="AW296" t="s">
        <v>74</v>
      </c>
      <c r="AX296" t="s">
        <v>74</v>
      </c>
      <c r="AY296" t="s">
        <v>74</v>
      </c>
      <c r="AZ296" t="s">
        <v>74</v>
      </c>
      <c r="BA296" t="s">
        <v>74</v>
      </c>
      <c r="BB296">
        <v>183</v>
      </c>
      <c r="BC296">
        <v>254</v>
      </c>
      <c r="BD296" t="s">
        <v>74</v>
      </c>
      <c r="BE296" t="s">
        <v>5764</v>
      </c>
      <c r="BF296" t="str">
        <f>HYPERLINK("http://dx.doi.org/10.1016/B978-0-12-803386-9.00009-5","http://dx.doi.org/10.1016/B978-0-12-803386-9.00009-5")</f>
        <v>http://dx.doi.org/10.1016/B978-0-12-803386-9.00009-5</v>
      </c>
      <c r="BG296" t="s">
        <v>74</v>
      </c>
      <c r="BH296" t="s">
        <v>74</v>
      </c>
      <c r="BI296">
        <v>72</v>
      </c>
      <c r="BJ296" t="s">
        <v>670</v>
      </c>
      <c r="BK296" t="s">
        <v>2084</v>
      </c>
      <c r="BL296" t="s">
        <v>670</v>
      </c>
      <c r="BM296" t="s">
        <v>5765</v>
      </c>
      <c r="BN296" t="s">
        <v>74</v>
      </c>
      <c r="BO296" t="s">
        <v>74</v>
      </c>
      <c r="BP296" t="s">
        <v>74</v>
      </c>
      <c r="BQ296" t="s">
        <v>74</v>
      </c>
      <c r="BR296" t="s">
        <v>105</v>
      </c>
      <c r="BS296" t="s">
        <v>5766</v>
      </c>
      <c r="BT296" t="str">
        <f>HYPERLINK("https%3A%2F%2Fwww.webofscience.com%2Fwos%2Fwoscc%2Ffull-record%2FWOS:000415231800009","View Full Record in Web of Science")</f>
        <v>View Full Record in Web of Science</v>
      </c>
    </row>
    <row r="297" spans="1:72" x14ac:dyDescent="0.15">
      <c r="A297" t="s">
        <v>72</v>
      </c>
      <c r="B297" t="s">
        <v>5767</v>
      </c>
      <c r="C297" t="s">
        <v>74</v>
      </c>
      <c r="D297" t="s">
        <v>74</v>
      </c>
      <c r="E297" t="s">
        <v>74</v>
      </c>
      <c r="F297" t="s">
        <v>5768</v>
      </c>
      <c r="G297" t="s">
        <v>74</v>
      </c>
      <c r="H297" t="s">
        <v>74</v>
      </c>
      <c r="I297" t="s">
        <v>5769</v>
      </c>
      <c r="J297" t="s">
        <v>5770</v>
      </c>
      <c r="K297" t="s">
        <v>74</v>
      </c>
      <c r="L297" t="s">
        <v>74</v>
      </c>
      <c r="M297" t="s">
        <v>78</v>
      </c>
      <c r="N297" t="s">
        <v>79</v>
      </c>
      <c r="O297" t="s">
        <v>74</v>
      </c>
      <c r="P297" t="s">
        <v>74</v>
      </c>
      <c r="Q297" t="s">
        <v>74</v>
      </c>
      <c r="R297" t="s">
        <v>74</v>
      </c>
      <c r="S297" t="s">
        <v>74</v>
      </c>
      <c r="T297" t="s">
        <v>5771</v>
      </c>
      <c r="U297" t="s">
        <v>5772</v>
      </c>
      <c r="V297" t="s">
        <v>5773</v>
      </c>
      <c r="W297" t="s">
        <v>5774</v>
      </c>
      <c r="X297" t="s">
        <v>5775</v>
      </c>
      <c r="Y297" t="s">
        <v>5776</v>
      </c>
      <c r="Z297" t="s">
        <v>5777</v>
      </c>
      <c r="AA297" t="s">
        <v>5778</v>
      </c>
      <c r="AB297" t="s">
        <v>5779</v>
      </c>
      <c r="AC297" t="s">
        <v>5780</v>
      </c>
      <c r="AD297" t="s">
        <v>5781</v>
      </c>
      <c r="AE297" t="s">
        <v>5782</v>
      </c>
      <c r="AF297" t="s">
        <v>74</v>
      </c>
      <c r="AG297">
        <v>22</v>
      </c>
      <c r="AH297">
        <v>1</v>
      </c>
      <c r="AI297">
        <v>1</v>
      </c>
      <c r="AJ297">
        <v>0</v>
      </c>
      <c r="AK297">
        <v>1</v>
      </c>
      <c r="AL297" t="s">
        <v>2276</v>
      </c>
      <c r="AM297" t="s">
        <v>2277</v>
      </c>
      <c r="AN297" t="s">
        <v>2278</v>
      </c>
      <c r="AO297" t="s">
        <v>5783</v>
      </c>
      <c r="AP297" t="s">
        <v>5784</v>
      </c>
      <c r="AQ297" t="s">
        <v>74</v>
      </c>
      <c r="AR297" t="s">
        <v>5785</v>
      </c>
      <c r="AS297" t="s">
        <v>5786</v>
      </c>
      <c r="AT297" t="s">
        <v>74</v>
      </c>
      <c r="AU297">
        <v>2017</v>
      </c>
      <c r="AV297">
        <v>65</v>
      </c>
      <c r="AW297">
        <v>3</v>
      </c>
      <c r="AX297" t="s">
        <v>74</v>
      </c>
      <c r="AY297" t="s">
        <v>74</v>
      </c>
      <c r="AZ297" t="s">
        <v>74</v>
      </c>
      <c r="BA297" t="s">
        <v>74</v>
      </c>
      <c r="BB297">
        <v>179</v>
      </c>
      <c r="BC297">
        <v>182</v>
      </c>
      <c r="BD297" t="s">
        <v>74</v>
      </c>
      <c r="BE297" t="s">
        <v>5787</v>
      </c>
      <c r="BF297" t="str">
        <f>HYPERLINK("http://dx.doi.org/10.1071/ZO17036","http://dx.doi.org/10.1071/ZO17036")</f>
        <v>http://dx.doi.org/10.1071/ZO17036</v>
      </c>
      <c r="BG297" t="s">
        <v>74</v>
      </c>
      <c r="BH297" t="s">
        <v>74</v>
      </c>
      <c r="BI297">
        <v>4</v>
      </c>
      <c r="BJ297" t="s">
        <v>643</v>
      </c>
      <c r="BK297" t="s">
        <v>101</v>
      </c>
      <c r="BL297" t="s">
        <v>643</v>
      </c>
      <c r="BM297" t="s">
        <v>5788</v>
      </c>
      <c r="BN297" t="s">
        <v>74</v>
      </c>
      <c r="BO297" t="s">
        <v>74</v>
      </c>
      <c r="BP297" t="s">
        <v>74</v>
      </c>
      <c r="BQ297" t="s">
        <v>74</v>
      </c>
      <c r="BR297" t="s">
        <v>105</v>
      </c>
      <c r="BS297" t="s">
        <v>5789</v>
      </c>
      <c r="BT297" t="str">
        <f>HYPERLINK("https%3A%2F%2Fwww.webofscience.com%2Fwos%2Fwoscc%2Ffull-record%2FWOS:000415996000004","View Full Record in Web of Science")</f>
        <v>View Full Record in Web of Science</v>
      </c>
    </row>
    <row r="298" spans="1:72" x14ac:dyDescent="0.15">
      <c r="A298" t="s">
        <v>72</v>
      </c>
      <c r="B298" t="s">
        <v>5790</v>
      </c>
      <c r="C298" t="s">
        <v>74</v>
      </c>
      <c r="D298" t="s">
        <v>74</v>
      </c>
      <c r="E298" t="s">
        <v>74</v>
      </c>
      <c r="F298" t="s">
        <v>5791</v>
      </c>
      <c r="G298" t="s">
        <v>74</v>
      </c>
      <c r="H298" t="s">
        <v>74</v>
      </c>
      <c r="I298" t="s">
        <v>5792</v>
      </c>
      <c r="J298" t="s">
        <v>4842</v>
      </c>
      <c r="K298" t="s">
        <v>74</v>
      </c>
      <c r="L298" t="s">
        <v>74</v>
      </c>
      <c r="M298" t="s">
        <v>78</v>
      </c>
      <c r="N298" t="s">
        <v>79</v>
      </c>
      <c r="O298" t="s">
        <v>74</v>
      </c>
      <c r="P298" t="s">
        <v>74</v>
      </c>
      <c r="Q298" t="s">
        <v>74</v>
      </c>
      <c r="R298" t="s">
        <v>74</v>
      </c>
      <c r="S298" t="s">
        <v>74</v>
      </c>
      <c r="T298" t="s">
        <v>5793</v>
      </c>
      <c r="U298" t="s">
        <v>74</v>
      </c>
      <c r="V298" t="s">
        <v>5794</v>
      </c>
      <c r="W298" t="s">
        <v>5795</v>
      </c>
      <c r="X298" t="s">
        <v>5796</v>
      </c>
      <c r="Y298" t="s">
        <v>5797</v>
      </c>
      <c r="Z298" t="s">
        <v>5798</v>
      </c>
      <c r="AA298" t="s">
        <v>74</v>
      </c>
      <c r="AB298" t="s">
        <v>74</v>
      </c>
      <c r="AC298" t="s">
        <v>74</v>
      </c>
      <c r="AD298" t="s">
        <v>74</v>
      </c>
      <c r="AE298" t="s">
        <v>74</v>
      </c>
      <c r="AF298" t="s">
        <v>74</v>
      </c>
      <c r="AG298">
        <v>19</v>
      </c>
      <c r="AH298">
        <v>1</v>
      </c>
      <c r="AI298">
        <v>1</v>
      </c>
      <c r="AJ298">
        <v>1</v>
      </c>
      <c r="AK298">
        <v>6</v>
      </c>
      <c r="AL298" t="s">
        <v>4854</v>
      </c>
      <c r="AM298" t="s">
        <v>1553</v>
      </c>
      <c r="AN298" t="s">
        <v>4855</v>
      </c>
      <c r="AO298" t="s">
        <v>4856</v>
      </c>
      <c r="AP298" t="s">
        <v>74</v>
      </c>
      <c r="AQ298" t="s">
        <v>74</v>
      </c>
      <c r="AR298" t="s">
        <v>4857</v>
      </c>
      <c r="AS298" t="s">
        <v>4858</v>
      </c>
      <c r="AT298" t="s">
        <v>74</v>
      </c>
      <c r="AU298">
        <v>2017</v>
      </c>
      <c r="AV298">
        <v>70</v>
      </c>
      <c r="AW298">
        <v>10</v>
      </c>
      <c r="AX298" t="s">
        <v>74</v>
      </c>
      <c r="AY298" t="s">
        <v>74</v>
      </c>
      <c r="AZ298" t="s">
        <v>74</v>
      </c>
      <c r="BA298" t="s">
        <v>74</v>
      </c>
      <c r="BB298">
        <v>1391</v>
      </c>
      <c r="BC298">
        <v>1400</v>
      </c>
      <c r="BD298" t="s">
        <v>74</v>
      </c>
      <c r="BE298" t="s">
        <v>74</v>
      </c>
      <c r="BF298" t="s">
        <v>74</v>
      </c>
      <c r="BG298" t="s">
        <v>74</v>
      </c>
      <c r="BH298" t="s">
        <v>74</v>
      </c>
      <c r="BI298">
        <v>10</v>
      </c>
      <c r="BJ298" t="s">
        <v>100</v>
      </c>
      <c r="BK298" t="s">
        <v>101</v>
      </c>
      <c r="BL298" t="s">
        <v>102</v>
      </c>
      <c r="BM298" t="s">
        <v>5799</v>
      </c>
      <c r="BN298" t="s">
        <v>74</v>
      </c>
      <c r="BO298" t="s">
        <v>74</v>
      </c>
      <c r="BP298" t="s">
        <v>74</v>
      </c>
      <c r="BQ298" t="s">
        <v>74</v>
      </c>
      <c r="BR298" t="s">
        <v>105</v>
      </c>
      <c r="BS298" t="s">
        <v>5800</v>
      </c>
      <c r="BT298" t="str">
        <f>HYPERLINK("https%3A%2F%2Fwww.webofscience.com%2Fwos%2Fwoscc%2Ffull-record%2FWOS:000416296700008","View Full Record in Web of Science")</f>
        <v>View Full Record in Web of Science</v>
      </c>
    </row>
    <row r="299" spans="1:72" x14ac:dyDescent="0.15">
      <c r="A299" t="s">
        <v>72</v>
      </c>
      <c r="B299" t="s">
        <v>5801</v>
      </c>
      <c r="C299" t="s">
        <v>74</v>
      </c>
      <c r="D299" t="s">
        <v>74</v>
      </c>
      <c r="E299" t="s">
        <v>74</v>
      </c>
      <c r="F299" t="s">
        <v>5802</v>
      </c>
      <c r="G299" t="s">
        <v>74</v>
      </c>
      <c r="H299" t="s">
        <v>74</v>
      </c>
      <c r="I299" t="s">
        <v>5803</v>
      </c>
      <c r="J299" t="s">
        <v>5804</v>
      </c>
      <c r="K299" t="s">
        <v>74</v>
      </c>
      <c r="L299" t="s">
        <v>74</v>
      </c>
      <c r="M299" t="s">
        <v>78</v>
      </c>
      <c r="N299" t="s">
        <v>79</v>
      </c>
      <c r="O299" t="s">
        <v>74</v>
      </c>
      <c r="P299" t="s">
        <v>74</v>
      </c>
      <c r="Q299" t="s">
        <v>74</v>
      </c>
      <c r="R299" t="s">
        <v>74</v>
      </c>
      <c r="S299" t="s">
        <v>74</v>
      </c>
      <c r="T299" t="s">
        <v>5805</v>
      </c>
      <c r="U299" t="s">
        <v>5806</v>
      </c>
      <c r="V299" t="s">
        <v>5807</v>
      </c>
      <c r="W299" t="s">
        <v>5808</v>
      </c>
      <c r="X299" t="s">
        <v>5809</v>
      </c>
      <c r="Y299" t="s">
        <v>5810</v>
      </c>
      <c r="Z299" t="s">
        <v>5811</v>
      </c>
      <c r="AA299" t="s">
        <v>74</v>
      </c>
      <c r="AB299" t="s">
        <v>74</v>
      </c>
      <c r="AC299" t="s">
        <v>74</v>
      </c>
      <c r="AD299" t="s">
        <v>74</v>
      </c>
      <c r="AE299" t="s">
        <v>74</v>
      </c>
      <c r="AF299" t="s">
        <v>74</v>
      </c>
      <c r="AG299">
        <v>21</v>
      </c>
      <c r="AH299">
        <v>3</v>
      </c>
      <c r="AI299">
        <v>3</v>
      </c>
      <c r="AJ299">
        <v>11</v>
      </c>
      <c r="AK299">
        <v>36</v>
      </c>
      <c r="AL299" t="s">
        <v>2103</v>
      </c>
      <c r="AM299" t="s">
        <v>2104</v>
      </c>
      <c r="AN299" t="s">
        <v>2105</v>
      </c>
      <c r="AO299" t="s">
        <v>5812</v>
      </c>
      <c r="AP299" t="s">
        <v>5813</v>
      </c>
      <c r="AQ299" t="s">
        <v>74</v>
      </c>
      <c r="AR299" t="s">
        <v>5814</v>
      </c>
      <c r="AS299" t="s">
        <v>5815</v>
      </c>
      <c r="AT299" t="s">
        <v>74</v>
      </c>
      <c r="AU299">
        <v>2017</v>
      </c>
      <c r="AV299">
        <v>40</v>
      </c>
      <c r="AW299">
        <v>14</v>
      </c>
      <c r="AX299" t="s">
        <v>74</v>
      </c>
      <c r="AY299" t="s">
        <v>74</v>
      </c>
      <c r="AZ299" t="s">
        <v>74</v>
      </c>
      <c r="BA299" t="s">
        <v>74</v>
      </c>
      <c r="BB299">
        <v>725</v>
      </c>
      <c r="BC299">
        <v>731</v>
      </c>
      <c r="BD299" t="s">
        <v>74</v>
      </c>
      <c r="BE299" t="s">
        <v>5816</v>
      </c>
      <c r="BF299" t="str">
        <f>HYPERLINK("http://dx.doi.org/10.1080/10826076.2017.1357570","http://dx.doi.org/10.1080/10826076.2017.1357570")</f>
        <v>http://dx.doi.org/10.1080/10826076.2017.1357570</v>
      </c>
      <c r="BG299" t="s">
        <v>74</v>
      </c>
      <c r="BH299" t="s">
        <v>74</v>
      </c>
      <c r="BI299">
        <v>7</v>
      </c>
      <c r="BJ299" t="s">
        <v>5817</v>
      </c>
      <c r="BK299" t="s">
        <v>101</v>
      </c>
      <c r="BL299" t="s">
        <v>5818</v>
      </c>
      <c r="BM299" t="s">
        <v>5819</v>
      </c>
      <c r="BN299" t="s">
        <v>74</v>
      </c>
      <c r="BO299" t="s">
        <v>74</v>
      </c>
      <c r="BP299" t="s">
        <v>74</v>
      </c>
      <c r="BQ299" t="s">
        <v>74</v>
      </c>
      <c r="BR299" t="s">
        <v>105</v>
      </c>
      <c r="BS299" t="s">
        <v>5820</v>
      </c>
      <c r="BT299" t="str">
        <f>HYPERLINK("https%3A%2F%2Fwww.webofscience.com%2Fwos%2Fwoscc%2Ffull-record%2FWOS:000415802300003","View Full Record in Web of Science")</f>
        <v>View Full Record in Web of Science</v>
      </c>
    </row>
    <row r="300" spans="1:72" x14ac:dyDescent="0.15">
      <c r="A300" t="s">
        <v>2331</v>
      </c>
      <c r="B300" t="s">
        <v>5821</v>
      </c>
      <c r="C300" t="s">
        <v>5821</v>
      </c>
      <c r="D300" t="s">
        <v>74</v>
      </c>
      <c r="E300" t="s">
        <v>74</v>
      </c>
      <c r="F300" t="s">
        <v>5822</v>
      </c>
      <c r="G300" t="s">
        <v>5821</v>
      </c>
      <c r="H300" t="s">
        <v>74</v>
      </c>
      <c r="I300" t="s">
        <v>5823</v>
      </c>
      <c r="J300" t="s">
        <v>5824</v>
      </c>
      <c r="K300" t="s">
        <v>5825</v>
      </c>
      <c r="L300" t="s">
        <v>74</v>
      </c>
      <c r="M300" t="s">
        <v>78</v>
      </c>
      <c r="N300" t="s">
        <v>2067</v>
      </c>
      <c r="O300" t="s">
        <v>74</v>
      </c>
      <c r="P300" t="s">
        <v>74</v>
      </c>
      <c r="Q300" t="s">
        <v>74</v>
      </c>
      <c r="R300" t="s">
        <v>74</v>
      </c>
      <c r="S300" t="s">
        <v>74</v>
      </c>
      <c r="T300" t="s">
        <v>74</v>
      </c>
      <c r="U300" t="s">
        <v>5826</v>
      </c>
      <c r="V300" t="s">
        <v>74</v>
      </c>
      <c r="W300" t="s">
        <v>74</v>
      </c>
      <c r="X300" t="s">
        <v>74</v>
      </c>
      <c r="Y300" t="s">
        <v>74</v>
      </c>
      <c r="Z300" t="s">
        <v>74</v>
      </c>
      <c r="AA300" t="s">
        <v>74</v>
      </c>
      <c r="AB300" t="s">
        <v>74</v>
      </c>
      <c r="AC300" t="s">
        <v>74</v>
      </c>
      <c r="AD300" t="s">
        <v>74</v>
      </c>
      <c r="AE300" t="s">
        <v>74</v>
      </c>
      <c r="AF300" t="s">
        <v>74</v>
      </c>
      <c r="AG300">
        <v>324</v>
      </c>
      <c r="AH300">
        <v>1</v>
      </c>
      <c r="AI300">
        <v>2</v>
      </c>
      <c r="AJ300">
        <v>0</v>
      </c>
      <c r="AK300">
        <v>3</v>
      </c>
      <c r="AL300" t="s">
        <v>5827</v>
      </c>
      <c r="AM300" t="s">
        <v>5828</v>
      </c>
      <c r="AN300" t="s">
        <v>5829</v>
      </c>
      <c r="AO300" t="s">
        <v>74</v>
      </c>
      <c r="AP300" t="s">
        <v>74</v>
      </c>
      <c r="AQ300" t="s">
        <v>5830</v>
      </c>
      <c r="AR300" t="s">
        <v>5831</v>
      </c>
      <c r="AS300" t="s">
        <v>74</v>
      </c>
      <c r="AT300" t="s">
        <v>74</v>
      </c>
      <c r="AU300">
        <v>2017</v>
      </c>
      <c r="AV300" t="s">
        <v>74</v>
      </c>
      <c r="AW300" t="s">
        <v>74</v>
      </c>
      <c r="AX300" t="s">
        <v>74</v>
      </c>
      <c r="AY300" t="s">
        <v>74</v>
      </c>
      <c r="AZ300" t="s">
        <v>74</v>
      </c>
      <c r="BA300" t="s">
        <v>74</v>
      </c>
      <c r="BB300">
        <v>57</v>
      </c>
      <c r="BC300">
        <v>126</v>
      </c>
      <c r="BD300" t="s">
        <v>74</v>
      </c>
      <c r="BE300" t="s">
        <v>5832</v>
      </c>
      <c r="BF300" t="str">
        <f>HYPERLINK("http://dx.doi.org/10.1016/B978-0-323-44354-8.00002-1","http://dx.doi.org/10.1016/B978-0-323-44354-8.00002-1")</f>
        <v>http://dx.doi.org/10.1016/B978-0-323-44354-8.00002-1</v>
      </c>
      <c r="BG300" t="s">
        <v>74</v>
      </c>
      <c r="BH300" t="s">
        <v>74</v>
      </c>
      <c r="BI300">
        <v>70</v>
      </c>
      <c r="BJ300" t="s">
        <v>5833</v>
      </c>
      <c r="BK300" t="s">
        <v>2084</v>
      </c>
      <c r="BL300" t="s">
        <v>5834</v>
      </c>
      <c r="BM300" t="s">
        <v>5835</v>
      </c>
      <c r="BN300" t="s">
        <v>74</v>
      </c>
      <c r="BO300" t="s">
        <v>74</v>
      </c>
      <c r="BP300" t="s">
        <v>74</v>
      </c>
      <c r="BQ300" t="s">
        <v>74</v>
      </c>
      <c r="BR300" t="s">
        <v>105</v>
      </c>
      <c r="BS300" t="s">
        <v>5836</v>
      </c>
      <c r="BT300" t="str">
        <f>HYPERLINK("https%3A%2F%2Fwww.webofscience.com%2Fwos%2Fwoscc%2Ffull-record%2FWOS:000416162300003","View Full Record in Web of Science")</f>
        <v>View Full Record in Web of Science</v>
      </c>
    </row>
    <row r="301" spans="1:72" x14ac:dyDescent="0.15">
      <c r="A301" t="s">
        <v>72</v>
      </c>
      <c r="B301" t="s">
        <v>5837</v>
      </c>
      <c r="C301" t="s">
        <v>74</v>
      </c>
      <c r="D301" t="s">
        <v>74</v>
      </c>
      <c r="E301" t="s">
        <v>74</v>
      </c>
      <c r="F301" t="s">
        <v>5838</v>
      </c>
      <c r="G301" t="s">
        <v>74</v>
      </c>
      <c r="H301" t="s">
        <v>74</v>
      </c>
      <c r="I301" t="s">
        <v>5839</v>
      </c>
      <c r="J301" t="s">
        <v>1954</v>
      </c>
      <c r="K301" t="s">
        <v>74</v>
      </c>
      <c r="L301" t="s">
        <v>74</v>
      </c>
      <c r="M301" t="s">
        <v>78</v>
      </c>
      <c r="N301" t="s">
        <v>79</v>
      </c>
      <c r="O301" t="s">
        <v>74</v>
      </c>
      <c r="P301" t="s">
        <v>74</v>
      </c>
      <c r="Q301" t="s">
        <v>74</v>
      </c>
      <c r="R301" t="s">
        <v>74</v>
      </c>
      <c r="S301" t="s">
        <v>74</v>
      </c>
      <c r="T301" t="s">
        <v>5840</v>
      </c>
      <c r="U301" t="s">
        <v>5841</v>
      </c>
      <c r="V301" t="s">
        <v>5842</v>
      </c>
      <c r="W301" t="s">
        <v>5843</v>
      </c>
      <c r="X301" t="s">
        <v>5844</v>
      </c>
      <c r="Y301" t="s">
        <v>5845</v>
      </c>
      <c r="Z301" t="s">
        <v>5846</v>
      </c>
      <c r="AA301" t="s">
        <v>5847</v>
      </c>
      <c r="AB301" t="s">
        <v>5848</v>
      </c>
      <c r="AC301" t="s">
        <v>5849</v>
      </c>
      <c r="AD301" t="s">
        <v>5850</v>
      </c>
      <c r="AE301" t="s">
        <v>5851</v>
      </c>
      <c r="AF301" t="s">
        <v>74</v>
      </c>
      <c r="AG301">
        <v>79</v>
      </c>
      <c r="AH301">
        <v>33</v>
      </c>
      <c r="AI301">
        <v>37</v>
      </c>
      <c r="AJ301">
        <v>1</v>
      </c>
      <c r="AK301">
        <v>24</v>
      </c>
      <c r="AL301" t="s">
        <v>1967</v>
      </c>
      <c r="AM301" t="s">
        <v>1910</v>
      </c>
      <c r="AN301" t="s">
        <v>1968</v>
      </c>
      <c r="AO301" t="s">
        <v>1969</v>
      </c>
      <c r="AP301" t="s">
        <v>1970</v>
      </c>
      <c r="AQ301" t="s">
        <v>74</v>
      </c>
      <c r="AR301" t="s">
        <v>1971</v>
      </c>
      <c r="AS301" t="s">
        <v>1972</v>
      </c>
      <c r="AT301" t="s">
        <v>74</v>
      </c>
      <c r="AU301">
        <v>2017</v>
      </c>
      <c r="AV301">
        <v>64</v>
      </c>
      <c r="AW301">
        <v>7</v>
      </c>
      <c r="AX301" t="s">
        <v>74</v>
      </c>
      <c r="AY301" t="s">
        <v>74</v>
      </c>
      <c r="AZ301" t="s">
        <v>74</v>
      </c>
      <c r="BA301" t="s">
        <v>74</v>
      </c>
      <c r="BB301">
        <v>851</v>
      </c>
      <c r="BC301">
        <v>869</v>
      </c>
      <c r="BD301" t="s">
        <v>74</v>
      </c>
      <c r="BE301" t="s">
        <v>5852</v>
      </c>
      <c r="BF301" t="str">
        <f>HYPERLINK("http://dx.doi.org/10.1080/08120099.2017.1367326","http://dx.doi.org/10.1080/08120099.2017.1367326")</f>
        <v>http://dx.doi.org/10.1080/08120099.2017.1367326</v>
      </c>
      <c r="BG301" t="s">
        <v>74</v>
      </c>
      <c r="BH301" t="s">
        <v>74</v>
      </c>
      <c r="BI301">
        <v>19</v>
      </c>
      <c r="BJ301" t="s">
        <v>669</v>
      </c>
      <c r="BK301" t="s">
        <v>101</v>
      </c>
      <c r="BL301" t="s">
        <v>670</v>
      </c>
      <c r="BM301" t="s">
        <v>5853</v>
      </c>
      <c r="BN301" t="s">
        <v>74</v>
      </c>
      <c r="BO301" t="s">
        <v>4355</v>
      </c>
      <c r="BP301" t="s">
        <v>74</v>
      </c>
      <c r="BQ301" t="s">
        <v>74</v>
      </c>
      <c r="BR301" t="s">
        <v>105</v>
      </c>
      <c r="BS301" t="s">
        <v>5854</v>
      </c>
      <c r="BT301" t="str">
        <f>HYPERLINK("https%3A%2F%2Fwww.webofscience.com%2Fwos%2Fwoscc%2Ffull-record%2FWOS:000415670200002","View Full Record in Web of Science")</f>
        <v>View Full Record in Web of Science</v>
      </c>
    </row>
    <row r="302" spans="1:72" x14ac:dyDescent="0.15">
      <c r="A302" t="s">
        <v>2331</v>
      </c>
      <c r="B302" t="s">
        <v>5855</v>
      </c>
      <c r="C302" t="s">
        <v>5856</v>
      </c>
      <c r="D302" t="s">
        <v>74</v>
      </c>
      <c r="E302" t="s">
        <v>74</v>
      </c>
      <c r="F302" t="s">
        <v>5857</v>
      </c>
      <c r="G302" t="s">
        <v>5856</v>
      </c>
      <c r="H302" t="s">
        <v>74</v>
      </c>
      <c r="I302" t="s">
        <v>5858</v>
      </c>
      <c r="J302" t="s">
        <v>5859</v>
      </c>
      <c r="K302" t="s">
        <v>5860</v>
      </c>
      <c r="L302" t="s">
        <v>74</v>
      </c>
      <c r="M302" t="s">
        <v>78</v>
      </c>
      <c r="N302" t="s">
        <v>2067</v>
      </c>
      <c r="O302" t="s">
        <v>74</v>
      </c>
      <c r="P302" t="s">
        <v>74</v>
      </c>
      <c r="Q302" t="s">
        <v>74</v>
      </c>
      <c r="R302" t="s">
        <v>74</v>
      </c>
      <c r="S302" t="s">
        <v>74</v>
      </c>
      <c r="T302" t="s">
        <v>74</v>
      </c>
      <c r="U302" t="s">
        <v>74</v>
      </c>
      <c r="V302" t="s">
        <v>74</v>
      </c>
      <c r="W302" t="s">
        <v>5861</v>
      </c>
      <c r="X302" t="s">
        <v>5039</v>
      </c>
      <c r="Y302" t="s">
        <v>74</v>
      </c>
      <c r="Z302" t="s">
        <v>74</v>
      </c>
      <c r="AA302" t="s">
        <v>5862</v>
      </c>
      <c r="AB302" t="s">
        <v>5863</v>
      </c>
      <c r="AC302" t="s">
        <v>74</v>
      </c>
      <c r="AD302" t="s">
        <v>74</v>
      </c>
      <c r="AE302" t="s">
        <v>74</v>
      </c>
      <c r="AF302" t="s">
        <v>74</v>
      </c>
      <c r="AG302">
        <v>0</v>
      </c>
      <c r="AH302">
        <v>0</v>
      </c>
      <c r="AI302">
        <v>0</v>
      </c>
      <c r="AJ302">
        <v>0</v>
      </c>
      <c r="AK302">
        <v>1</v>
      </c>
      <c r="AL302" t="s">
        <v>3097</v>
      </c>
      <c r="AM302" t="s">
        <v>1581</v>
      </c>
      <c r="AN302" t="s">
        <v>3208</v>
      </c>
      <c r="AO302" t="s">
        <v>74</v>
      </c>
      <c r="AP302" t="s">
        <v>74</v>
      </c>
      <c r="AQ302" t="s">
        <v>5864</v>
      </c>
      <c r="AR302" t="s">
        <v>5865</v>
      </c>
      <c r="AS302" t="s">
        <v>74</v>
      </c>
      <c r="AT302" t="s">
        <v>74</v>
      </c>
      <c r="AU302">
        <v>2017</v>
      </c>
      <c r="AV302" t="s">
        <v>74</v>
      </c>
      <c r="AW302" t="s">
        <v>74</v>
      </c>
      <c r="AX302" t="s">
        <v>74</v>
      </c>
      <c r="AY302" t="s">
        <v>74</v>
      </c>
      <c r="AZ302" t="s">
        <v>74</v>
      </c>
      <c r="BA302" t="s">
        <v>74</v>
      </c>
      <c r="BB302">
        <v>139</v>
      </c>
      <c r="BC302">
        <v>168</v>
      </c>
      <c r="BD302" t="s">
        <v>74</v>
      </c>
      <c r="BE302" t="s">
        <v>74</v>
      </c>
      <c r="BF302" t="s">
        <v>74</v>
      </c>
      <c r="BG302" t="s">
        <v>5866</v>
      </c>
      <c r="BH302" t="s">
        <v>74</v>
      </c>
      <c r="BI302">
        <v>30</v>
      </c>
      <c r="BJ302" t="s">
        <v>5867</v>
      </c>
      <c r="BK302" t="s">
        <v>2084</v>
      </c>
      <c r="BL302" t="s">
        <v>2257</v>
      </c>
      <c r="BM302" t="s">
        <v>5868</v>
      </c>
      <c r="BN302" t="s">
        <v>74</v>
      </c>
      <c r="BO302" t="s">
        <v>74</v>
      </c>
      <c r="BP302" t="s">
        <v>74</v>
      </c>
      <c r="BQ302" t="s">
        <v>74</v>
      </c>
      <c r="BR302" t="s">
        <v>105</v>
      </c>
      <c r="BS302" t="s">
        <v>5869</v>
      </c>
      <c r="BT302" t="str">
        <f>HYPERLINK("https%3A%2F%2Fwww.webofscience.com%2Fwos%2Fwoscc%2Ffull-record%2FWOS:000411314000008","View Full Record in Web of Science")</f>
        <v>View Full Record in Web of Science</v>
      </c>
    </row>
    <row r="303" spans="1:72" x14ac:dyDescent="0.15">
      <c r="A303" t="s">
        <v>72</v>
      </c>
      <c r="B303" t="s">
        <v>5870</v>
      </c>
      <c r="C303" t="s">
        <v>74</v>
      </c>
      <c r="D303" t="s">
        <v>74</v>
      </c>
      <c r="E303" t="s">
        <v>74</v>
      </c>
      <c r="F303" t="s">
        <v>5871</v>
      </c>
      <c r="G303" t="s">
        <v>74</v>
      </c>
      <c r="H303" t="s">
        <v>74</v>
      </c>
      <c r="I303" t="s">
        <v>5872</v>
      </c>
      <c r="J303" t="s">
        <v>4670</v>
      </c>
      <c r="K303" t="s">
        <v>74</v>
      </c>
      <c r="L303" t="s">
        <v>74</v>
      </c>
      <c r="M303" t="s">
        <v>78</v>
      </c>
      <c r="N303" t="s">
        <v>79</v>
      </c>
      <c r="O303" t="s">
        <v>74</v>
      </c>
      <c r="P303" t="s">
        <v>74</v>
      </c>
      <c r="Q303" t="s">
        <v>74</v>
      </c>
      <c r="R303" t="s">
        <v>74</v>
      </c>
      <c r="S303" t="s">
        <v>74</v>
      </c>
      <c r="T303" t="s">
        <v>5873</v>
      </c>
      <c r="U303" t="s">
        <v>5874</v>
      </c>
      <c r="V303" t="s">
        <v>5875</v>
      </c>
      <c r="W303" t="s">
        <v>5876</v>
      </c>
      <c r="X303" t="s">
        <v>5877</v>
      </c>
      <c r="Y303" t="s">
        <v>5878</v>
      </c>
      <c r="Z303" t="s">
        <v>5879</v>
      </c>
      <c r="AA303" t="s">
        <v>5880</v>
      </c>
      <c r="AB303" t="s">
        <v>5881</v>
      </c>
      <c r="AC303" t="s">
        <v>5882</v>
      </c>
      <c r="AD303" t="s">
        <v>5883</v>
      </c>
      <c r="AE303" t="s">
        <v>5884</v>
      </c>
      <c r="AF303" t="s">
        <v>74</v>
      </c>
      <c r="AG303">
        <v>49</v>
      </c>
      <c r="AH303">
        <v>3</v>
      </c>
      <c r="AI303">
        <v>4</v>
      </c>
      <c r="AJ303">
        <v>0</v>
      </c>
      <c r="AK303">
        <v>3</v>
      </c>
      <c r="AL303" t="s">
        <v>1967</v>
      </c>
      <c r="AM303" t="s">
        <v>1910</v>
      </c>
      <c r="AN303" t="s">
        <v>1968</v>
      </c>
      <c r="AO303" t="s">
        <v>4683</v>
      </c>
      <c r="AP303" t="s">
        <v>4684</v>
      </c>
      <c r="AQ303" t="s">
        <v>74</v>
      </c>
      <c r="AR303" t="s">
        <v>4685</v>
      </c>
      <c r="AS303" t="s">
        <v>4686</v>
      </c>
      <c r="AT303" t="s">
        <v>74</v>
      </c>
      <c r="AU303">
        <v>2017</v>
      </c>
      <c r="AV303">
        <v>32</v>
      </c>
      <c r="AW303">
        <v>3</v>
      </c>
      <c r="AX303" t="s">
        <v>74</v>
      </c>
      <c r="AY303" t="s">
        <v>74</v>
      </c>
      <c r="AZ303" t="s">
        <v>74</v>
      </c>
      <c r="BA303" t="s">
        <v>74</v>
      </c>
      <c r="BB303">
        <v>295</v>
      </c>
      <c r="BC303">
        <v>307</v>
      </c>
      <c r="BD303" t="s">
        <v>74</v>
      </c>
      <c r="BE303" t="s">
        <v>5885</v>
      </c>
      <c r="BF303" t="str">
        <f>HYPERLINK("http://dx.doi.org/10.1080/0269249X.2017.1365015","http://dx.doi.org/10.1080/0269249X.2017.1365015")</f>
        <v>http://dx.doi.org/10.1080/0269249X.2017.1365015</v>
      </c>
      <c r="BG303" t="s">
        <v>74</v>
      </c>
      <c r="BH303" t="s">
        <v>74</v>
      </c>
      <c r="BI303">
        <v>13</v>
      </c>
      <c r="BJ303" t="s">
        <v>2474</v>
      </c>
      <c r="BK303" t="s">
        <v>101</v>
      </c>
      <c r="BL303" t="s">
        <v>2474</v>
      </c>
      <c r="BM303" t="s">
        <v>5886</v>
      </c>
      <c r="BN303" t="s">
        <v>74</v>
      </c>
      <c r="BO303" t="s">
        <v>74</v>
      </c>
      <c r="BP303" t="s">
        <v>74</v>
      </c>
      <c r="BQ303" t="s">
        <v>74</v>
      </c>
      <c r="BR303" t="s">
        <v>105</v>
      </c>
      <c r="BS303" t="s">
        <v>5887</v>
      </c>
      <c r="BT303" t="str">
        <f>HYPERLINK("https%3A%2F%2Fwww.webofscience.com%2Fwos%2Fwoscc%2Ffull-record%2FWOS:000414949300005","View Full Record in Web of Science")</f>
        <v>View Full Record in Web of Science</v>
      </c>
    </row>
    <row r="304" spans="1:72" x14ac:dyDescent="0.15">
      <c r="A304" t="s">
        <v>72</v>
      </c>
      <c r="B304" t="s">
        <v>5888</v>
      </c>
      <c r="C304" t="s">
        <v>74</v>
      </c>
      <c r="D304" t="s">
        <v>74</v>
      </c>
      <c r="E304" t="s">
        <v>74</v>
      </c>
      <c r="F304" t="s">
        <v>5889</v>
      </c>
      <c r="G304" t="s">
        <v>74</v>
      </c>
      <c r="H304" t="s">
        <v>74</v>
      </c>
      <c r="I304" t="s">
        <v>5890</v>
      </c>
      <c r="J304" t="s">
        <v>5891</v>
      </c>
      <c r="K304" t="s">
        <v>74</v>
      </c>
      <c r="L304" t="s">
        <v>74</v>
      </c>
      <c r="M304" t="s">
        <v>78</v>
      </c>
      <c r="N304" t="s">
        <v>79</v>
      </c>
      <c r="O304" t="s">
        <v>74</v>
      </c>
      <c r="P304" t="s">
        <v>74</v>
      </c>
      <c r="Q304" t="s">
        <v>74</v>
      </c>
      <c r="R304" t="s">
        <v>74</v>
      </c>
      <c r="S304" t="s">
        <v>74</v>
      </c>
      <c r="T304" t="s">
        <v>5892</v>
      </c>
      <c r="U304" t="s">
        <v>74</v>
      </c>
      <c r="V304" t="s">
        <v>5893</v>
      </c>
      <c r="W304" t="s">
        <v>5894</v>
      </c>
      <c r="X304" t="s">
        <v>5895</v>
      </c>
      <c r="Y304" t="s">
        <v>5896</v>
      </c>
      <c r="Z304" t="s">
        <v>5897</v>
      </c>
      <c r="AA304" t="s">
        <v>5898</v>
      </c>
      <c r="AB304" t="s">
        <v>5899</v>
      </c>
      <c r="AC304" t="s">
        <v>5900</v>
      </c>
      <c r="AD304" t="s">
        <v>5901</v>
      </c>
      <c r="AE304" t="s">
        <v>5902</v>
      </c>
      <c r="AF304" t="s">
        <v>74</v>
      </c>
      <c r="AG304">
        <v>18</v>
      </c>
      <c r="AH304">
        <v>0</v>
      </c>
      <c r="AI304">
        <v>0</v>
      </c>
      <c r="AJ304">
        <v>0</v>
      </c>
      <c r="AK304">
        <v>2</v>
      </c>
      <c r="AL304" t="s">
        <v>5903</v>
      </c>
      <c r="AM304" t="s">
        <v>5904</v>
      </c>
      <c r="AN304" t="s">
        <v>5905</v>
      </c>
      <c r="AO304" t="s">
        <v>5906</v>
      </c>
      <c r="AP304" t="s">
        <v>74</v>
      </c>
      <c r="AQ304" t="s">
        <v>74</v>
      </c>
      <c r="AR304" t="s">
        <v>5907</v>
      </c>
      <c r="AS304" t="s">
        <v>5908</v>
      </c>
      <c r="AT304" t="s">
        <v>74</v>
      </c>
      <c r="AU304">
        <v>2017</v>
      </c>
      <c r="AV304">
        <v>9</v>
      </c>
      <c r="AW304" t="s">
        <v>74</v>
      </c>
      <c r="AX304" t="s">
        <v>74</v>
      </c>
      <c r="AY304">
        <v>5</v>
      </c>
      <c r="AZ304" t="s">
        <v>270</v>
      </c>
      <c r="BA304" t="s">
        <v>74</v>
      </c>
      <c r="BB304">
        <v>481</v>
      </c>
      <c r="BC304">
        <v>497</v>
      </c>
      <c r="BD304" t="s">
        <v>74</v>
      </c>
      <c r="BE304" t="s">
        <v>5909</v>
      </c>
      <c r="BF304" t="str">
        <f>HYPERLINK("http://dx.doi.org/10.4314/jfas.v9i5s.34","http://dx.doi.org/10.4314/jfas.v9i5s.34")</f>
        <v>http://dx.doi.org/10.4314/jfas.v9i5s.34</v>
      </c>
      <c r="BG304" t="s">
        <v>74</v>
      </c>
      <c r="BH304" t="s">
        <v>74</v>
      </c>
      <c r="BI304">
        <v>17</v>
      </c>
      <c r="BJ304" t="s">
        <v>100</v>
      </c>
      <c r="BK304" t="s">
        <v>2057</v>
      </c>
      <c r="BL304" t="s">
        <v>102</v>
      </c>
      <c r="BM304" t="s">
        <v>5910</v>
      </c>
      <c r="BN304" t="s">
        <v>74</v>
      </c>
      <c r="BO304" t="s">
        <v>941</v>
      </c>
      <c r="BP304" t="s">
        <v>74</v>
      </c>
      <c r="BQ304" t="s">
        <v>74</v>
      </c>
      <c r="BR304" t="s">
        <v>105</v>
      </c>
      <c r="BS304" t="s">
        <v>5911</v>
      </c>
      <c r="BT304" t="str">
        <f>HYPERLINK("https%3A%2F%2Fwww.webofscience.com%2Fwos%2Fwoscc%2Ffull-record%2FWOS:000414751200034","View Full Record in Web of Science")</f>
        <v>View Full Record in Web of Science</v>
      </c>
    </row>
    <row r="305" spans="1:72" x14ac:dyDescent="0.15">
      <c r="A305" t="s">
        <v>72</v>
      </c>
      <c r="B305" t="s">
        <v>5912</v>
      </c>
      <c r="C305" t="s">
        <v>74</v>
      </c>
      <c r="D305" t="s">
        <v>74</v>
      </c>
      <c r="E305" t="s">
        <v>74</v>
      </c>
      <c r="F305" t="s">
        <v>5913</v>
      </c>
      <c r="G305" t="s">
        <v>74</v>
      </c>
      <c r="H305" t="s">
        <v>74</v>
      </c>
      <c r="I305" t="s">
        <v>5914</v>
      </c>
      <c r="J305" t="s">
        <v>5891</v>
      </c>
      <c r="K305" t="s">
        <v>74</v>
      </c>
      <c r="L305" t="s">
        <v>74</v>
      </c>
      <c r="M305" t="s">
        <v>78</v>
      </c>
      <c r="N305" t="s">
        <v>79</v>
      </c>
      <c r="O305" t="s">
        <v>74</v>
      </c>
      <c r="P305" t="s">
        <v>74</v>
      </c>
      <c r="Q305" t="s">
        <v>74</v>
      </c>
      <c r="R305" t="s">
        <v>74</v>
      </c>
      <c r="S305" t="s">
        <v>74</v>
      </c>
      <c r="T305" t="s">
        <v>5915</v>
      </c>
      <c r="U305" t="s">
        <v>5916</v>
      </c>
      <c r="V305" t="s">
        <v>5917</v>
      </c>
      <c r="W305" t="s">
        <v>5918</v>
      </c>
      <c r="X305" t="s">
        <v>5895</v>
      </c>
      <c r="Y305" t="s">
        <v>5919</v>
      </c>
      <c r="Z305" t="s">
        <v>5920</v>
      </c>
      <c r="AA305" t="s">
        <v>5921</v>
      </c>
      <c r="AB305" t="s">
        <v>74</v>
      </c>
      <c r="AC305" t="s">
        <v>5922</v>
      </c>
      <c r="AD305" t="s">
        <v>5923</v>
      </c>
      <c r="AE305" t="s">
        <v>5924</v>
      </c>
      <c r="AF305" t="s">
        <v>74</v>
      </c>
      <c r="AG305">
        <v>26</v>
      </c>
      <c r="AH305">
        <v>0</v>
      </c>
      <c r="AI305">
        <v>0</v>
      </c>
      <c r="AJ305">
        <v>0</v>
      </c>
      <c r="AK305">
        <v>1</v>
      </c>
      <c r="AL305" t="s">
        <v>5903</v>
      </c>
      <c r="AM305" t="s">
        <v>5904</v>
      </c>
      <c r="AN305" t="s">
        <v>5905</v>
      </c>
      <c r="AO305" t="s">
        <v>5906</v>
      </c>
      <c r="AP305" t="s">
        <v>74</v>
      </c>
      <c r="AQ305" t="s">
        <v>74</v>
      </c>
      <c r="AR305" t="s">
        <v>5907</v>
      </c>
      <c r="AS305" t="s">
        <v>5908</v>
      </c>
      <c r="AT305" t="s">
        <v>74</v>
      </c>
      <c r="AU305">
        <v>2017</v>
      </c>
      <c r="AV305">
        <v>9</v>
      </c>
      <c r="AW305" t="s">
        <v>74</v>
      </c>
      <c r="AX305" t="s">
        <v>74</v>
      </c>
      <c r="AY305">
        <v>5</v>
      </c>
      <c r="AZ305" t="s">
        <v>270</v>
      </c>
      <c r="BA305" t="s">
        <v>74</v>
      </c>
      <c r="BB305">
        <v>498</v>
      </c>
      <c r="BC305">
        <v>513</v>
      </c>
      <c r="BD305" t="s">
        <v>74</v>
      </c>
      <c r="BE305" t="s">
        <v>5925</v>
      </c>
      <c r="BF305" t="str">
        <f>HYPERLINK("http://dx.doi.org/10.4314/jfas.v9i5s.35","http://dx.doi.org/10.4314/jfas.v9i5s.35")</f>
        <v>http://dx.doi.org/10.4314/jfas.v9i5s.35</v>
      </c>
      <c r="BG305" t="s">
        <v>74</v>
      </c>
      <c r="BH305" t="s">
        <v>74</v>
      </c>
      <c r="BI305">
        <v>16</v>
      </c>
      <c r="BJ305" t="s">
        <v>100</v>
      </c>
      <c r="BK305" t="s">
        <v>2057</v>
      </c>
      <c r="BL305" t="s">
        <v>102</v>
      </c>
      <c r="BM305" t="s">
        <v>5910</v>
      </c>
      <c r="BN305" t="s">
        <v>74</v>
      </c>
      <c r="BO305" t="s">
        <v>892</v>
      </c>
      <c r="BP305" t="s">
        <v>74</v>
      </c>
      <c r="BQ305" t="s">
        <v>74</v>
      </c>
      <c r="BR305" t="s">
        <v>105</v>
      </c>
      <c r="BS305" t="s">
        <v>5926</v>
      </c>
      <c r="BT305" t="str">
        <f>HYPERLINK("https%3A%2F%2Fwww.webofscience.com%2Fwos%2Fwoscc%2Ffull-record%2FWOS:000414751200035","View Full Record in Web of Science")</f>
        <v>View Full Record in Web of Science</v>
      </c>
    </row>
    <row r="306" spans="1:72" x14ac:dyDescent="0.15">
      <c r="A306" t="s">
        <v>72</v>
      </c>
      <c r="B306" t="s">
        <v>5927</v>
      </c>
      <c r="C306" t="s">
        <v>74</v>
      </c>
      <c r="D306" t="s">
        <v>74</v>
      </c>
      <c r="E306" t="s">
        <v>74</v>
      </c>
      <c r="F306" t="s">
        <v>5928</v>
      </c>
      <c r="G306" t="s">
        <v>74</v>
      </c>
      <c r="H306" t="s">
        <v>74</v>
      </c>
      <c r="I306" t="s">
        <v>5929</v>
      </c>
      <c r="J306" t="s">
        <v>5930</v>
      </c>
      <c r="K306" t="s">
        <v>74</v>
      </c>
      <c r="L306" t="s">
        <v>74</v>
      </c>
      <c r="M306" t="s">
        <v>78</v>
      </c>
      <c r="N306" t="s">
        <v>79</v>
      </c>
      <c r="O306" t="s">
        <v>74</v>
      </c>
      <c r="P306" t="s">
        <v>74</v>
      </c>
      <c r="Q306" t="s">
        <v>74</v>
      </c>
      <c r="R306" t="s">
        <v>74</v>
      </c>
      <c r="S306" t="s">
        <v>74</v>
      </c>
      <c r="T306" t="s">
        <v>5931</v>
      </c>
      <c r="U306" t="s">
        <v>5932</v>
      </c>
      <c r="V306" t="s">
        <v>5933</v>
      </c>
      <c r="W306" t="s">
        <v>5934</v>
      </c>
      <c r="X306" t="s">
        <v>5935</v>
      </c>
      <c r="Y306" t="s">
        <v>5936</v>
      </c>
      <c r="Z306" t="s">
        <v>5937</v>
      </c>
      <c r="AA306" t="s">
        <v>74</v>
      </c>
      <c r="AB306" t="s">
        <v>74</v>
      </c>
      <c r="AC306" t="s">
        <v>5938</v>
      </c>
      <c r="AD306" t="s">
        <v>5939</v>
      </c>
      <c r="AE306" t="s">
        <v>5940</v>
      </c>
      <c r="AF306" t="s">
        <v>74</v>
      </c>
      <c r="AG306">
        <v>94</v>
      </c>
      <c r="AH306">
        <v>8</v>
      </c>
      <c r="AI306">
        <v>10</v>
      </c>
      <c r="AJ306">
        <v>0</v>
      </c>
      <c r="AK306">
        <v>6</v>
      </c>
      <c r="AL306" t="s">
        <v>5941</v>
      </c>
      <c r="AM306" t="s">
        <v>5942</v>
      </c>
      <c r="AN306" t="s">
        <v>5943</v>
      </c>
      <c r="AO306" t="s">
        <v>5944</v>
      </c>
      <c r="AP306" t="s">
        <v>74</v>
      </c>
      <c r="AQ306" t="s">
        <v>74</v>
      </c>
      <c r="AR306" t="s">
        <v>5945</v>
      </c>
      <c r="AS306" t="s">
        <v>5946</v>
      </c>
      <c r="AT306" t="s">
        <v>74</v>
      </c>
      <c r="AU306">
        <v>2017</v>
      </c>
      <c r="AV306">
        <v>269</v>
      </c>
      <c r="AW306" t="s">
        <v>74</v>
      </c>
      <c r="AX306" t="s">
        <v>74</v>
      </c>
      <c r="AY306" t="s">
        <v>74</v>
      </c>
      <c r="AZ306" t="s">
        <v>74</v>
      </c>
      <c r="BA306" t="s">
        <v>74</v>
      </c>
      <c r="BB306">
        <v>26</v>
      </c>
      <c r="BC306">
        <v>47</v>
      </c>
      <c r="BD306" t="s">
        <v>74</v>
      </c>
      <c r="BE306" t="s">
        <v>5947</v>
      </c>
      <c r="BF306" t="str">
        <f>HYPERLINK("http://dx.doi.org/10.1016/j.jcz.2017.07.003","http://dx.doi.org/10.1016/j.jcz.2017.07.003")</f>
        <v>http://dx.doi.org/10.1016/j.jcz.2017.07.003</v>
      </c>
      <c r="BG306" t="s">
        <v>74</v>
      </c>
      <c r="BH306" t="s">
        <v>74</v>
      </c>
      <c r="BI306">
        <v>22</v>
      </c>
      <c r="BJ306" t="s">
        <v>643</v>
      </c>
      <c r="BK306" t="s">
        <v>101</v>
      </c>
      <c r="BL306" t="s">
        <v>643</v>
      </c>
      <c r="BM306" t="s">
        <v>5948</v>
      </c>
      <c r="BN306" t="s">
        <v>74</v>
      </c>
      <c r="BO306" t="s">
        <v>74</v>
      </c>
      <c r="BP306" t="s">
        <v>74</v>
      </c>
      <c r="BQ306" t="s">
        <v>74</v>
      </c>
      <c r="BR306" t="s">
        <v>105</v>
      </c>
      <c r="BS306" t="s">
        <v>5949</v>
      </c>
      <c r="BT306" t="str">
        <f>HYPERLINK("https%3A%2F%2Fwww.webofscience.com%2Fwos%2Fwoscc%2Ffull-record%2FWOS:000414877600003","View Full Record in Web of Science")</f>
        <v>View Full Record in Web of Science</v>
      </c>
    </row>
    <row r="307" spans="1:72" x14ac:dyDescent="0.15">
      <c r="A307" t="s">
        <v>1823</v>
      </c>
      <c r="B307" t="s">
        <v>5950</v>
      </c>
      <c r="C307" t="s">
        <v>74</v>
      </c>
      <c r="D307" t="s">
        <v>74</v>
      </c>
      <c r="E307" t="s">
        <v>1825</v>
      </c>
      <c r="F307" t="s">
        <v>5951</v>
      </c>
      <c r="G307" t="s">
        <v>74</v>
      </c>
      <c r="H307" t="s">
        <v>74</v>
      </c>
      <c r="I307" t="s">
        <v>5952</v>
      </c>
      <c r="J307" t="s">
        <v>5953</v>
      </c>
      <c r="K307" t="s">
        <v>74</v>
      </c>
      <c r="L307" t="s">
        <v>74</v>
      </c>
      <c r="M307" t="s">
        <v>78</v>
      </c>
      <c r="N307" t="s">
        <v>1829</v>
      </c>
      <c r="O307" t="s">
        <v>5954</v>
      </c>
      <c r="P307" t="s">
        <v>5955</v>
      </c>
      <c r="Q307" t="s">
        <v>3805</v>
      </c>
      <c r="R307" t="s">
        <v>74</v>
      </c>
      <c r="S307" t="s">
        <v>74</v>
      </c>
      <c r="T307" t="s">
        <v>5956</v>
      </c>
      <c r="U307" t="s">
        <v>5957</v>
      </c>
      <c r="V307" t="s">
        <v>5958</v>
      </c>
      <c r="W307" t="s">
        <v>5959</v>
      </c>
      <c r="X307" t="s">
        <v>5960</v>
      </c>
      <c r="Y307" t="s">
        <v>5961</v>
      </c>
      <c r="Z307" t="s">
        <v>74</v>
      </c>
      <c r="AA307" t="s">
        <v>74</v>
      </c>
      <c r="AB307" t="s">
        <v>5962</v>
      </c>
      <c r="AC307" t="s">
        <v>5963</v>
      </c>
      <c r="AD307" t="s">
        <v>5964</v>
      </c>
      <c r="AE307" t="s">
        <v>5965</v>
      </c>
      <c r="AF307" t="s">
        <v>74</v>
      </c>
      <c r="AG307">
        <v>11</v>
      </c>
      <c r="AH307">
        <v>7</v>
      </c>
      <c r="AI307">
        <v>7</v>
      </c>
      <c r="AJ307">
        <v>0</v>
      </c>
      <c r="AK307">
        <v>8</v>
      </c>
      <c r="AL307" t="s">
        <v>1825</v>
      </c>
      <c r="AM307" t="s">
        <v>187</v>
      </c>
      <c r="AN307" t="s">
        <v>1842</v>
      </c>
      <c r="AO307" t="s">
        <v>74</v>
      </c>
      <c r="AP307" t="s">
        <v>74</v>
      </c>
      <c r="AQ307" t="s">
        <v>5966</v>
      </c>
      <c r="AR307" t="s">
        <v>74</v>
      </c>
      <c r="AS307" t="s">
        <v>74</v>
      </c>
      <c r="AT307" t="s">
        <v>74</v>
      </c>
      <c r="AU307">
        <v>2017</v>
      </c>
      <c r="AV307" t="s">
        <v>74</v>
      </c>
      <c r="AW307" t="s">
        <v>74</v>
      </c>
      <c r="AX307" t="s">
        <v>74</v>
      </c>
      <c r="AY307" t="s">
        <v>74</v>
      </c>
      <c r="AZ307" t="s">
        <v>74</v>
      </c>
      <c r="BA307" t="s">
        <v>74</v>
      </c>
      <c r="BB307" t="s">
        <v>74</v>
      </c>
      <c r="BC307" t="s">
        <v>74</v>
      </c>
      <c r="BD307" t="s">
        <v>74</v>
      </c>
      <c r="BE307" t="s">
        <v>74</v>
      </c>
      <c r="BF307" t="s">
        <v>74</v>
      </c>
      <c r="BG307" t="s">
        <v>74</v>
      </c>
      <c r="BH307" t="s">
        <v>74</v>
      </c>
      <c r="BI307">
        <v>5</v>
      </c>
      <c r="BJ307" t="s">
        <v>5967</v>
      </c>
      <c r="BK307" t="s">
        <v>1844</v>
      </c>
      <c r="BL307" t="s">
        <v>5968</v>
      </c>
      <c r="BM307" t="s">
        <v>5969</v>
      </c>
      <c r="BN307" t="s">
        <v>74</v>
      </c>
      <c r="BO307" t="s">
        <v>74</v>
      </c>
      <c r="BP307" t="s">
        <v>74</v>
      </c>
      <c r="BQ307" t="s">
        <v>74</v>
      </c>
      <c r="BR307" t="s">
        <v>105</v>
      </c>
      <c r="BS307" t="s">
        <v>5970</v>
      </c>
      <c r="BT307" t="str">
        <f>HYPERLINK("https%3A%2F%2Fwww.webofscience.com%2Fwos%2Fwoscc%2Ffull-record%2FWOS:000414285000002","View Full Record in Web of Science")</f>
        <v>View Full Record in Web of Science</v>
      </c>
    </row>
    <row r="308" spans="1:72" x14ac:dyDescent="0.15">
      <c r="A308" t="s">
        <v>1823</v>
      </c>
      <c r="B308" t="s">
        <v>5480</v>
      </c>
      <c r="C308" t="s">
        <v>74</v>
      </c>
      <c r="D308" t="s">
        <v>74</v>
      </c>
      <c r="E308" t="s">
        <v>4290</v>
      </c>
      <c r="F308" t="s">
        <v>5971</v>
      </c>
      <c r="G308" t="s">
        <v>74</v>
      </c>
      <c r="H308" t="s">
        <v>74</v>
      </c>
      <c r="I308" t="s">
        <v>5972</v>
      </c>
      <c r="J308" t="s">
        <v>5973</v>
      </c>
      <c r="K308" t="s">
        <v>4734</v>
      </c>
      <c r="L308" t="s">
        <v>74</v>
      </c>
      <c r="M308" t="s">
        <v>78</v>
      </c>
      <c r="N308" t="s">
        <v>1829</v>
      </c>
      <c r="O308" t="s">
        <v>5974</v>
      </c>
      <c r="P308" t="s">
        <v>5107</v>
      </c>
      <c r="Q308" t="s">
        <v>5975</v>
      </c>
      <c r="R308" t="s">
        <v>74</v>
      </c>
      <c r="S308" t="s">
        <v>5976</v>
      </c>
      <c r="T308" t="s">
        <v>74</v>
      </c>
      <c r="U308" t="s">
        <v>5977</v>
      </c>
      <c r="V308" t="s">
        <v>5978</v>
      </c>
      <c r="W308" t="s">
        <v>5979</v>
      </c>
      <c r="X308" t="s">
        <v>5487</v>
      </c>
      <c r="Y308" t="s">
        <v>5515</v>
      </c>
      <c r="Z308" t="s">
        <v>5489</v>
      </c>
      <c r="AA308" t="s">
        <v>5490</v>
      </c>
      <c r="AB308" t="s">
        <v>5491</v>
      </c>
      <c r="AC308" t="s">
        <v>5980</v>
      </c>
      <c r="AD308" t="s">
        <v>5981</v>
      </c>
      <c r="AE308" t="s">
        <v>5982</v>
      </c>
      <c r="AF308" t="s">
        <v>74</v>
      </c>
      <c r="AG308">
        <v>14</v>
      </c>
      <c r="AH308">
        <v>0</v>
      </c>
      <c r="AI308">
        <v>0</v>
      </c>
      <c r="AJ308">
        <v>0</v>
      </c>
      <c r="AK308">
        <v>2</v>
      </c>
      <c r="AL308" t="s">
        <v>4304</v>
      </c>
      <c r="AM308" t="s">
        <v>4305</v>
      </c>
      <c r="AN308" t="s">
        <v>4306</v>
      </c>
      <c r="AO308" t="s">
        <v>4743</v>
      </c>
      <c r="AP308" t="s">
        <v>4744</v>
      </c>
      <c r="AQ308" t="s">
        <v>74</v>
      </c>
      <c r="AR308" t="s">
        <v>4745</v>
      </c>
      <c r="AS308" t="s">
        <v>74</v>
      </c>
      <c r="AT308" t="s">
        <v>74</v>
      </c>
      <c r="AU308">
        <v>2017</v>
      </c>
      <c r="AV308">
        <v>846</v>
      </c>
      <c r="AW308" t="s">
        <v>74</v>
      </c>
      <c r="AX308" t="s">
        <v>74</v>
      </c>
      <c r="AY308" t="s">
        <v>74</v>
      </c>
      <c r="AZ308" t="s">
        <v>74</v>
      </c>
      <c r="BA308" t="s">
        <v>74</v>
      </c>
      <c r="BB308" t="s">
        <v>74</v>
      </c>
      <c r="BC308" t="s">
        <v>74</v>
      </c>
      <c r="BD308">
        <v>12001</v>
      </c>
      <c r="BE308" t="s">
        <v>5983</v>
      </c>
      <c r="BF308" t="str">
        <f>HYPERLINK("http://dx.doi.org/10.1088/1742-6596/846/1/012001","http://dx.doi.org/10.1088/1742-6596/846/1/012001")</f>
        <v>http://dx.doi.org/10.1088/1742-6596/846/1/012001</v>
      </c>
      <c r="BG308" t="s">
        <v>74</v>
      </c>
      <c r="BH308" t="s">
        <v>74</v>
      </c>
      <c r="BI308">
        <v>8</v>
      </c>
      <c r="BJ308" t="s">
        <v>5984</v>
      </c>
      <c r="BK308" t="s">
        <v>1844</v>
      </c>
      <c r="BL308" t="s">
        <v>3737</v>
      </c>
      <c r="BM308" t="s">
        <v>5985</v>
      </c>
      <c r="BN308" t="s">
        <v>74</v>
      </c>
      <c r="BO308" t="s">
        <v>941</v>
      </c>
      <c r="BP308" t="s">
        <v>74</v>
      </c>
      <c r="BQ308" t="s">
        <v>74</v>
      </c>
      <c r="BR308" t="s">
        <v>105</v>
      </c>
      <c r="BS308" t="s">
        <v>5986</v>
      </c>
      <c r="BT308" t="str">
        <f>HYPERLINK("https%3A%2F%2Fwww.webofscience.com%2Fwos%2Fwoscc%2Ffull-record%2FWOS:000414149000001","View Full Record in Web of Science")</f>
        <v>View Full Record in Web of Science</v>
      </c>
    </row>
    <row r="309" spans="1:72" x14ac:dyDescent="0.15">
      <c r="A309" t="s">
        <v>2331</v>
      </c>
      <c r="B309" t="s">
        <v>5987</v>
      </c>
      <c r="C309" t="s">
        <v>74</v>
      </c>
      <c r="D309" t="s">
        <v>5988</v>
      </c>
      <c r="E309" t="s">
        <v>74</v>
      </c>
      <c r="F309" t="s">
        <v>5989</v>
      </c>
      <c r="G309" t="s">
        <v>74</v>
      </c>
      <c r="H309" t="s">
        <v>74</v>
      </c>
      <c r="I309" t="s">
        <v>5990</v>
      </c>
      <c r="J309" t="s">
        <v>5991</v>
      </c>
      <c r="K309" t="s">
        <v>74</v>
      </c>
      <c r="L309" t="s">
        <v>74</v>
      </c>
      <c r="M309" t="s">
        <v>78</v>
      </c>
      <c r="N309" t="s">
        <v>2067</v>
      </c>
      <c r="O309" t="s">
        <v>74</v>
      </c>
      <c r="P309" t="s">
        <v>74</v>
      </c>
      <c r="Q309" t="s">
        <v>74</v>
      </c>
      <c r="R309" t="s">
        <v>74</v>
      </c>
      <c r="S309" t="s">
        <v>74</v>
      </c>
      <c r="T309" t="s">
        <v>74</v>
      </c>
      <c r="U309" t="s">
        <v>5992</v>
      </c>
      <c r="V309" t="s">
        <v>74</v>
      </c>
      <c r="W309" t="s">
        <v>5993</v>
      </c>
      <c r="X309" t="s">
        <v>5994</v>
      </c>
      <c r="Y309" t="s">
        <v>5995</v>
      </c>
      <c r="Z309" t="s">
        <v>5996</v>
      </c>
      <c r="AA309" t="s">
        <v>5997</v>
      </c>
      <c r="AB309" t="s">
        <v>5998</v>
      </c>
      <c r="AC309" t="s">
        <v>74</v>
      </c>
      <c r="AD309" t="s">
        <v>74</v>
      </c>
      <c r="AE309" t="s">
        <v>74</v>
      </c>
      <c r="AF309" t="s">
        <v>74</v>
      </c>
      <c r="AG309">
        <v>125</v>
      </c>
      <c r="AH309">
        <v>13</v>
      </c>
      <c r="AI309">
        <v>13</v>
      </c>
      <c r="AJ309">
        <v>0</v>
      </c>
      <c r="AK309">
        <v>3</v>
      </c>
      <c r="AL309" t="s">
        <v>168</v>
      </c>
      <c r="AM309" t="s">
        <v>169</v>
      </c>
      <c r="AN309" t="s">
        <v>5762</v>
      </c>
      <c r="AO309" t="s">
        <v>74</v>
      </c>
      <c r="AP309" t="s">
        <v>74</v>
      </c>
      <c r="AQ309" t="s">
        <v>5999</v>
      </c>
      <c r="AR309" t="s">
        <v>74</v>
      </c>
      <c r="AS309" t="s">
        <v>74</v>
      </c>
      <c r="AT309" t="s">
        <v>74</v>
      </c>
      <c r="AU309">
        <v>2017</v>
      </c>
      <c r="AV309" t="s">
        <v>74</v>
      </c>
      <c r="AW309" t="s">
        <v>74</v>
      </c>
      <c r="AX309" t="s">
        <v>74</v>
      </c>
      <c r="AY309" t="s">
        <v>74</v>
      </c>
      <c r="AZ309" t="s">
        <v>74</v>
      </c>
      <c r="BA309" t="s">
        <v>74</v>
      </c>
      <c r="BB309">
        <v>17</v>
      </c>
      <c r="BC309">
        <v>38</v>
      </c>
      <c r="BD309" t="s">
        <v>74</v>
      </c>
      <c r="BE309" t="s">
        <v>6000</v>
      </c>
      <c r="BF309" t="str">
        <f>HYPERLINK("http://dx.doi.org/10.1016/B978-0-444-63784-0.00002-3","http://dx.doi.org/10.1016/B978-0-444-63784-0.00002-3")</f>
        <v>http://dx.doi.org/10.1016/B978-0-444-63784-0.00002-3</v>
      </c>
      <c r="BG309" t="s">
        <v>74</v>
      </c>
      <c r="BH309" t="s">
        <v>74</v>
      </c>
      <c r="BI309">
        <v>22</v>
      </c>
      <c r="BJ309" t="s">
        <v>1107</v>
      </c>
      <c r="BK309" t="s">
        <v>2084</v>
      </c>
      <c r="BL309" t="s">
        <v>1107</v>
      </c>
      <c r="BM309" t="s">
        <v>6001</v>
      </c>
      <c r="BN309" t="s">
        <v>74</v>
      </c>
      <c r="BO309" t="s">
        <v>74</v>
      </c>
      <c r="BP309" t="s">
        <v>74</v>
      </c>
      <c r="BQ309" t="s">
        <v>74</v>
      </c>
      <c r="BR309" t="s">
        <v>105</v>
      </c>
      <c r="BS309" t="s">
        <v>6002</v>
      </c>
      <c r="BT309" t="str">
        <f>HYPERLINK("https%3A%2F%2Fwww.webofscience.com%2Fwos%2Fwoscc%2Ffull-record%2FWOS:000412584100003","View Full Record in Web of Science")</f>
        <v>View Full Record in Web of Science</v>
      </c>
    </row>
    <row r="310" spans="1:72" x14ac:dyDescent="0.15">
      <c r="A310" t="s">
        <v>72</v>
      </c>
      <c r="B310" t="s">
        <v>6003</v>
      </c>
      <c r="C310" t="s">
        <v>74</v>
      </c>
      <c r="D310" t="s">
        <v>74</v>
      </c>
      <c r="E310" t="s">
        <v>74</v>
      </c>
      <c r="F310" t="s">
        <v>6004</v>
      </c>
      <c r="G310" t="s">
        <v>74</v>
      </c>
      <c r="H310" t="s">
        <v>74</v>
      </c>
      <c r="I310" t="s">
        <v>6005</v>
      </c>
      <c r="J310" t="s">
        <v>6006</v>
      </c>
      <c r="K310" t="s">
        <v>74</v>
      </c>
      <c r="L310" t="s">
        <v>74</v>
      </c>
      <c r="M310" t="s">
        <v>78</v>
      </c>
      <c r="N310" t="s">
        <v>79</v>
      </c>
      <c r="O310" t="s">
        <v>74</v>
      </c>
      <c r="P310" t="s">
        <v>74</v>
      </c>
      <c r="Q310" t="s">
        <v>74</v>
      </c>
      <c r="R310" t="s">
        <v>74</v>
      </c>
      <c r="S310" t="s">
        <v>74</v>
      </c>
      <c r="T310" t="s">
        <v>6007</v>
      </c>
      <c r="U310" t="s">
        <v>6008</v>
      </c>
      <c r="V310" t="s">
        <v>6009</v>
      </c>
      <c r="W310" t="s">
        <v>6010</v>
      </c>
      <c r="X310" t="s">
        <v>6011</v>
      </c>
      <c r="Y310" t="s">
        <v>6012</v>
      </c>
      <c r="Z310" t="s">
        <v>6013</v>
      </c>
      <c r="AA310" t="s">
        <v>6014</v>
      </c>
      <c r="AB310" t="s">
        <v>6015</v>
      </c>
      <c r="AC310" t="s">
        <v>6016</v>
      </c>
      <c r="AD310" t="s">
        <v>6017</v>
      </c>
      <c r="AE310" t="s">
        <v>6018</v>
      </c>
      <c r="AF310" t="s">
        <v>74</v>
      </c>
      <c r="AG310">
        <v>55</v>
      </c>
      <c r="AH310">
        <v>10</v>
      </c>
      <c r="AI310">
        <v>10</v>
      </c>
      <c r="AJ310">
        <v>2</v>
      </c>
      <c r="AK310">
        <v>14</v>
      </c>
      <c r="AL310" t="s">
        <v>6019</v>
      </c>
      <c r="AM310" t="s">
        <v>6020</v>
      </c>
      <c r="AN310" t="s">
        <v>6021</v>
      </c>
      <c r="AO310" t="s">
        <v>6022</v>
      </c>
      <c r="AP310" t="s">
        <v>6023</v>
      </c>
      <c r="AQ310" t="s">
        <v>74</v>
      </c>
      <c r="AR310" t="s">
        <v>6024</v>
      </c>
      <c r="AS310" t="s">
        <v>6025</v>
      </c>
      <c r="AT310" t="s">
        <v>74</v>
      </c>
      <c r="AU310">
        <v>2017</v>
      </c>
      <c r="AV310">
        <v>92</v>
      </c>
      <c r="AW310">
        <v>3</v>
      </c>
      <c r="AX310" t="s">
        <v>74</v>
      </c>
      <c r="AY310" t="s">
        <v>74</v>
      </c>
      <c r="AZ310" t="s">
        <v>74</v>
      </c>
      <c r="BA310" t="s">
        <v>74</v>
      </c>
      <c r="BB310">
        <v>337</v>
      </c>
      <c r="BC310">
        <v>355</v>
      </c>
      <c r="BD310" t="s">
        <v>74</v>
      </c>
      <c r="BE310" t="s">
        <v>6026</v>
      </c>
      <c r="BF310" t="str">
        <f>HYPERLINK("http://dx.doi.org/10.3140/bull.geosci.1656","http://dx.doi.org/10.3140/bull.geosci.1656")</f>
        <v>http://dx.doi.org/10.3140/bull.geosci.1656</v>
      </c>
      <c r="BG310" t="s">
        <v>74</v>
      </c>
      <c r="BH310" t="s">
        <v>74</v>
      </c>
      <c r="BI310">
        <v>19</v>
      </c>
      <c r="BJ310" t="s">
        <v>6027</v>
      </c>
      <c r="BK310" t="s">
        <v>101</v>
      </c>
      <c r="BL310" t="s">
        <v>548</v>
      </c>
      <c r="BM310" t="s">
        <v>6028</v>
      </c>
      <c r="BN310" t="s">
        <v>74</v>
      </c>
      <c r="BO310" t="s">
        <v>672</v>
      </c>
      <c r="BP310" t="s">
        <v>74</v>
      </c>
      <c r="BQ310" t="s">
        <v>74</v>
      </c>
      <c r="BR310" t="s">
        <v>105</v>
      </c>
      <c r="BS310" t="s">
        <v>6029</v>
      </c>
      <c r="BT310" t="str">
        <f>HYPERLINK("https%3A%2F%2Fwww.webofscience.com%2Fwos%2Fwoscc%2Ffull-record%2FWOS:000413997500005","View Full Record in Web of Science")</f>
        <v>View Full Record in Web of Science</v>
      </c>
    </row>
    <row r="311" spans="1:72" x14ac:dyDescent="0.15">
      <c r="A311" t="s">
        <v>72</v>
      </c>
      <c r="B311" t="s">
        <v>6030</v>
      </c>
      <c r="C311" t="s">
        <v>74</v>
      </c>
      <c r="D311" t="s">
        <v>74</v>
      </c>
      <c r="E311" t="s">
        <v>74</v>
      </c>
      <c r="F311" t="s">
        <v>6031</v>
      </c>
      <c r="G311" t="s">
        <v>74</v>
      </c>
      <c r="H311" t="s">
        <v>74</v>
      </c>
      <c r="I311" t="s">
        <v>6032</v>
      </c>
      <c r="J311" t="s">
        <v>6033</v>
      </c>
      <c r="K311" t="s">
        <v>74</v>
      </c>
      <c r="L311" t="s">
        <v>74</v>
      </c>
      <c r="M311" t="s">
        <v>78</v>
      </c>
      <c r="N311" t="s">
        <v>2034</v>
      </c>
      <c r="O311" t="s">
        <v>74</v>
      </c>
      <c r="P311" t="s">
        <v>74</v>
      </c>
      <c r="Q311" t="s">
        <v>74</v>
      </c>
      <c r="R311" t="s">
        <v>74</v>
      </c>
      <c r="S311" t="s">
        <v>74</v>
      </c>
      <c r="T311" t="s">
        <v>6034</v>
      </c>
      <c r="U311" t="s">
        <v>6035</v>
      </c>
      <c r="V311" t="s">
        <v>6036</v>
      </c>
      <c r="W311" t="s">
        <v>6037</v>
      </c>
      <c r="X311" t="s">
        <v>6038</v>
      </c>
      <c r="Y311" t="s">
        <v>6039</v>
      </c>
      <c r="Z311" t="s">
        <v>6040</v>
      </c>
      <c r="AA311" t="s">
        <v>6041</v>
      </c>
      <c r="AB311" t="s">
        <v>6042</v>
      </c>
      <c r="AC311" t="s">
        <v>6043</v>
      </c>
      <c r="AD311" t="s">
        <v>6044</v>
      </c>
      <c r="AE311" t="s">
        <v>6045</v>
      </c>
      <c r="AF311" t="s">
        <v>74</v>
      </c>
      <c r="AG311">
        <v>83</v>
      </c>
      <c r="AH311">
        <v>7</v>
      </c>
      <c r="AI311">
        <v>10</v>
      </c>
      <c r="AJ311">
        <v>1</v>
      </c>
      <c r="AK311">
        <v>18</v>
      </c>
      <c r="AL311" t="s">
        <v>264</v>
      </c>
      <c r="AM311" t="s">
        <v>169</v>
      </c>
      <c r="AN311" t="s">
        <v>265</v>
      </c>
      <c r="AO311" t="s">
        <v>6046</v>
      </c>
      <c r="AP311" t="s">
        <v>74</v>
      </c>
      <c r="AQ311" t="s">
        <v>74</v>
      </c>
      <c r="AR311" t="s">
        <v>6047</v>
      </c>
      <c r="AS311" t="s">
        <v>6048</v>
      </c>
      <c r="AT311" t="s">
        <v>74</v>
      </c>
      <c r="AU311">
        <v>2017</v>
      </c>
      <c r="AV311">
        <v>17</v>
      </c>
      <c r="AW311" t="s">
        <v>74</v>
      </c>
      <c r="AX311" t="s">
        <v>74</v>
      </c>
      <c r="AY311" t="s">
        <v>74</v>
      </c>
      <c r="AZ311" t="s">
        <v>74</v>
      </c>
      <c r="BA311" t="s">
        <v>74</v>
      </c>
      <c r="BB311">
        <v>35</v>
      </c>
      <c r="BC311">
        <v>51</v>
      </c>
      <c r="BD311" t="s">
        <v>74</v>
      </c>
      <c r="BE311" t="s">
        <v>6049</v>
      </c>
      <c r="BF311" t="str">
        <f>HYPERLINK("http://dx.doi.org/10.1016/j.crm.2017.06.005","http://dx.doi.org/10.1016/j.crm.2017.06.005")</f>
        <v>http://dx.doi.org/10.1016/j.crm.2017.06.005</v>
      </c>
      <c r="BG311" t="s">
        <v>74</v>
      </c>
      <c r="BH311" t="s">
        <v>74</v>
      </c>
      <c r="BI311">
        <v>17</v>
      </c>
      <c r="BJ311" t="s">
        <v>2983</v>
      </c>
      <c r="BK311" t="s">
        <v>1918</v>
      </c>
      <c r="BL311" t="s">
        <v>982</v>
      </c>
      <c r="BM311" t="s">
        <v>6050</v>
      </c>
      <c r="BN311" t="s">
        <v>74</v>
      </c>
      <c r="BO311" t="s">
        <v>6051</v>
      </c>
      <c r="BP311" t="s">
        <v>74</v>
      </c>
      <c r="BQ311" t="s">
        <v>74</v>
      </c>
      <c r="BR311" t="s">
        <v>105</v>
      </c>
      <c r="BS311" t="s">
        <v>6052</v>
      </c>
      <c r="BT311" t="str">
        <f>HYPERLINK("https%3A%2F%2Fwww.webofscience.com%2Fwos%2Fwoscc%2Ffull-record%2FWOS:000414483600004","View Full Record in Web of Science")</f>
        <v>View Full Record in Web of Science</v>
      </c>
    </row>
    <row r="312" spans="1:72" x14ac:dyDescent="0.15">
      <c r="A312" t="s">
        <v>72</v>
      </c>
      <c r="B312" t="s">
        <v>6053</v>
      </c>
      <c r="C312" t="s">
        <v>74</v>
      </c>
      <c r="D312" t="s">
        <v>74</v>
      </c>
      <c r="E312" t="s">
        <v>74</v>
      </c>
      <c r="F312" t="s">
        <v>6054</v>
      </c>
      <c r="G312" t="s">
        <v>74</v>
      </c>
      <c r="H312" t="s">
        <v>74</v>
      </c>
      <c r="I312" t="s">
        <v>6055</v>
      </c>
      <c r="J312" t="s">
        <v>6056</v>
      </c>
      <c r="K312" t="s">
        <v>74</v>
      </c>
      <c r="L312" t="s">
        <v>74</v>
      </c>
      <c r="M312" t="s">
        <v>78</v>
      </c>
      <c r="N312" t="s">
        <v>79</v>
      </c>
      <c r="O312" t="s">
        <v>74</v>
      </c>
      <c r="P312" t="s">
        <v>74</v>
      </c>
      <c r="Q312" t="s">
        <v>74</v>
      </c>
      <c r="R312" t="s">
        <v>74</v>
      </c>
      <c r="S312" t="s">
        <v>74</v>
      </c>
      <c r="T312" t="s">
        <v>6057</v>
      </c>
      <c r="U312" t="s">
        <v>6058</v>
      </c>
      <c r="V312" t="s">
        <v>6059</v>
      </c>
      <c r="W312" t="s">
        <v>6060</v>
      </c>
      <c r="X312" t="s">
        <v>6061</v>
      </c>
      <c r="Y312" t="s">
        <v>6062</v>
      </c>
      <c r="Z312" t="s">
        <v>6063</v>
      </c>
      <c r="AA312" t="s">
        <v>6064</v>
      </c>
      <c r="AB312" t="s">
        <v>6065</v>
      </c>
      <c r="AC312" t="s">
        <v>6066</v>
      </c>
      <c r="AD312" t="s">
        <v>6066</v>
      </c>
      <c r="AE312" t="s">
        <v>6067</v>
      </c>
      <c r="AF312" t="s">
        <v>74</v>
      </c>
      <c r="AG312">
        <v>49</v>
      </c>
      <c r="AH312">
        <v>6</v>
      </c>
      <c r="AI312">
        <v>6</v>
      </c>
      <c r="AJ312">
        <v>0</v>
      </c>
      <c r="AK312">
        <v>9</v>
      </c>
      <c r="AL312" t="s">
        <v>6068</v>
      </c>
      <c r="AM312" t="s">
        <v>6069</v>
      </c>
      <c r="AN312" t="s">
        <v>6070</v>
      </c>
      <c r="AO312" t="s">
        <v>2279</v>
      </c>
      <c r="AP312" t="s">
        <v>2280</v>
      </c>
      <c r="AQ312" t="s">
        <v>74</v>
      </c>
      <c r="AR312" t="s">
        <v>2263</v>
      </c>
      <c r="AS312" t="s">
        <v>2281</v>
      </c>
      <c r="AT312" t="s">
        <v>74</v>
      </c>
      <c r="AU312">
        <v>2017</v>
      </c>
      <c r="AV312">
        <v>117</v>
      </c>
      <c r="AW312">
        <v>3</v>
      </c>
      <c r="AX312" t="s">
        <v>74</v>
      </c>
      <c r="AY312" t="s">
        <v>74</v>
      </c>
      <c r="AZ312" t="s">
        <v>74</v>
      </c>
      <c r="BA312" t="s">
        <v>74</v>
      </c>
      <c r="BB312">
        <v>222</v>
      </c>
      <c r="BC312">
        <v>232</v>
      </c>
      <c r="BD312" t="s">
        <v>74</v>
      </c>
      <c r="BE312" t="s">
        <v>6071</v>
      </c>
      <c r="BF312" t="str">
        <f>HYPERLINK("http://dx.doi.org/10.1080/01584197.2017.1298403","http://dx.doi.org/10.1080/01584197.2017.1298403")</f>
        <v>http://dx.doi.org/10.1080/01584197.2017.1298403</v>
      </c>
      <c r="BG312" t="s">
        <v>74</v>
      </c>
      <c r="BH312" t="s">
        <v>74</v>
      </c>
      <c r="BI312">
        <v>11</v>
      </c>
      <c r="BJ312" t="s">
        <v>2283</v>
      </c>
      <c r="BK312" t="s">
        <v>101</v>
      </c>
      <c r="BL312" t="s">
        <v>643</v>
      </c>
      <c r="BM312" t="s">
        <v>6072</v>
      </c>
      <c r="BN312" t="s">
        <v>74</v>
      </c>
      <c r="BO312" t="s">
        <v>74</v>
      </c>
      <c r="BP312" t="s">
        <v>74</v>
      </c>
      <c r="BQ312" t="s">
        <v>74</v>
      </c>
      <c r="BR312" t="s">
        <v>105</v>
      </c>
      <c r="BS312" t="s">
        <v>6073</v>
      </c>
      <c r="BT312" t="str">
        <f>HYPERLINK("https%3A%2F%2Fwww.webofscience.com%2Fwos%2Fwoscc%2Ffull-record%2FWOS:000413807700003","View Full Record in Web of Science")</f>
        <v>View Full Record in Web of Science</v>
      </c>
    </row>
    <row r="313" spans="1:72" x14ac:dyDescent="0.15">
      <c r="A313" t="s">
        <v>72</v>
      </c>
      <c r="B313" t="s">
        <v>6074</v>
      </c>
      <c r="C313" t="s">
        <v>74</v>
      </c>
      <c r="D313" t="s">
        <v>74</v>
      </c>
      <c r="E313" t="s">
        <v>74</v>
      </c>
      <c r="F313" t="s">
        <v>6075</v>
      </c>
      <c r="G313" t="s">
        <v>74</v>
      </c>
      <c r="H313" t="s">
        <v>74</v>
      </c>
      <c r="I313" t="s">
        <v>6076</v>
      </c>
      <c r="J313" t="s">
        <v>6056</v>
      </c>
      <c r="K313" t="s">
        <v>74</v>
      </c>
      <c r="L313" t="s">
        <v>74</v>
      </c>
      <c r="M313" t="s">
        <v>78</v>
      </c>
      <c r="N313" t="s">
        <v>79</v>
      </c>
      <c r="O313" t="s">
        <v>74</v>
      </c>
      <c r="P313" t="s">
        <v>74</v>
      </c>
      <c r="Q313" t="s">
        <v>74</v>
      </c>
      <c r="R313" t="s">
        <v>74</v>
      </c>
      <c r="S313" t="s">
        <v>74</v>
      </c>
      <c r="T313" t="s">
        <v>6077</v>
      </c>
      <c r="U313" t="s">
        <v>6078</v>
      </c>
      <c r="V313" t="s">
        <v>6079</v>
      </c>
      <c r="W313" t="s">
        <v>6080</v>
      </c>
      <c r="X313" t="s">
        <v>6081</v>
      </c>
      <c r="Y313" t="s">
        <v>6082</v>
      </c>
      <c r="Z313" t="s">
        <v>6083</v>
      </c>
      <c r="AA313" t="s">
        <v>6084</v>
      </c>
      <c r="AB313" t="s">
        <v>6085</v>
      </c>
      <c r="AC313" t="s">
        <v>6086</v>
      </c>
      <c r="AD313" t="s">
        <v>6086</v>
      </c>
      <c r="AE313" t="s">
        <v>6087</v>
      </c>
      <c r="AF313" t="s">
        <v>74</v>
      </c>
      <c r="AG313">
        <v>32</v>
      </c>
      <c r="AH313">
        <v>5</v>
      </c>
      <c r="AI313">
        <v>5</v>
      </c>
      <c r="AJ313">
        <v>0</v>
      </c>
      <c r="AK313">
        <v>6</v>
      </c>
      <c r="AL313" t="s">
        <v>6068</v>
      </c>
      <c r="AM313" t="s">
        <v>6069</v>
      </c>
      <c r="AN313" t="s">
        <v>6070</v>
      </c>
      <c r="AO313" t="s">
        <v>2279</v>
      </c>
      <c r="AP313" t="s">
        <v>2280</v>
      </c>
      <c r="AQ313" t="s">
        <v>74</v>
      </c>
      <c r="AR313" t="s">
        <v>2263</v>
      </c>
      <c r="AS313" t="s">
        <v>2281</v>
      </c>
      <c r="AT313" t="s">
        <v>74</v>
      </c>
      <c r="AU313">
        <v>2017</v>
      </c>
      <c r="AV313">
        <v>117</v>
      </c>
      <c r="AW313">
        <v>3</v>
      </c>
      <c r="AX313" t="s">
        <v>74</v>
      </c>
      <c r="AY313" t="s">
        <v>74</v>
      </c>
      <c r="AZ313" t="s">
        <v>74</v>
      </c>
      <c r="BA313" t="s">
        <v>74</v>
      </c>
      <c r="BB313">
        <v>254</v>
      </c>
      <c r="BC313">
        <v>263</v>
      </c>
      <c r="BD313" t="s">
        <v>74</v>
      </c>
      <c r="BE313" t="s">
        <v>6088</v>
      </c>
      <c r="BF313" t="str">
        <f>HYPERLINK("http://dx.doi.org/10.1080/01584197.2017.1313685","http://dx.doi.org/10.1080/01584197.2017.1313685")</f>
        <v>http://dx.doi.org/10.1080/01584197.2017.1313685</v>
      </c>
      <c r="BG313" t="s">
        <v>74</v>
      </c>
      <c r="BH313" t="s">
        <v>74</v>
      </c>
      <c r="BI313">
        <v>10</v>
      </c>
      <c r="BJ313" t="s">
        <v>2283</v>
      </c>
      <c r="BK313" t="s">
        <v>101</v>
      </c>
      <c r="BL313" t="s">
        <v>643</v>
      </c>
      <c r="BM313" t="s">
        <v>6072</v>
      </c>
      <c r="BN313" t="s">
        <v>74</v>
      </c>
      <c r="BO313" t="s">
        <v>74</v>
      </c>
      <c r="BP313" t="s">
        <v>74</v>
      </c>
      <c r="BQ313" t="s">
        <v>74</v>
      </c>
      <c r="BR313" t="s">
        <v>105</v>
      </c>
      <c r="BS313" t="s">
        <v>6089</v>
      </c>
      <c r="BT313" t="str">
        <f>HYPERLINK("https%3A%2F%2Fwww.webofscience.com%2Fwos%2Fwoscc%2Ffull-record%2FWOS:000413807700006","View Full Record in Web of Science")</f>
        <v>View Full Record in Web of Science</v>
      </c>
    </row>
    <row r="314" spans="1:72" x14ac:dyDescent="0.15">
      <c r="A314" t="s">
        <v>72</v>
      </c>
      <c r="B314" t="s">
        <v>6090</v>
      </c>
      <c r="C314" t="s">
        <v>74</v>
      </c>
      <c r="D314" t="s">
        <v>74</v>
      </c>
      <c r="E314" t="s">
        <v>74</v>
      </c>
      <c r="F314" t="s">
        <v>6091</v>
      </c>
      <c r="G314" t="s">
        <v>74</v>
      </c>
      <c r="H314" t="s">
        <v>74</v>
      </c>
      <c r="I314" t="s">
        <v>6092</v>
      </c>
      <c r="J314" t="s">
        <v>6056</v>
      </c>
      <c r="K314" t="s">
        <v>74</v>
      </c>
      <c r="L314" t="s">
        <v>74</v>
      </c>
      <c r="M314" t="s">
        <v>78</v>
      </c>
      <c r="N314" t="s">
        <v>79</v>
      </c>
      <c r="O314" t="s">
        <v>74</v>
      </c>
      <c r="P314" t="s">
        <v>74</v>
      </c>
      <c r="Q314" t="s">
        <v>74</v>
      </c>
      <c r="R314" t="s">
        <v>74</v>
      </c>
      <c r="S314" t="s">
        <v>74</v>
      </c>
      <c r="T314" t="s">
        <v>6093</v>
      </c>
      <c r="U314" t="s">
        <v>6094</v>
      </c>
      <c r="V314" t="s">
        <v>6095</v>
      </c>
      <c r="W314" t="s">
        <v>6096</v>
      </c>
      <c r="X314" t="s">
        <v>6097</v>
      </c>
      <c r="Y314" t="s">
        <v>6098</v>
      </c>
      <c r="Z314" t="s">
        <v>6099</v>
      </c>
      <c r="AA314" t="s">
        <v>74</v>
      </c>
      <c r="AB314" t="s">
        <v>6100</v>
      </c>
      <c r="AC314" t="s">
        <v>74</v>
      </c>
      <c r="AD314" t="s">
        <v>74</v>
      </c>
      <c r="AE314" t="s">
        <v>74</v>
      </c>
      <c r="AF314" t="s">
        <v>74</v>
      </c>
      <c r="AG314">
        <v>36</v>
      </c>
      <c r="AH314">
        <v>17</v>
      </c>
      <c r="AI314">
        <v>18</v>
      </c>
      <c r="AJ314">
        <v>0</v>
      </c>
      <c r="AK314">
        <v>19</v>
      </c>
      <c r="AL314" t="s">
        <v>6068</v>
      </c>
      <c r="AM314" t="s">
        <v>6069</v>
      </c>
      <c r="AN314" t="s">
        <v>6070</v>
      </c>
      <c r="AO314" t="s">
        <v>2279</v>
      </c>
      <c r="AP314" t="s">
        <v>2280</v>
      </c>
      <c r="AQ314" t="s">
        <v>74</v>
      </c>
      <c r="AR314" t="s">
        <v>2263</v>
      </c>
      <c r="AS314" t="s">
        <v>2281</v>
      </c>
      <c r="AT314" t="s">
        <v>74</v>
      </c>
      <c r="AU314">
        <v>2017</v>
      </c>
      <c r="AV314">
        <v>117</v>
      </c>
      <c r="AW314">
        <v>3</v>
      </c>
      <c r="AX314" t="s">
        <v>74</v>
      </c>
      <c r="AY314" t="s">
        <v>74</v>
      </c>
      <c r="AZ314" t="s">
        <v>74</v>
      </c>
      <c r="BA314" t="s">
        <v>74</v>
      </c>
      <c r="BB314">
        <v>290</v>
      </c>
      <c r="BC314">
        <v>298</v>
      </c>
      <c r="BD314" t="s">
        <v>74</v>
      </c>
      <c r="BE314" t="s">
        <v>6101</v>
      </c>
      <c r="BF314" t="str">
        <f>HYPERLINK("http://dx.doi.org/10.1080/01584197.2017.1303332","http://dx.doi.org/10.1080/01584197.2017.1303332")</f>
        <v>http://dx.doi.org/10.1080/01584197.2017.1303332</v>
      </c>
      <c r="BG314" t="s">
        <v>74</v>
      </c>
      <c r="BH314" t="s">
        <v>74</v>
      </c>
      <c r="BI314">
        <v>9</v>
      </c>
      <c r="BJ314" t="s">
        <v>2283</v>
      </c>
      <c r="BK314" t="s">
        <v>101</v>
      </c>
      <c r="BL314" t="s">
        <v>643</v>
      </c>
      <c r="BM314" t="s">
        <v>6072</v>
      </c>
      <c r="BN314" t="s">
        <v>74</v>
      </c>
      <c r="BO314" t="s">
        <v>74</v>
      </c>
      <c r="BP314" t="s">
        <v>74</v>
      </c>
      <c r="BQ314" t="s">
        <v>74</v>
      </c>
      <c r="BR314" t="s">
        <v>105</v>
      </c>
      <c r="BS314" t="s">
        <v>6102</v>
      </c>
      <c r="BT314" t="str">
        <f>HYPERLINK("https%3A%2F%2Fwww.webofscience.com%2Fwos%2Fwoscc%2Ffull-record%2FWOS:000413807700010","View Full Record in Web of Science")</f>
        <v>View Full Record in Web of Science</v>
      </c>
    </row>
    <row r="315" spans="1:72" x14ac:dyDescent="0.15">
      <c r="A315" t="s">
        <v>2331</v>
      </c>
      <c r="B315" t="s">
        <v>6103</v>
      </c>
      <c r="C315" t="s">
        <v>74</v>
      </c>
      <c r="D315" t="s">
        <v>6104</v>
      </c>
      <c r="E315" t="s">
        <v>74</v>
      </c>
      <c r="F315" t="s">
        <v>6105</v>
      </c>
      <c r="G315" t="s">
        <v>74</v>
      </c>
      <c r="H315" t="s">
        <v>74</v>
      </c>
      <c r="I315" t="s">
        <v>6106</v>
      </c>
      <c r="J315" t="s">
        <v>6107</v>
      </c>
      <c r="K315" t="s">
        <v>74</v>
      </c>
      <c r="L315" t="s">
        <v>74</v>
      </c>
      <c r="M315" t="s">
        <v>78</v>
      </c>
      <c r="N315" t="s">
        <v>2067</v>
      </c>
      <c r="O315" t="s">
        <v>74</v>
      </c>
      <c r="P315" t="s">
        <v>74</v>
      </c>
      <c r="Q315" t="s">
        <v>74</v>
      </c>
      <c r="R315" t="s">
        <v>74</v>
      </c>
      <c r="S315" t="s">
        <v>74</v>
      </c>
      <c r="T315" t="s">
        <v>6108</v>
      </c>
      <c r="U315" t="s">
        <v>6109</v>
      </c>
      <c r="V315" t="s">
        <v>6110</v>
      </c>
      <c r="W315" t="s">
        <v>6111</v>
      </c>
      <c r="X315" t="s">
        <v>6112</v>
      </c>
      <c r="Y315" t="s">
        <v>6113</v>
      </c>
      <c r="Z315" t="s">
        <v>6114</v>
      </c>
      <c r="AA315" t="s">
        <v>6115</v>
      </c>
      <c r="AB315" t="s">
        <v>6116</v>
      </c>
      <c r="AC315" t="s">
        <v>74</v>
      </c>
      <c r="AD315" t="s">
        <v>74</v>
      </c>
      <c r="AE315" t="s">
        <v>74</v>
      </c>
      <c r="AF315" t="s">
        <v>74</v>
      </c>
      <c r="AG315">
        <v>75</v>
      </c>
      <c r="AH315">
        <v>17</v>
      </c>
      <c r="AI315">
        <v>17</v>
      </c>
      <c r="AJ315">
        <v>7</v>
      </c>
      <c r="AK315">
        <v>42</v>
      </c>
      <c r="AL315" t="s">
        <v>3497</v>
      </c>
      <c r="AM315" t="s">
        <v>3498</v>
      </c>
      <c r="AN315" t="s">
        <v>3499</v>
      </c>
      <c r="AO315" t="s">
        <v>74</v>
      </c>
      <c r="AP315" t="s">
        <v>74</v>
      </c>
      <c r="AQ315" t="s">
        <v>6117</v>
      </c>
      <c r="AR315" t="s">
        <v>74</v>
      </c>
      <c r="AS315" t="s">
        <v>74</v>
      </c>
      <c r="AT315" t="s">
        <v>74</v>
      </c>
      <c r="AU315">
        <v>2017</v>
      </c>
      <c r="AV315" t="s">
        <v>74</v>
      </c>
      <c r="AW315" t="s">
        <v>74</v>
      </c>
      <c r="AX315" t="s">
        <v>74</v>
      </c>
      <c r="AY315" t="s">
        <v>74</v>
      </c>
      <c r="AZ315" t="s">
        <v>74</v>
      </c>
      <c r="BA315" t="s">
        <v>74</v>
      </c>
      <c r="BB315">
        <v>21</v>
      </c>
      <c r="BC315">
        <v>41</v>
      </c>
      <c r="BD315" t="s">
        <v>74</v>
      </c>
      <c r="BE315" t="s">
        <v>6118</v>
      </c>
      <c r="BF315" t="str">
        <f>HYPERLINK("http://dx.doi.org/10.1007/978-3-319-55426-6_3","http://dx.doi.org/10.1007/978-3-319-55426-6_3")</f>
        <v>http://dx.doi.org/10.1007/978-3-319-55426-6_3</v>
      </c>
      <c r="BG315" t="s">
        <v>6119</v>
      </c>
      <c r="BH315" t="s">
        <v>74</v>
      </c>
      <c r="BI315">
        <v>21</v>
      </c>
      <c r="BJ315" t="s">
        <v>5098</v>
      </c>
      <c r="BK315" t="s">
        <v>2084</v>
      </c>
      <c r="BL315" t="s">
        <v>5099</v>
      </c>
      <c r="BM315" t="s">
        <v>6120</v>
      </c>
      <c r="BN315" t="s">
        <v>74</v>
      </c>
      <c r="BO315" t="s">
        <v>74</v>
      </c>
      <c r="BP315" t="s">
        <v>74</v>
      </c>
      <c r="BQ315" t="s">
        <v>74</v>
      </c>
      <c r="BR315" t="s">
        <v>105</v>
      </c>
      <c r="BS315" t="s">
        <v>6121</v>
      </c>
      <c r="BT315" t="str">
        <f>HYPERLINK("https%3A%2F%2Fwww.webofscience.com%2Fwos%2Fwoscc%2Ffull-record%2FWOS:000412670800004","View Full Record in Web of Science")</f>
        <v>View Full Record in Web of Science</v>
      </c>
    </row>
    <row r="316" spans="1:72" x14ac:dyDescent="0.15">
      <c r="A316" t="s">
        <v>72</v>
      </c>
      <c r="B316" t="s">
        <v>6122</v>
      </c>
      <c r="C316" t="s">
        <v>74</v>
      </c>
      <c r="D316" t="s">
        <v>74</v>
      </c>
      <c r="E316" t="s">
        <v>74</v>
      </c>
      <c r="F316" t="s">
        <v>6123</v>
      </c>
      <c r="G316" t="s">
        <v>74</v>
      </c>
      <c r="H316" t="s">
        <v>74</v>
      </c>
      <c r="I316" t="s">
        <v>6124</v>
      </c>
      <c r="J316" t="s">
        <v>6125</v>
      </c>
      <c r="K316" t="s">
        <v>74</v>
      </c>
      <c r="L316" t="s">
        <v>74</v>
      </c>
      <c r="M316" t="s">
        <v>2706</v>
      </c>
      <c r="N316" t="s">
        <v>79</v>
      </c>
      <c r="O316" t="s">
        <v>74</v>
      </c>
      <c r="P316" t="s">
        <v>74</v>
      </c>
      <c r="Q316" t="s">
        <v>74</v>
      </c>
      <c r="R316" t="s">
        <v>74</v>
      </c>
      <c r="S316" t="s">
        <v>74</v>
      </c>
      <c r="T316" t="s">
        <v>6126</v>
      </c>
      <c r="U316" t="s">
        <v>6127</v>
      </c>
      <c r="V316" t="s">
        <v>6128</v>
      </c>
      <c r="W316" t="s">
        <v>6129</v>
      </c>
      <c r="X316" t="s">
        <v>6130</v>
      </c>
      <c r="Y316" t="s">
        <v>6131</v>
      </c>
      <c r="Z316" t="s">
        <v>74</v>
      </c>
      <c r="AA316" t="s">
        <v>74</v>
      </c>
      <c r="AB316" t="s">
        <v>74</v>
      </c>
      <c r="AC316" t="s">
        <v>74</v>
      </c>
      <c r="AD316" t="s">
        <v>74</v>
      </c>
      <c r="AE316" t="s">
        <v>74</v>
      </c>
      <c r="AF316" t="s">
        <v>74</v>
      </c>
      <c r="AG316">
        <v>28</v>
      </c>
      <c r="AH316">
        <v>0</v>
      </c>
      <c r="AI316">
        <v>0</v>
      </c>
      <c r="AJ316">
        <v>0</v>
      </c>
      <c r="AK316">
        <v>1</v>
      </c>
      <c r="AL316" t="s">
        <v>6132</v>
      </c>
      <c r="AM316" t="s">
        <v>6133</v>
      </c>
      <c r="AN316" t="s">
        <v>6134</v>
      </c>
      <c r="AO316" t="s">
        <v>6135</v>
      </c>
      <c r="AP316" t="s">
        <v>6136</v>
      </c>
      <c r="AQ316" t="s">
        <v>74</v>
      </c>
      <c r="AR316" t="s">
        <v>6137</v>
      </c>
      <c r="AS316" t="s">
        <v>6138</v>
      </c>
      <c r="AT316" t="s">
        <v>74</v>
      </c>
      <c r="AU316">
        <v>2017</v>
      </c>
      <c r="AV316">
        <v>39</v>
      </c>
      <c r="AW316">
        <v>3</v>
      </c>
      <c r="AX316" t="s">
        <v>74</v>
      </c>
      <c r="AY316" t="s">
        <v>74</v>
      </c>
      <c r="AZ316" t="s">
        <v>74</v>
      </c>
      <c r="BA316" t="s">
        <v>74</v>
      </c>
      <c r="BB316">
        <v>76</v>
      </c>
      <c r="BC316">
        <v>90</v>
      </c>
      <c r="BD316" t="s">
        <v>74</v>
      </c>
      <c r="BE316" t="s">
        <v>6139</v>
      </c>
      <c r="BF316" t="str">
        <f>HYPERLINK("http://dx.doi.org/10.24028/gzh.0203-3100.v39i3.2017.104036","http://dx.doi.org/10.24028/gzh.0203-3100.v39i3.2017.104036")</f>
        <v>http://dx.doi.org/10.24028/gzh.0203-3100.v39i3.2017.104036</v>
      </c>
      <c r="BG316" t="s">
        <v>74</v>
      </c>
      <c r="BH316" t="s">
        <v>74</v>
      </c>
      <c r="BI316">
        <v>15</v>
      </c>
      <c r="BJ316" t="s">
        <v>299</v>
      </c>
      <c r="BK316" t="s">
        <v>2057</v>
      </c>
      <c r="BL316" t="s">
        <v>299</v>
      </c>
      <c r="BM316" t="s">
        <v>6140</v>
      </c>
      <c r="BN316" t="s">
        <v>74</v>
      </c>
      <c r="BO316" t="s">
        <v>301</v>
      </c>
      <c r="BP316" t="s">
        <v>74</v>
      </c>
      <c r="BQ316" t="s">
        <v>74</v>
      </c>
      <c r="BR316" t="s">
        <v>105</v>
      </c>
      <c r="BS316" t="s">
        <v>6141</v>
      </c>
      <c r="BT316" t="str">
        <f>HYPERLINK("https%3A%2F%2Fwww.webofscience.com%2Fwos%2Fwoscc%2Ffull-record%2FWOS:000413290900006","View Full Record in Web of Science")</f>
        <v>View Full Record in Web of Science</v>
      </c>
    </row>
    <row r="317" spans="1:72" x14ac:dyDescent="0.15">
      <c r="A317" t="s">
        <v>72</v>
      </c>
      <c r="B317" t="s">
        <v>6142</v>
      </c>
      <c r="C317" t="s">
        <v>74</v>
      </c>
      <c r="D317" t="s">
        <v>74</v>
      </c>
      <c r="E317" t="s">
        <v>74</v>
      </c>
      <c r="F317" t="s">
        <v>6143</v>
      </c>
      <c r="G317" t="s">
        <v>74</v>
      </c>
      <c r="H317" t="s">
        <v>74</v>
      </c>
      <c r="I317" t="s">
        <v>6144</v>
      </c>
      <c r="J317" t="s">
        <v>6125</v>
      </c>
      <c r="K317" t="s">
        <v>74</v>
      </c>
      <c r="L317" t="s">
        <v>74</v>
      </c>
      <c r="M317" t="s">
        <v>2706</v>
      </c>
      <c r="N317" t="s">
        <v>79</v>
      </c>
      <c r="O317" t="s">
        <v>74</v>
      </c>
      <c r="P317" t="s">
        <v>74</v>
      </c>
      <c r="Q317" t="s">
        <v>74</v>
      </c>
      <c r="R317" t="s">
        <v>74</v>
      </c>
      <c r="S317" t="s">
        <v>74</v>
      </c>
      <c r="T317" t="s">
        <v>6145</v>
      </c>
      <c r="U317" t="s">
        <v>6146</v>
      </c>
      <c r="V317" t="s">
        <v>6147</v>
      </c>
      <c r="W317" t="s">
        <v>6148</v>
      </c>
      <c r="X317" t="s">
        <v>6149</v>
      </c>
      <c r="Y317" t="s">
        <v>6131</v>
      </c>
      <c r="Z317" t="s">
        <v>74</v>
      </c>
      <c r="AA317" t="s">
        <v>74</v>
      </c>
      <c r="AB317" t="s">
        <v>74</v>
      </c>
      <c r="AC317" t="s">
        <v>74</v>
      </c>
      <c r="AD317" t="s">
        <v>74</v>
      </c>
      <c r="AE317" t="s">
        <v>74</v>
      </c>
      <c r="AF317" t="s">
        <v>74</v>
      </c>
      <c r="AG317">
        <v>25</v>
      </c>
      <c r="AH317">
        <v>1</v>
      </c>
      <c r="AI317">
        <v>1</v>
      </c>
      <c r="AJ317">
        <v>0</v>
      </c>
      <c r="AK317">
        <v>1</v>
      </c>
      <c r="AL317" t="s">
        <v>6132</v>
      </c>
      <c r="AM317" t="s">
        <v>6133</v>
      </c>
      <c r="AN317" t="s">
        <v>6134</v>
      </c>
      <c r="AO317" t="s">
        <v>6135</v>
      </c>
      <c r="AP317" t="s">
        <v>6136</v>
      </c>
      <c r="AQ317" t="s">
        <v>74</v>
      </c>
      <c r="AR317" t="s">
        <v>6137</v>
      </c>
      <c r="AS317" t="s">
        <v>6138</v>
      </c>
      <c r="AT317" t="s">
        <v>74</v>
      </c>
      <c r="AU317">
        <v>2017</v>
      </c>
      <c r="AV317">
        <v>39</v>
      </c>
      <c r="AW317">
        <v>1</v>
      </c>
      <c r="AX317" t="s">
        <v>74</v>
      </c>
      <c r="AY317" t="s">
        <v>74</v>
      </c>
      <c r="AZ317" t="s">
        <v>74</v>
      </c>
      <c r="BA317" t="s">
        <v>74</v>
      </c>
      <c r="BB317">
        <v>123</v>
      </c>
      <c r="BC317">
        <v>143</v>
      </c>
      <c r="BD317" t="s">
        <v>74</v>
      </c>
      <c r="BE317" t="s">
        <v>6150</v>
      </c>
      <c r="BF317" t="str">
        <f>HYPERLINK("http://dx.doi.org/10.24028/gzh.0203-3100.v39i1.2017.94016","http://dx.doi.org/10.24028/gzh.0203-3100.v39i1.2017.94016")</f>
        <v>http://dx.doi.org/10.24028/gzh.0203-3100.v39i1.2017.94016</v>
      </c>
      <c r="BG317" t="s">
        <v>74</v>
      </c>
      <c r="BH317" t="s">
        <v>74</v>
      </c>
      <c r="BI317">
        <v>21</v>
      </c>
      <c r="BJ317" t="s">
        <v>299</v>
      </c>
      <c r="BK317" t="s">
        <v>2057</v>
      </c>
      <c r="BL317" t="s">
        <v>299</v>
      </c>
      <c r="BM317" t="s">
        <v>6151</v>
      </c>
      <c r="BN317" t="s">
        <v>74</v>
      </c>
      <c r="BO317" t="s">
        <v>301</v>
      </c>
      <c r="BP317" t="s">
        <v>74</v>
      </c>
      <c r="BQ317" t="s">
        <v>74</v>
      </c>
      <c r="BR317" t="s">
        <v>105</v>
      </c>
      <c r="BS317" t="s">
        <v>6152</v>
      </c>
      <c r="BT317" t="str">
        <f>HYPERLINK("https%3A%2F%2Fwww.webofscience.com%2Fwos%2Fwoscc%2Ffull-record%2FWOS:000413290700008","View Full Record in Web of Science")</f>
        <v>View Full Record in Web of Science</v>
      </c>
    </row>
    <row r="318" spans="1:72" x14ac:dyDescent="0.15">
      <c r="A318" t="s">
        <v>72</v>
      </c>
      <c r="B318" t="s">
        <v>6153</v>
      </c>
      <c r="C318" t="s">
        <v>74</v>
      </c>
      <c r="D318" t="s">
        <v>74</v>
      </c>
      <c r="E318" t="s">
        <v>74</v>
      </c>
      <c r="F318" t="s">
        <v>6154</v>
      </c>
      <c r="G318" t="s">
        <v>74</v>
      </c>
      <c r="H318" t="s">
        <v>74</v>
      </c>
      <c r="I318" t="s">
        <v>6155</v>
      </c>
      <c r="J318" t="s">
        <v>6156</v>
      </c>
      <c r="K318" t="s">
        <v>74</v>
      </c>
      <c r="L318" t="s">
        <v>74</v>
      </c>
      <c r="M318" t="s">
        <v>78</v>
      </c>
      <c r="N318" t="s">
        <v>79</v>
      </c>
      <c r="O318" t="s">
        <v>74</v>
      </c>
      <c r="P318" t="s">
        <v>74</v>
      </c>
      <c r="Q318" t="s">
        <v>74</v>
      </c>
      <c r="R318" t="s">
        <v>74</v>
      </c>
      <c r="S318" t="s">
        <v>74</v>
      </c>
      <c r="T318" t="s">
        <v>6157</v>
      </c>
      <c r="U318" t="s">
        <v>6158</v>
      </c>
      <c r="V318" t="s">
        <v>6159</v>
      </c>
      <c r="W318" t="s">
        <v>6160</v>
      </c>
      <c r="X318" t="s">
        <v>6161</v>
      </c>
      <c r="Y318" t="s">
        <v>6162</v>
      </c>
      <c r="Z318" t="s">
        <v>6163</v>
      </c>
      <c r="AA318" t="s">
        <v>6164</v>
      </c>
      <c r="AB318" t="s">
        <v>6165</v>
      </c>
      <c r="AC318" t="s">
        <v>6166</v>
      </c>
      <c r="AD318" t="s">
        <v>6166</v>
      </c>
      <c r="AE318" t="s">
        <v>6167</v>
      </c>
      <c r="AF318" t="s">
        <v>74</v>
      </c>
      <c r="AG318">
        <v>58</v>
      </c>
      <c r="AH318">
        <v>10</v>
      </c>
      <c r="AI318">
        <v>11</v>
      </c>
      <c r="AJ318">
        <v>1</v>
      </c>
      <c r="AK318">
        <v>15</v>
      </c>
      <c r="AL318" t="s">
        <v>2103</v>
      </c>
      <c r="AM318" t="s">
        <v>2104</v>
      </c>
      <c r="AN318" t="s">
        <v>2105</v>
      </c>
      <c r="AO318" t="s">
        <v>6168</v>
      </c>
      <c r="AP318" t="s">
        <v>6169</v>
      </c>
      <c r="AQ318" t="s">
        <v>74</v>
      </c>
      <c r="AR318" t="s">
        <v>6170</v>
      </c>
      <c r="AS318" t="s">
        <v>6171</v>
      </c>
      <c r="AT318" t="s">
        <v>74</v>
      </c>
      <c r="AU318">
        <v>2017</v>
      </c>
      <c r="AV318">
        <v>34</v>
      </c>
      <c r="AW318">
        <v>9</v>
      </c>
      <c r="AX318" t="s">
        <v>74</v>
      </c>
      <c r="AY318" t="s">
        <v>74</v>
      </c>
      <c r="AZ318" t="s">
        <v>74</v>
      </c>
      <c r="BA318" t="s">
        <v>74</v>
      </c>
      <c r="BB318">
        <v>784</v>
      </c>
      <c r="BC318">
        <v>794</v>
      </c>
      <c r="BD318" t="s">
        <v>74</v>
      </c>
      <c r="BE318" t="s">
        <v>6172</v>
      </c>
      <c r="BF318" t="str">
        <f>HYPERLINK("http://dx.doi.org/10.1080/01490451.2016.1271064","http://dx.doi.org/10.1080/01490451.2016.1271064")</f>
        <v>http://dx.doi.org/10.1080/01490451.2016.1271064</v>
      </c>
      <c r="BG318" t="s">
        <v>74</v>
      </c>
      <c r="BH318" t="s">
        <v>74</v>
      </c>
      <c r="BI318">
        <v>11</v>
      </c>
      <c r="BJ318" t="s">
        <v>6173</v>
      </c>
      <c r="BK318" t="s">
        <v>101</v>
      </c>
      <c r="BL318" t="s">
        <v>1334</v>
      </c>
      <c r="BM318" t="s">
        <v>6174</v>
      </c>
      <c r="BN318" t="s">
        <v>74</v>
      </c>
      <c r="BO318" t="s">
        <v>74</v>
      </c>
      <c r="BP318" t="s">
        <v>74</v>
      </c>
      <c r="BQ318" t="s">
        <v>74</v>
      </c>
      <c r="BR318" t="s">
        <v>105</v>
      </c>
      <c r="BS318" t="s">
        <v>6175</v>
      </c>
      <c r="BT318" t="str">
        <f>HYPERLINK("https%3A%2F%2Fwww.webofscience.com%2Fwos%2Fwoscc%2Ffull-record%2FWOS:000414136100006","View Full Record in Web of Science")</f>
        <v>View Full Record in Web of Science</v>
      </c>
    </row>
    <row r="319" spans="1:72" x14ac:dyDescent="0.15">
      <c r="A319" t="s">
        <v>72</v>
      </c>
      <c r="B319" t="s">
        <v>6176</v>
      </c>
      <c r="C319" t="s">
        <v>74</v>
      </c>
      <c r="D319" t="s">
        <v>74</v>
      </c>
      <c r="E319" t="s">
        <v>74</v>
      </c>
      <c r="F319" t="s">
        <v>6177</v>
      </c>
      <c r="G319" t="s">
        <v>74</v>
      </c>
      <c r="H319" t="s">
        <v>74</v>
      </c>
      <c r="I319" t="s">
        <v>6178</v>
      </c>
      <c r="J319" t="s">
        <v>6179</v>
      </c>
      <c r="K319" t="s">
        <v>74</v>
      </c>
      <c r="L319" t="s">
        <v>74</v>
      </c>
      <c r="M319" t="s">
        <v>78</v>
      </c>
      <c r="N319" t="s">
        <v>79</v>
      </c>
      <c r="O319" t="s">
        <v>74</v>
      </c>
      <c r="P319" t="s">
        <v>74</v>
      </c>
      <c r="Q319" t="s">
        <v>74</v>
      </c>
      <c r="R319" t="s">
        <v>74</v>
      </c>
      <c r="S319" t="s">
        <v>74</v>
      </c>
      <c r="T319" t="s">
        <v>6180</v>
      </c>
      <c r="U319" t="s">
        <v>6181</v>
      </c>
      <c r="V319" t="s">
        <v>6182</v>
      </c>
      <c r="W319" t="s">
        <v>6183</v>
      </c>
      <c r="X319" t="s">
        <v>6184</v>
      </c>
      <c r="Y319" t="s">
        <v>6185</v>
      </c>
      <c r="Z319" t="s">
        <v>6186</v>
      </c>
      <c r="AA319" t="s">
        <v>6187</v>
      </c>
      <c r="AB319" t="s">
        <v>6188</v>
      </c>
      <c r="AC319" t="s">
        <v>6189</v>
      </c>
      <c r="AD319" t="s">
        <v>6190</v>
      </c>
      <c r="AE319" t="s">
        <v>6191</v>
      </c>
      <c r="AF319" t="s">
        <v>74</v>
      </c>
      <c r="AG319">
        <v>53</v>
      </c>
      <c r="AH319">
        <v>32</v>
      </c>
      <c r="AI319">
        <v>33</v>
      </c>
      <c r="AJ319">
        <v>1</v>
      </c>
      <c r="AK319">
        <v>23</v>
      </c>
      <c r="AL319" t="s">
        <v>168</v>
      </c>
      <c r="AM319" t="s">
        <v>169</v>
      </c>
      <c r="AN319" t="s">
        <v>170</v>
      </c>
      <c r="AO319" t="s">
        <v>6192</v>
      </c>
      <c r="AP319" t="s">
        <v>74</v>
      </c>
      <c r="AQ319" t="s">
        <v>74</v>
      </c>
      <c r="AR319" t="s">
        <v>6193</v>
      </c>
      <c r="AS319" t="s">
        <v>6194</v>
      </c>
      <c r="AT319" t="s">
        <v>2136</v>
      </c>
      <c r="AU319">
        <v>2017</v>
      </c>
      <c r="AV319">
        <v>9</v>
      </c>
      <c r="AW319" t="s">
        <v>74</v>
      </c>
      <c r="AX319" t="s">
        <v>74</v>
      </c>
      <c r="AY319" t="s">
        <v>74</v>
      </c>
      <c r="AZ319" t="s">
        <v>74</v>
      </c>
      <c r="BA319" t="s">
        <v>74</v>
      </c>
      <c r="BB319">
        <v>104</v>
      </c>
      <c r="BC319">
        <v>115</v>
      </c>
      <c r="BD319" t="s">
        <v>74</v>
      </c>
      <c r="BE319" t="s">
        <v>6195</v>
      </c>
      <c r="BF319" t="str">
        <f>HYPERLINK("http://dx.doi.org/10.1016/j.gecco.2016.12.004","http://dx.doi.org/10.1016/j.gecco.2016.12.004")</f>
        <v>http://dx.doi.org/10.1016/j.gecco.2016.12.004</v>
      </c>
      <c r="BG319" t="s">
        <v>74</v>
      </c>
      <c r="BH319" t="s">
        <v>74</v>
      </c>
      <c r="BI319">
        <v>12</v>
      </c>
      <c r="BJ319" t="s">
        <v>5867</v>
      </c>
      <c r="BK319" t="s">
        <v>101</v>
      </c>
      <c r="BL319" t="s">
        <v>2257</v>
      </c>
      <c r="BM319" t="s">
        <v>6196</v>
      </c>
      <c r="BN319" t="s">
        <v>74</v>
      </c>
      <c r="BO319" t="s">
        <v>941</v>
      </c>
      <c r="BP319" t="s">
        <v>74</v>
      </c>
      <c r="BQ319" t="s">
        <v>74</v>
      </c>
      <c r="BR319" t="s">
        <v>105</v>
      </c>
      <c r="BS319" t="s">
        <v>6197</v>
      </c>
      <c r="BT319" t="str">
        <f>HYPERLINK("https%3A%2F%2Fwww.webofscience.com%2Fwos%2Fwoscc%2Ffull-record%2FWOS:000413277900010","View Full Record in Web of Science")</f>
        <v>View Full Record in Web of Science</v>
      </c>
    </row>
    <row r="320" spans="1:72" x14ac:dyDescent="0.15">
      <c r="A320" t="s">
        <v>72</v>
      </c>
      <c r="B320" t="s">
        <v>6198</v>
      </c>
      <c r="C320" t="s">
        <v>74</v>
      </c>
      <c r="D320" t="s">
        <v>74</v>
      </c>
      <c r="E320" t="s">
        <v>74</v>
      </c>
      <c r="F320" t="s">
        <v>6199</v>
      </c>
      <c r="G320" t="s">
        <v>74</v>
      </c>
      <c r="H320" t="s">
        <v>74</v>
      </c>
      <c r="I320" t="s">
        <v>6200</v>
      </c>
      <c r="J320" t="s">
        <v>6179</v>
      </c>
      <c r="K320" t="s">
        <v>74</v>
      </c>
      <c r="L320" t="s">
        <v>74</v>
      </c>
      <c r="M320" t="s">
        <v>78</v>
      </c>
      <c r="N320" t="s">
        <v>79</v>
      </c>
      <c r="O320" t="s">
        <v>74</v>
      </c>
      <c r="P320" t="s">
        <v>74</v>
      </c>
      <c r="Q320" t="s">
        <v>74</v>
      </c>
      <c r="R320" t="s">
        <v>74</v>
      </c>
      <c r="S320" t="s">
        <v>74</v>
      </c>
      <c r="T320" t="s">
        <v>6201</v>
      </c>
      <c r="U320" t="s">
        <v>6202</v>
      </c>
      <c r="V320" t="s">
        <v>6203</v>
      </c>
      <c r="W320" t="s">
        <v>6204</v>
      </c>
      <c r="X320" t="s">
        <v>6205</v>
      </c>
      <c r="Y320" t="s">
        <v>6206</v>
      </c>
      <c r="Z320" t="s">
        <v>6207</v>
      </c>
      <c r="AA320" t="s">
        <v>6208</v>
      </c>
      <c r="AB320" t="s">
        <v>6209</v>
      </c>
      <c r="AC320" t="s">
        <v>6210</v>
      </c>
      <c r="AD320" t="s">
        <v>6211</v>
      </c>
      <c r="AE320" t="s">
        <v>74</v>
      </c>
      <c r="AF320" t="s">
        <v>74</v>
      </c>
      <c r="AG320">
        <v>53</v>
      </c>
      <c r="AH320">
        <v>15</v>
      </c>
      <c r="AI320">
        <v>17</v>
      </c>
      <c r="AJ320">
        <v>4</v>
      </c>
      <c r="AK320">
        <v>33</v>
      </c>
      <c r="AL320" t="s">
        <v>168</v>
      </c>
      <c r="AM320" t="s">
        <v>169</v>
      </c>
      <c r="AN320" t="s">
        <v>170</v>
      </c>
      <c r="AO320" t="s">
        <v>6192</v>
      </c>
      <c r="AP320" t="s">
        <v>74</v>
      </c>
      <c r="AQ320" t="s">
        <v>74</v>
      </c>
      <c r="AR320" t="s">
        <v>6193</v>
      </c>
      <c r="AS320" t="s">
        <v>6194</v>
      </c>
      <c r="AT320" t="s">
        <v>2136</v>
      </c>
      <c r="AU320">
        <v>2017</v>
      </c>
      <c r="AV320">
        <v>9</v>
      </c>
      <c r="AW320" t="s">
        <v>74</v>
      </c>
      <c r="AX320" t="s">
        <v>74</v>
      </c>
      <c r="AY320" t="s">
        <v>74</v>
      </c>
      <c r="AZ320" t="s">
        <v>74</v>
      </c>
      <c r="BA320" t="s">
        <v>74</v>
      </c>
      <c r="BB320">
        <v>171</v>
      </c>
      <c r="BC320">
        <v>179</v>
      </c>
      <c r="BD320" t="s">
        <v>74</v>
      </c>
      <c r="BE320" t="s">
        <v>6212</v>
      </c>
      <c r="BF320" t="str">
        <f>HYPERLINK("http://dx.doi.org/10.1016/j.gecco.2017.01.003","http://dx.doi.org/10.1016/j.gecco.2017.01.003")</f>
        <v>http://dx.doi.org/10.1016/j.gecco.2017.01.003</v>
      </c>
      <c r="BG320" t="s">
        <v>74</v>
      </c>
      <c r="BH320" t="s">
        <v>74</v>
      </c>
      <c r="BI320">
        <v>9</v>
      </c>
      <c r="BJ320" t="s">
        <v>5867</v>
      </c>
      <c r="BK320" t="s">
        <v>101</v>
      </c>
      <c r="BL320" t="s">
        <v>2257</v>
      </c>
      <c r="BM320" t="s">
        <v>6196</v>
      </c>
      <c r="BN320" t="s">
        <v>74</v>
      </c>
      <c r="BO320" t="s">
        <v>1368</v>
      </c>
      <c r="BP320" t="s">
        <v>74</v>
      </c>
      <c r="BQ320" t="s">
        <v>74</v>
      </c>
      <c r="BR320" t="s">
        <v>105</v>
      </c>
      <c r="BS320" t="s">
        <v>6213</v>
      </c>
      <c r="BT320" t="str">
        <f>HYPERLINK("https%3A%2F%2Fwww.webofscience.com%2Fwos%2Fwoscc%2Ffull-record%2FWOS:000413277900015","View Full Record in Web of Science")</f>
        <v>View Full Record in Web of Science</v>
      </c>
    </row>
    <row r="321" spans="1:72" x14ac:dyDescent="0.15">
      <c r="A321" t="s">
        <v>72</v>
      </c>
      <c r="B321" t="s">
        <v>6214</v>
      </c>
      <c r="C321" t="s">
        <v>74</v>
      </c>
      <c r="D321" t="s">
        <v>74</v>
      </c>
      <c r="E321" t="s">
        <v>74</v>
      </c>
      <c r="F321" t="s">
        <v>6215</v>
      </c>
      <c r="G321" t="s">
        <v>74</v>
      </c>
      <c r="H321" t="s">
        <v>74</v>
      </c>
      <c r="I321" t="s">
        <v>6216</v>
      </c>
      <c r="J321" t="s">
        <v>6217</v>
      </c>
      <c r="K321" t="s">
        <v>74</v>
      </c>
      <c r="L321" t="s">
        <v>74</v>
      </c>
      <c r="M321" t="s">
        <v>78</v>
      </c>
      <c r="N321" t="s">
        <v>79</v>
      </c>
      <c r="O321" t="s">
        <v>74</v>
      </c>
      <c r="P321" t="s">
        <v>74</v>
      </c>
      <c r="Q321" t="s">
        <v>74</v>
      </c>
      <c r="R321" t="s">
        <v>74</v>
      </c>
      <c r="S321" t="s">
        <v>74</v>
      </c>
      <c r="T321" t="s">
        <v>6218</v>
      </c>
      <c r="U321" t="s">
        <v>6219</v>
      </c>
      <c r="V321" t="s">
        <v>6220</v>
      </c>
      <c r="W321" t="s">
        <v>6221</v>
      </c>
      <c r="X321" t="s">
        <v>6222</v>
      </c>
      <c r="Y321" t="s">
        <v>6223</v>
      </c>
      <c r="Z321" t="s">
        <v>6224</v>
      </c>
      <c r="AA321" t="s">
        <v>6225</v>
      </c>
      <c r="AB321" t="s">
        <v>6226</v>
      </c>
      <c r="AC321" t="s">
        <v>74</v>
      </c>
      <c r="AD321" t="s">
        <v>74</v>
      </c>
      <c r="AE321" t="s">
        <v>74</v>
      </c>
      <c r="AF321" t="s">
        <v>74</v>
      </c>
      <c r="AG321">
        <v>72</v>
      </c>
      <c r="AH321">
        <v>3</v>
      </c>
      <c r="AI321">
        <v>3</v>
      </c>
      <c r="AJ321">
        <v>2</v>
      </c>
      <c r="AK321">
        <v>7</v>
      </c>
      <c r="AL321" t="s">
        <v>6227</v>
      </c>
      <c r="AM321" t="s">
        <v>6228</v>
      </c>
      <c r="AN321" t="s">
        <v>6229</v>
      </c>
      <c r="AO321" t="s">
        <v>6230</v>
      </c>
      <c r="AP321" t="s">
        <v>74</v>
      </c>
      <c r="AQ321" t="s">
        <v>74</v>
      </c>
      <c r="AR321" t="s">
        <v>6231</v>
      </c>
      <c r="AS321" t="s">
        <v>6232</v>
      </c>
      <c r="AT321" t="s">
        <v>74</v>
      </c>
      <c r="AU321">
        <v>2017</v>
      </c>
      <c r="AV321">
        <v>64</v>
      </c>
      <c r="AW321">
        <v>3</v>
      </c>
      <c r="AX321" t="s">
        <v>74</v>
      </c>
      <c r="AY321" t="s">
        <v>74</v>
      </c>
      <c r="AZ321" t="s">
        <v>74</v>
      </c>
      <c r="BA321" t="s">
        <v>74</v>
      </c>
      <c r="BB321">
        <v>55</v>
      </c>
      <c r="BC321">
        <v>66</v>
      </c>
      <c r="BD321" t="s">
        <v>74</v>
      </c>
      <c r="BE321" t="s">
        <v>6233</v>
      </c>
      <c r="BF321" t="str">
        <f>HYPERLINK("http://dx.doi.org/10.21077/ijf.2017.64.3.62172-09","http://dx.doi.org/10.21077/ijf.2017.64.3.62172-09")</f>
        <v>http://dx.doi.org/10.21077/ijf.2017.64.3.62172-09</v>
      </c>
      <c r="BG321" t="s">
        <v>74</v>
      </c>
      <c r="BH321" t="s">
        <v>74</v>
      </c>
      <c r="BI321">
        <v>12</v>
      </c>
      <c r="BJ321" t="s">
        <v>272</v>
      </c>
      <c r="BK321" t="s">
        <v>101</v>
      </c>
      <c r="BL321" t="s">
        <v>272</v>
      </c>
      <c r="BM321" t="s">
        <v>6234</v>
      </c>
      <c r="BN321" t="s">
        <v>74</v>
      </c>
      <c r="BO321" t="s">
        <v>941</v>
      </c>
      <c r="BP321" t="s">
        <v>74</v>
      </c>
      <c r="BQ321" t="s">
        <v>74</v>
      </c>
      <c r="BR321" t="s">
        <v>105</v>
      </c>
      <c r="BS321" t="s">
        <v>6235</v>
      </c>
      <c r="BT321" t="str">
        <f>HYPERLINK("https%3A%2F%2Fwww.webofscience.com%2Fwos%2Fwoscc%2Ffull-record%2FWOS:000413432700009","View Full Record in Web of Science")</f>
        <v>View Full Record in Web of Science</v>
      </c>
    </row>
    <row r="322" spans="1:72" x14ac:dyDescent="0.15">
      <c r="A322" t="s">
        <v>72</v>
      </c>
      <c r="B322" t="s">
        <v>6236</v>
      </c>
      <c r="C322" t="s">
        <v>74</v>
      </c>
      <c r="D322" t="s">
        <v>74</v>
      </c>
      <c r="E322" t="s">
        <v>74</v>
      </c>
      <c r="F322" t="s">
        <v>6237</v>
      </c>
      <c r="G322" t="s">
        <v>74</v>
      </c>
      <c r="H322" t="s">
        <v>74</v>
      </c>
      <c r="I322" t="s">
        <v>6238</v>
      </c>
      <c r="J322" t="s">
        <v>6239</v>
      </c>
      <c r="K322" t="s">
        <v>74</v>
      </c>
      <c r="L322" t="s">
        <v>74</v>
      </c>
      <c r="M322" t="s">
        <v>78</v>
      </c>
      <c r="N322" t="s">
        <v>79</v>
      </c>
      <c r="O322" t="s">
        <v>74</v>
      </c>
      <c r="P322" t="s">
        <v>74</v>
      </c>
      <c r="Q322" t="s">
        <v>74</v>
      </c>
      <c r="R322" t="s">
        <v>74</v>
      </c>
      <c r="S322" t="s">
        <v>74</v>
      </c>
      <c r="T322" t="s">
        <v>6240</v>
      </c>
      <c r="U322" t="s">
        <v>6241</v>
      </c>
      <c r="V322" t="s">
        <v>6242</v>
      </c>
      <c r="W322" t="s">
        <v>6243</v>
      </c>
      <c r="X322" t="s">
        <v>74</v>
      </c>
      <c r="Y322" t="s">
        <v>6244</v>
      </c>
      <c r="Z322" t="s">
        <v>6245</v>
      </c>
      <c r="AA322" t="s">
        <v>74</v>
      </c>
      <c r="AB322" t="s">
        <v>74</v>
      </c>
      <c r="AC322" t="s">
        <v>6246</v>
      </c>
      <c r="AD322" t="s">
        <v>6211</v>
      </c>
      <c r="AE322" t="s">
        <v>74</v>
      </c>
      <c r="AF322" t="s">
        <v>74</v>
      </c>
      <c r="AG322">
        <v>8</v>
      </c>
      <c r="AH322">
        <v>1</v>
      </c>
      <c r="AI322">
        <v>2</v>
      </c>
      <c r="AJ322">
        <v>0</v>
      </c>
      <c r="AK322">
        <v>0</v>
      </c>
      <c r="AL322" t="s">
        <v>6247</v>
      </c>
      <c r="AM322" t="s">
        <v>6248</v>
      </c>
      <c r="AN322" t="s">
        <v>6249</v>
      </c>
      <c r="AO322" t="s">
        <v>6250</v>
      </c>
      <c r="AP322" t="s">
        <v>6251</v>
      </c>
      <c r="AQ322" t="s">
        <v>74</v>
      </c>
      <c r="AR322" t="s">
        <v>6252</v>
      </c>
      <c r="AS322" t="s">
        <v>6253</v>
      </c>
      <c r="AT322" t="s">
        <v>74</v>
      </c>
      <c r="AU322">
        <v>2017</v>
      </c>
      <c r="AV322">
        <v>68</v>
      </c>
      <c r="AW322">
        <v>3</v>
      </c>
      <c r="AX322" t="s">
        <v>74</v>
      </c>
      <c r="AY322" t="s">
        <v>74</v>
      </c>
      <c r="AZ322" t="s">
        <v>74</v>
      </c>
      <c r="BA322" t="s">
        <v>74</v>
      </c>
      <c r="BB322">
        <v>159</v>
      </c>
      <c r="BC322">
        <v>162</v>
      </c>
      <c r="BD322" t="s">
        <v>74</v>
      </c>
      <c r="BE322" t="s">
        <v>6254</v>
      </c>
      <c r="BF322" t="str">
        <f>HYPERLINK("http://dx.doi.org/10.5603/IMH.2017.0028","http://dx.doi.org/10.5603/IMH.2017.0028")</f>
        <v>http://dx.doi.org/10.5603/IMH.2017.0028</v>
      </c>
      <c r="BG322" t="s">
        <v>74</v>
      </c>
      <c r="BH322" t="s">
        <v>74</v>
      </c>
      <c r="BI322">
        <v>4</v>
      </c>
      <c r="BJ322" t="s">
        <v>6255</v>
      </c>
      <c r="BK322" t="s">
        <v>2057</v>
      </c>
      <c r="BL322" t="s">
        <v>6255</v>
      </c>
      <c r="BM322" t="s">
        <v>6256</v>
      </c>
      <c r="BN322">
        <v>28952661</v>
      </c>
      <c r="BO322" t="s">
        <v>725</v>
      </c>
      <c r="BP322" t="s">
        <v>74</v>
      </c>
      <c r="BQ322" t="s">
        <v>74</v>
      </c>
      <c r="BR322" t="s">
        <v>105</v>
      </c>
      <c r="BS322" t="s">
        <v>6257</v>
      </c>
      <c r="BT322" t="str">
        <f>HYPERLINK("https%3A%2F%2Fwww.webofscience.com%2Fwos%2Fwoscc%2Ffull-record%2FWOS:000411833200005","View Full Record in Web of Science")</f>
        <v>View Full Record in Web of Science</v>
      </c>
    </row>
    <row r="323" spans="1:72" x14ac:dyDescent="0.15">
      <c r="A323" t="s">
        <v>72</v>
      </c>
      <c r="B323" t="s">
        <v>6258</v>
      </c>
      <c r="C323" t="s">
        <v>74</v>
      </c>
      <c r="D323" t="s">
        <v>74</v>
      </c>
      <c r="E323" t="s">
        <v>74</v>
      </c>
      <c r="F323" t="s">
        <v>6259</v>
      </c>
      <c r="G323" t="s">
        <v>74</v>
      </c>
      <c r="H323" t="s">
        <v>74</v>
      </c>
      <c r="I323" t="s">
        <v>6260</v>
      </c>
      <c r="J323" t="s">
        <v>6261</v>
      </c>
      <c r="K323" t="s">
        <v>74</v>
      </c>
      <c r="L323" t="s">
        <v>74</v>
      </c>
      <c r="M323" t="s">
        <v>78</v>
      </c>
      <c r="N323" t="s">
        <v>79</v>
      </c>
      <c r="O323" t="s">
        <v>74</v>
      </c>
      <c r="P323" t="s">
        <v>74</v>
      </c>
      <c r="Q323" t="s">
        <v>74</v>
      </c>
      <c r="R323" t="s">
        <v>74</v>
      </c>
      <c r="S323" t="s">
        <v>74</v>
      </c>
      <c r="T323" t="s">
        <v>6262</v>
      </c>
      <c r="U323" t="s">
        <v>74</v>
      </c>
      <c r="V323" t="s">
        <v>6263</v>
      </c>
      <c r="W323" t="s">
        <v>6264</v>
      </c>
      <c r="X323" t="s">
        <v>6265</v>
      </c>
      <c r="Y323" t="s">
        <v>6266</v>
      </c>
      <c r="Z323" t="s">
        <v>6267</v>
      </c>
      <c r="AA323" t="s">
        <v>74</v>
      </c>
      <c r="AB323" t="s">
        <v>74</v>
      </c>
      <c r="AC323" t="s">
        <v>74</v>
      </c>
      <c r="AD323" t="s">
        <v>74</v>
      </c>
      <c r="AE323" t="s">
        <v>74</v>
      </c>
      <c r="AF323" t="s">
        <v>74</v>
      </c>
      <c r="AG323">
        <v>32</v>
      </c>
      <c r="AH323">
        <v>0</v>
      </c>
      <c r="AI323">
        <v>0</v>
      </c>
      <c r="AJ323">
        <v>0</v>
      </c>
      <c r="AK323">
        <v>0</v>
      </c>
      <c r="AL323" t="s">
        <v>1909</v>
      </c>
      <c r="AM323" t="s">
        <v>1910</v>
      </c>
      <c r="AN323" t="s">
        <v>1911</v>
      </c>
      <c r="AO323" t="s">
        <v>6268</v>
      </c>
      <c r="AP323" t="s">
        <v>6269</v>
      </c>
      <c r="AQ323" t="s">
        <v>74</v>
      </c>
      <c r="AR323" t="s">
        <v>6270</v>
      </c>
      <c r="AS323" t="s">
        <v>6271</v>
      </c>
      <c r="AT323" t="s">
        <v>74</v>
      </c>
      <c r="AU323">
        <v>2017</v>
      </c>
      <c r="AV323">
        <v>21</v>
      </c>
      <c r="AW323">
        <v>4</v>
      </c>
      <c r="AX323" t="s">
        <v>74</v>
      </c>
      <c r="AY323" t="s">
        <v>74</v>
      </c>
      <c r="AZ323" t="s">
        <v>270</v>
      </c>
      <c r="BA323" t="s">
        <v>74</v>
      </c>
      <c r="BB323">
        <v>414</v>
      </c>
      <c r="BC323">
        <v>429</v>
      </c>
      <c r="BD323" t="s">
        <v>74</v>
      </c>
      <c r="BE323" t="s">
        <v>6272</v>
      </c>
      <c r="BF323" t="str">
        <f>HYPERLINK("http://dx.doi.org/10.1080/14797585.2017.1370491","http://dx.doi.org/10.1080/14797585.2017.1370491")</f>
        <v>http://dx.doi.org/10.1080/14797585.2017.1370491</v>
      </c>
      <c r="BG323" t="s">
        <v>74</v>
      </c>
      <c r="BH323" t="s">
        <v>74</v>
      </c>
      <c r="BI323">
        <v>16</v>
      </c>
      <c r="BJ323" t="s">
        <v>6273</v>
      </c>
      <c r="BK323" t="s">
        <v>2057</v>
      </c>
      <c r="BL323" t="s">
        <v>6273</v>
      </c>
      <c r="BM323" t="s">
        <v>6274</v>
      </c>
      <c r="BN323" t="s">
        <v>74</v>
      </c>
      <c r="BO323" t="s">
        <v>1223</v>
      </c>
      <c r="BP323" t="s">
        <v>74</v>
      </c>
      <c r="BQ323" t="s">
        <v>74</v>
      </c>
      <c r="BR323" t="s">
        <v>105</v>
      </c>
      <c r="BS323" t="s">
        <v>6275</v>
      </c>
      <c r="BT323" t="str">
        <f>HYPERLINK("https%3A%2F%2Fwww.webofscience.com%2Fwos%2Fwoscc%2Ffull-record%2FWOS:000414172500010","View Full Record in Web of Science")</f>
        <v>View Full Record in Web of Science</v>
      </c>
    </row>
    <row r="324" spans="1:72" x14ac:dyDescent="0.15">
      <c r="A324" t="s">
        <v>72</v>
      </c>
      <c r="B324" t="s">
        <v>6276</v>
      </c>
      <c r="C324" t="s">
        <v>74</v>
      </c>
      <c r="D324" t="s">
        <v>74</v>
      </c>
      <c r="E324" t="s">
        <v>74</v>
      </c>
      <c r="F324" t="s">
        <v>6277</v>
      </c>
      <c r="G324" t="s">
        <v>74</v>
      </c>
      <c r="H324" t="s">
        <v>74</v>
      </c>
      <c r="I324" t="s">
        <v>6278</v>
      </c>
      <c r="J324" t="s">
        <v>5201</v>
      </c>
      <c r="K324" t="s">
        <v>74</v>
      </c>
      <c r="L324" t="s">
        <v>74</v>
      </c>
      <c r="M324" t="s">
        <v>78</v>
      </c>
      <c r="N324" t="s">
        <v>79</v>
      </c>
      <c r="O324" t="s">
        <v>74</v>
      </c>
      <c r="P324" t="s">
        <v>74</v>
      </c>
      <c r="Q324" t="s">
        <v>74</v>
      </c>
      <c r="R324" t="s">
        <v>74</v>
      </c>
      <c r="S324" t="s">
        <v>74</v>
      </c>
      <c r="T324" t="s">
        <v>6279</v>
      </c>
      <c r="U324" t="s">
        <v>6280</v>
      </c>
      <c r="V324" t="s">
        <v>6281</v>
      </c>
      <c r="W324" t="s">
        <v>6282</v>
      </c>
      <c r="X324" t="s">
        <v>6283</v>
      </c>
      <c r="Y324" t="s">
        <v>6284</v>
      </c>
      <c r="Z324" t="s">
        <v>6285</v>
      </c>
      <c r="AA324" t="s">
        <v>74</v>
      </c>
      <c r="AB324" t="s">
        <v>6286</v>
      </c>
      <c r="AC324" t="s">
        <v>6287</v>
      </c>
      <c r="AD324" t="s">
        <v>6288</v>
      </c>
      <c r="AE324" t="s">
        <v>6289</v>
      </c>
      <c r="AF324" t="s">
        <v>74</v>
      </c>
      <c r="AG324">
        <v>20</v>
      </c>
      <c r="AH324">
        <v>6</v>
      </c>
      <c r="AI324">
        <v>6</v>
      </c>
      <c r="AJ324">
        <v>5</v>
      </c>
      <c r="AK324">
        <v>36</v>
      </c>
      <c r="AL324" t="s">
        <v>2103</v>
      </c>
      <c r="AM324" t="s">
        <v>2104</v>
      </c>
      <c r="AN324" t="s">
        <v>2105</v>
      </c>
      <c r="AO324" t="s">
        <v>5214</v>
      </c>
      <c r="AP324" t="s">
        <v>5215</v>
      </c>
      <c r="AQ324" t="s">
        <v>74</v>
      </c>
      <c r="AR324" t="s">
        <v>5216</v>
      </c>
      <c r="AS324" t="s">
        <v>5217</v>
      </c>
      <c r="AT324" t="s">
        <v>74</v>
      </c>
      <c r="AU324">
        <v>2017</v>
      </c>
      <c r="AV324">
        <v>26</v>
      </c>
      <c r="AW324">
        <v>7</v>
      </c>
      <c r="AX324" t="s">
        <v>74</v>
      </c>
      <c r="AY324" t="s">
        <v>74</v>
      </c>
      <c r="AZ324" t="s">
        <v>74</v>
      </c>
      <c r="BA324" t="s">
        <v>74</v>
      </c>
      <c r="BB324">
        <v>835</v>
      </c>
      <c r="BC324">
        <v>842</v>
      </c>
      <c r="BD324" t="s">
        <v>74</v>
      </c>
      <c r="BE324" t="s">
        <v>6290</v>
      </c>
      <c r="BF324" t="str">
        <f>HYPERLINK("http://dx.doi.org/10.1080/10498850.2017.1339756","http://dx.doi.org/10.1080/10498850.2017.1339756")</f>
        <v>http://dx.doi.org/10.1080/10498850.2017.1339756</v>
      </c>
      <c r="BG324" t="s">
        <v>74</v>
      </c>
      <c r="BH324" t="s">
        <v>74</v>
      </c>
      <c r="BI324">
        <v>8</v>
      </c>
      <c r="BJ324" t="s">
        <v>4818</v>
      </c>
      <c r="BK324" t="s">
        <v>101</v>
      </c>
      <c r="BL324" t="s">
        <v>4818</v>
      </c>
      <c r="BM324" t="s">
        <v>6291</v>
      </c>
      <c r="BN324" t="s">
        <v>74</v>
      </c>
      <c r="BO324" t="s">
        <v>74</v>
      </c>
      <c r="BP324" t="s">
        <v>74</v>
      </c>
      <c r="BQ324" t="s">
        <v>74</v>
      </c>
      <c r="BR324" t="s">
        <v>105</v>
      </c>
      <c r="BS324" t="s">
        <v>6292</v>
      </c>
      <c r="BT324" t="str">
        <f>HYPERLINK("https%3A%2F%2Fwww.webofscience.com%2Fwos%2Fwoscc%2Ffull-record%2FWOS:000413774500008","View Full Record in Web of Science")</f>
        <v>View Full Record in Web of Science</v>
      </c>
    </row>
    <row r="325" spans="1:72" x14ac:dyDescent="0.15">
      <c r="A325" t="s">
        <v>72</v>
      </c>
      <c r="B325" t="s">
        <v>6293</v>
      </c>
      <c r="C325" t="s">
        <v>74</v>
      </c>
      <c r="D325" t="s">
        <v>74</v>
      </c>
      <c r="E325" t="s">
        <v>74</v>
      </c>
      <c r="F325" t="s">
        <v>6294</v>
      </c>
      <c r="G325" t="s">
        <v>74</v>
      </c>
      <c r="H325" t="s">
        <v>74</v>
      </c>
      <c r="I325" t="s">
        <v>6295</v>
      </c>
      <c r="J325" t="s">
        <v>5201</v>
      </c>
      <c r="K325" t="s">
        <v>74</v>
      </c>
      <c r="L325" t="s">
        <v>74</v>
      </c>
      <c r="M325" t="s">
        <v>78</v>
      </c>
      <c r="N325" t="s">
        <v>79</v>
      </c>
      <c r="O325" t="s">
        <v>74</v>
      </c>
      <c r="P325" t="s">
        <v>74</v>
      </c>
      <c r="Q325" t="s">
        <v>74</v>
      </c>
      <c r="R325" t="s">
        <v>74</v>
      </c>
      <c r="S325" t="s">
        <v>74</v>
      </c>
      <c r="T325" t="s">
        <v>6296</v>
      </c>
      <c r="U325" t="s">
        <v>6297</v>
      </c>
      <c r="V325" t="s">
        <v>6298</v>
      </c>
      <c r="W325" t="s">
        <v>6299</v>
      </c>
      <c r="X325" t="s">
        <v>4805</v>
      </c>
      <c r="Y325" t="s">
        <v>6300</v>
      </c>
      <c r="Z325" t="s">
        <v>6301</v>
      </c>
      <c r="AA325" t="s">
        <v>6302</v>
      </c>
      <c r="AB325" t="s">
        <v>6303</v>
      </c>
      <c r="AC325" t="s">
        <v>74</v>
      </c>
      <c r="AD325" t="s">
        <v>74</v>
      </c>
      <c r="AE325" t="s">
        <v>74</v>
      </c>
      <c r="AF325" t="s">
        <v>74</v>
      </c>
      <c r="AG325">
        <v>38</v>
      </c>
      <c r="AH325">
        <v>2</v>
      </c>
      <c r="AI325">
        <v>3</v>
      </c>
      <c r="AJ325">
        <v>6</v>
      </c>
      <c r="AK325">
        <v>31</v>
      </c>
      <c r="AL325" t="s">
        <v>2103</v>
      </c>
      <c r="AM325" t="s">
        <v>2104</v>
      </c>
      <c r="AN325" t="s">
        <v>2105</v>
      </c>
      <c r="AO325" t="s">
        <v>5214</v>
      </c>
      <c r="AP325" t="s">
        <v>5215</v>
      </c>
      <c r="AQ325" t="s">
        <v>74</v>
      </c>
      <c r="AR325" t="s">
        <v>5216</v>
      </c>
      <c r="AS325" t="s">
        <v>5217</v>
      </c>
      <c r="AT325" t="s">
        <v>74</v>
      </c>
      <c r="AU325">
        <v>2017</v>
      </c>
      <c r="AV325">
        <v>26</v>
      </c>
      <c r="AW325">
        <v>8</v>
      </c>
      <c r="AX325" t="s">
        <v>74</v>
      </c>
      <c r="AY325" t="s">
        <v>74</v>
      </c>
      <c r="AZ325" t="s">
        <v>74</v>
      </c>
      <c r="BA325" t="s">
        <v>74</v>
      </c>
      <c r="BB325">
        <v>958</v>
      </c>
      <c r="BC325">
        <v>968</v>
      </c>
      <c r="BD325" t="s">
        <v>74</v>
      </c>
      <c r="BE325" t="s">
        <v>6304</v>
      </c>
      <c r="BF325" t="str">
        <f>HYPERLINK("http://dx.doi.org/10.1080/10498850.2017.1364315","http://dx.doi.org/10.1080/10498850.2017.1364315")</f>
        <v>http://dx.doi.org/10.1080/10498850.2017.1364315</v>
      </c>
      <c r="BG325" t="s">
        <v>74</v>
      </c>
      <c r="BH325" t="s">
        <v>74</v>
      </c>
      <c r="BI325">
        <v>11</v>
      </c>
      <c r="BJ325" t="s">
        <v>4818</v>
      </c>
      <c r="BK325" t="s">
        <v>101</v>
      </c>
      <c r="BL325" t="s">
        <v>4818</v>
      </c>
      <c r="BM325" t="s">
        <v>6305</v>
      </c>
      <c r="BN325" t="s">
        <v>74</v>
      </c>
      <c r="BO325" t="s">
        <v>74</v>
      </c>
      <c r="BP325" t="s">
        <v>74</v>
      </c>
      <c r="BQ325" t="s">
        <v>74</v>
      </c>
      <c r="BR325" t="s">
        <v>105</v>
      </c>
      <c r="BS325" t="s">
        <v>6306</v>
      </c>
      <c r="BT325" t="str">
        <f>HYPERLINK("https%3A%2F%2Fwww.webofscience.com%2Fwos%2Fwoscc%2Ffull-record%2FWOS:000414077600008","View Full Record in Web of Science")</f>
        <v>View Full Record in Web of Science</v>
      </c>
    </row>
    <row r="326" spans="1:72" x14ac:dyDescent="0.15">
      <c r="A326" t="s">
        <v>72</v>
      </c>
      <c r="B326" t="s">
        <v>6307</v>
      </c>
      <c r="C326" t="s">
        <v>74</v>
      </c>
      <c r="D326" t="s">
        <v>74</v>
      </c>
      <c r="E326" t="s">
        <v>74</v>
      </c>
      <c r="F326" t="s">
        <v>6308</v>
      </c>
      <c r="G326" t="s">
        <v>74</v>
      </c>
      <c r="H326" t="s">
        <v>74</v>
      </c>
      <c r="I326" t="s">
        <v>6309</v>
      </c>
      <c r="J326" t="s">
        <v>2776</v>
      </c>
      <c r="K326" t="s">
        <v>74</v>
      </c>
      <c r="L326" t="s">
        <v>74</v>
      </c>
      <c r="M326" t="s">
        <v>78</v>
      </c>
      <c r="N326" t="s">
        <v>79</v>
      </c>
      <c r="O326" t="s">
        <v>74</v>
      </c>
      <c r="P326" t="s">
        <v>74</v>
      </c>
      <c r="Q326" t="s">
        <v>74</v>
      </c>
      <c r="R326" t="s">
        <v>74</v>
      </c>
      <c r="S326" t="s">
        <v>74</v>
      </c>
      <c r="T326" t="s">
        <v>74</v>
      </c>
      <c r="U326" t="s">
        <v>6310</v>
      </c>
      <c r="V326" t="s">
        <v>6311</v>
      </c>
      <c r="W326" t="s">
        <v>6312</v>
      </c>
      <c r="X326" t="s">
        <v>6313</v>
      </c>
      <c r="Y326" t="s">
        <v>6314</v>
      </c>
      <c r="Z326" t="s">
        <v>6315</v>
      </c>
      <c r="AA326" t="s">
        <v>74</v>
      </c>
      <c r="AB326" t="s">
        <v>6316</v>
      </c>
      <c r="AC326" t="s">
        <v>6317</v>
      </c>
      <c r="AD326" t="s">
        <v>6318</v>
      </c>
      <c r="AE326" t="s">
        <v>6319</v>
      </c>
      <c r="AF326" t="s">
        <v>74</v>
      </c>
      <c r="AG326">
        <v>24</v>
      </c>
      <c r="AH326">
        <v>5</v>
      </c>
      <c r="AI326">
        <v>5</v>
      </c>
      <c r="AJ326">
        <v>0</v>
      </c>
      <c r="AK326">
        <v>4</v>
      </c>
      <c r="AL326" t="s">
        <v>2276</v>
      </c>
      <c r="AM326" t="s">
        <v>2277</v>
      </c>
      <c r="AN326" t="s">
        <v>2278</v>
      </c>
      <c r="AO326" t="s">
        <v>2789</v>
      </c>
      <c r="AP326" t="s">
        <v>2790</v>
      </c>
      <c r="AQ326" t="s">
        <v>74</v>
      </c>
      <c r="AR326" t="s">
        <v>2791</v>
      </c>
      <c r="AS326" t="s">
        <v>2792</v>
      </c>
      <c r="AT326" t="s">
        <v>74</v>
      </c>
      <c r="AU326">
        <v>2017</v>
      </c>
      <c r="AV326">
        <v>68</v>
      </c>
      <c r="AW326">
        <v>11</v>
      </c>
      <c r="AX326" t="s">
        <v>74</v>
      </c>
      <c r="AY326" t="s">
        <v>74</v>
      </c>
      <c r="AZ326" t="s">
        <v>74</v>
      </c>
      <c r="BA326" t="s">
        <v>74</v>
      </c>
      <c r="BB326">
        <v>2095</v>
      </c>
      <c r="BC326">
        <v>2105</v>
      </c>
      <c r="BD326" t="s">
        <v>74</v>
      </c>
      <c r="BE326" t="s">
        <v>6320</v>
      </c>
      <c r="BF326" t="str">
        <f>HYPERLINK("http://dx.doi.org/10.1071/MF16349","http://dx.doi.org/10.1071/MF16349")</f>
        <v>http://dx.doi.org/10.1071/MF16349</v>
      </c>
      <c r="BG326" t="s">
        <v>74</v>
      </c>
      <c r="BH326" t="s">
        <v>74</v>
      </c>
      <c r="BI326">
        <v>11</v>
      </c>
      <c r="BJ326" t="s">
        <v>2794</v>
      </c>
      <c r="BK326" t="s">
        <v>101</v>
      </c>
      <c r="BL326" t="s">
        <v>2795</v>
      </c>
      <c r="BM326" t="s">
        <v>6321</v>
      </c>
      <c r="BN326" t="s">
        <v>74</v>
      </c>
      <c r="BO326" t="s">
        <v>74</v>
      </c>
      <c r="BP326" t="s">
        <v>74</v>
      </c>
      <c r="BQ326" t="s">
        <v>74</v>
      </c>
      <c r="BR326" t="s">
        <v>105</v>
      </c>
      <c r="BS326" t="s">
        <v>6322</v>
      </c>
      <c r="BT326" t="str">
        <f>HYPERLINK("https%3A%2F%2Fwww.webofscience.com%2Fwos%2Fwoscc%2Ffull-record%2FWOS:000413690000013","View Full Record in Web of Science")</f>
        <v>View Full Record in Web of Science</v>
      </c>
    </row>
    <row r="327" spans="1:72" x14ac:dyDescent="0.15">
      <c r="A327" t="s">
        <v>72</v>
      </c>
      <c r="B327" t="s">
        <v>6323</v>
      </c>
      <c r="C327" t="s">
        <v>74</v>
      </c>
      <c r="D327" t="s">
        <v>74</v>
      </c>
      <c r="E327" t="s">
        <v>74</v>
      </c>
      <c r="F327" t="s">
        <v>6324</v>
      </c>
      <c r="G327" t="s">
        <v>74</v>
      </c>
      <c r="H327" t="s">
        <v>74</v>
      </c>
      <c r="I327" t="s">
        <v>6325</v>
      </c>
      <c r="J327" t="s">
        <v>6326</v>
      </c>
      <c r="K327" t="s">
        <v>74</v>
      </c>
      <c r="L327" t="s">
        <v>74</v>
      </c>
      <c r="M327" t="s">
        <v>78</v>
      </c>
      <c r="N327" t="s">
        <v>79</v>
      </c>
      <c r="O327" t="s">
        <v>74</v>
      </c>
      <c r="P327" t="s">
        <v>74</v>
      </c>
      <c r="Q327" t="s">
        <v>74</v>
      </c>
      <c r="R327" t="s">
        <v>74</v>
      </c>
      <c r="S327" t="s">
        <v>74</v>
      </c>
      <c r="T327" t="s">
        <v>6327</v>
      </c>
      <c r="U327" t="s">
        <v>6328</v>
      </c>
      <c r="V327" t="s">
        <v>6329</v>
      </c>
      <c r="W327" t="s">
        <v>6330</v>
      </c>
      <c r="X327" t="s">
        <v>6331</v>
      </c>
      <c r="Y327" t="s">
        <v>6332</v>
      </c>
      <c r="Z327" t="s">
        <v>6333</v>
      </c>
      <c r="AA327" t="s">
        <v>6334</v>
      </c>
      <c r="AB327" t="s">
        <v>6335</v>
      </c>
      <c r="AC327" t="s">
        <v>6336</v>
      </c>
      <c r="AD327" t="s">
        <v>6337</v>
      </c>
      <c r="AE327" t="s">
        <v>6338</v>
      </c>
      <c r="AF327" t="s">
        <v>74</v>
      </c>
      <c r="AG327">
        <v>63</v>
      </c>
      <c r="AH327">
        <v>5</v>
      </c>
      <c r="AI327">
        <v>5</v>
      </c>
      <c r="AJ327">
        <v>1</v>
      </c>
      <c r="AK327">
        <v>12</v>
      </c>
      <c r="AL327" t="s">
        <v>6339</v>
      </c>
      <c r="AM327" t="s">
        <v>5439</v>
      </c>
      <c r="AN327" t="s">
        <v>6340</v>
      </c>
      <c r="AO327" t="s">
        <v>6341</v>
      </c>
      <c r="AP327" t="s">
        <v>74</v>
      </c>
      <c r="AQ327" t="s">
        <v>74</v>
      </c>
      <c r="AR327" t="s">
        <v>6326</v>
      </c>
      <c r="AS327" t="s">
        <v>6342</v>
      </c>
      <c r="AT327" t="s">
        <v>74</v>
      </c>
      <c r="AU327">
        <v>2017</v>
      </c>
      <c r="AV327">
        <v>19</v>
      </c>
      <c r="AW327">
        <v>8</v>
      </c>
      <c r="AX327" t="s">
        <v>74</v>
      </c>
      <c r="AY327" t="s">
        <v>74</v>
      </c>
      <c r="AZ327" t="s">
        <v>74</v>
      </c>
      <c r="BA327" t="s">
        <v>74</v>
      </c>
      <c r="BB327">
        <v>899</v>
      </c>
      <c r="BC327" t="s">
        <v>1676</v>
      </c>
      <c r="BD327" t="s">
        <v>74</v>
      </c>
      <c r="BE327" t="s">
        <v>6343</v>
      </c>
      <c r="BF327" t="str">
        <f>HYPERLINK("http://dx.doi.org/10.1163/15685411-00003096","http://dx.doi.org/10.1163/15685411-00003096")</f>
        <v>http://dx.doi.org/10.1163/15685411-00003096</v>
      </c>
      <c r="BG327" t="s">
        <v>74</v>
      </c>
      <c r="BH327" t="s">
        <v>74</v>
      </c>
      <c r="BI327">
        <v>30</v>
      </c>
      <c r="BJ327" t="s">
        <v>643</v>
      </c>
      <c r="BK327" t="s">
        <v>101</v>
      </c>
      <c r="BL327" t="s">
        <v>643</v>
      </c>
      <c r="BM327" t="s">
        <v>6344</v>
      </c>
      <c r="BN327" t="s">
        <v>74</v>
      </c>
      <c r="BO327" t="s">
        <v>1223</v>
      </c>
      <c r="BP327" t="s">
        <v>74</v>
      </c>
      <c r="BQ327" t="s">
        <v>74</v>
      </c>
      <c r="BR327" t="s">
        <v>105</v>
      </c>
      <c r="BS327" t="s">
        <v>6345</v>
      </c>
      <c r="BT327" t="str">
        <f>HYPERLINK("https%3A%2F%2Fwww.webofscience.com%2Fwos%2Fwoscc%2Ffull-record%2FWOS:000412526600004","View Full Record in Web of Science")</f>
        <v>View Full Record in Web of Science</v>
      </c>
    </row>
    <row r="328" spans="1:72" x14ac:dyDescent="0.15">
      <c r="A328" t="s">
        <v>72</v>
      </c>
      <c r="B328" t="s">
        <v>6346</v>
      </c>
      <c r="C328" t="s">
        <v>74</v>
      </c>
      <c r="D328" t="s">
        <v>74</v>
      </c>
      <c r="E328" t="s">
        <v>74</v>
      </c>
      <c r="F328" t="s">
        <v>6347</v>
      </c>
      <c r="G328" t="s">
        <v>74</v>
      </c>
      <c r="H328" t="s">
        <v>74</v>
      </c>
      <c r="I328" t="s">
        <v>6348</v>
      </c>
      <c r="J328" t="s">
        <v>3061</v>
      </c>
      <c r="K328" t="s">
        <v>74</v>
      </c>
      <c r="L328" t="s">
        <v>74</v>
      </c>
      <c r="M328" t="s">
        <v>78</v>
      </c>
      <c r="N328" t="s">
        <v>79</v>
      </c>
      <c r="O328" t="s">
        <v>74</v>
      </c>
      <c r="P328" t="s">
        <v>74</v>
      </c>
      <c r="Q328" t="s">
        <v>74</v>
      </c>
      <c r="R328" t="s">
        <v>74</v>
      </c>
      <c r="S328" t="s">
        <v>74</v>
      </c>
      <c r="T328" t="s">
        <v>6349</v>
      </c>
      <c r="U328" t="s">
        <v>6350</v>
      </c>
      <c r="V328" t="s">
        <v>6351</v>
      </c>
      <c r="W328" t="s">
        <v>6352</v>
      </c>
      <c r="X328" t="s">
        <v>6353</v>
      </c>
      <c r="Y328" t="s">
        <v>6354</v>
      </c>
      <c r="Z328" t="s">
        <v>6355</v>
      </c>
      <c r="AA328" t="s">
        <v>6356</v>
      </c>
      <c r="AB328" t="s">
        <v>6357</v>
      </c>
      <c r="AC328" t="s">
        <v>6358</v>
      </c>
      <c r="AD328" t="s">
        <v>6359</v>
      </c>
      <c r="AE328" t="s">
        <v>6360</v>
      </c>
      <c r="AF328" t="s">
        <v>74</v>
      </c>
      <c r="AG328">
        <v>51</v>
      </c>
      <c r="AH328">
        <v>9</v>
      </c>
      <c r="AI328">
        <v>9</v>
      </c>
      <c r="AJ328">
        <v>1</v>
      </c>
      <c r="AK328">
        <v>19</v>
      </c>
      <c r="AL328" t="s">
        <v>1967</v>
      </c>
      <c r="AM328" t="s">
        <v>1910</v>
      </c>
      <c r="AN328" t="s">
        <v>1968</v>
      </c>
      <c r="AO328" t="s">
        <v>3076</v>
      </c>
      <c r="AP328" t="s">
        <v>6361</v>
      </c>
      <c r="AQ328" t="s">
        <v>74</v>
      </c>
      <c r="AR328" t="s">
        <v>3061</v>
      </c>
      <c r="AS328" t="s">
        <v>3077</v>
      </c>
      <c r="AT328" t="s">
        <v>74</v>
      </c>
      <c r="AU328">
        <v>2017</v>
      </c>
      <c r="AV328">
        <v>56</v>
      </c>
      <c r="AW328">
        <v>5</v>
      </c>
      <c r="AX328" t="s">
        <v>74</v>
      </c>
      <c r="AY328" t="s">
        <v>74</v>
      </c>
      <c r="AZ328" t="s">
        <v>74</v>
      </c>
      <c r="BA328" t="s">
        <v>74</v>
      </c>
      <c r="BB328">
        <v>570</v>
      </c>
      <c r="BC328">
        <v>578</v>
      </c>
      <c r="BD328" t="s">
        <v>74</v>
      </c>
      <c r="BE328" t="s">
        <v>6362</v>
      </c>
      <c r="BF328" t="str">
        <f>HYPERLINK("http://dx.doi.org/10.2216/16-124.1","http://dx.doi.org/10.2216/16-124.1")</f>
        <v>http://dx.doi.org/10.2216/16-124.1</v>
      </c>
      <c r="BG328" t="s">
        <v>74</v>
      </c>
      <c r="BH328" t="s">
        <v>74</v>
      </c>
      <c r="BI328">
        <v>9</v>
      </c>
      <c r="BJ328" t="s">
        <v>3079</v>
      </c>
      <c r="BK328" t="s">
        <v>101</v>
      </c>
      <c r="BL328" t="s">
        <v>3079</v>
      </c>
      <c r="BM328" t="s">
        <v>6363</v>
      </c>
      <c r="BN328" t="s">
        <v>74</v>
      </c>
      <c r="BO328" t="s">
        <v>74</v>
      </c>
      <c r="BP328" t="s">
        <v>74</v>
      </c>
      <c r="BQ328" t="s">
        <v>74</v>
      </c>
      <c r="BR328" t="s">
        <v>105</v>
      </c>
      <c r="BS328" t="s">
        <v>6364</v>
      </c>
      <c r="BT328" t="str">
        <f>HYPERLINK("https%3A%2F%2Fwww.webofscience.com%2Fwos%2Fwoscc%2Ffull-record%2FWOS:000412894100009","View Full Record in Web of Science")</f>
        <v>View Full Record in Web of Science</v>
      </c>
    </row>
    <row r="329" spans="1:72" x14ac:dyDescent="0.15">
      <c r="A329" t="s">
        <v>1823</v>
      </c>
      <c r="B329" t="s">
        <v>6365</v>
      </c>
      <c r="C329" t="s">
        <v>74</v>
      </c>
      <c r="D329" t="s">
        <v>6366</v>
      </c>
      <c r="E329" t="s">
        <v>74</v>
      </c>
      <c r="F329" t="s">
        <v>6367</v>
      </c>
      <c r="G329" t="s">
        <v>74</v>
      </c>
      <c r="H329" t="s">
        <v>74</v>
      </c>
      <c r="I329" t="s">
        <v>6368</v>
      </c>
      <c r="J329" t="s">
        <v>6369</v>
      </c>
      <c r="K329" t="s">
        <v>4362</v>
      </c>
      <c r="L329" t="s">
        <v>74</v>
      </c>
      <c r="M329" t="s">
        <v>78</v>
      </c>
      <c r="N329" t="s">
        <v>1829</v>
      </c>
      <c r="O329" t="s">
        <v>6370</v>
      </c>
      <c r="P329" t="s">
        <v>6371</v>
      </c>
      <c r="Q329" t="s">
        <v>4737</v>
      </c>
      <c r="R329" t="s">
        <v>74</v>
      </c>
      <c r="S329" t="s">
        <v>74</v>
      </c>
      <c r="T329" t="s">
        <v>6372</v>
      </c>
      <c r="U329" t="s">
        <v>74</v>
      </c>
      <c r="V329" t="s">
        <v>6373</v>
      </c>
      <c r="W329" t="s">
        <v>6374</v>
      </c>
      <c r="X329" t="s">
        <v>6375</v>
      </c>
      <c r="Y329" t="s">
        <v>6376</v>
      </c>
      <c r="Z329" t="s">
        <v>6377</v>
      </c>
      <c r="AA329" t="s">
        <v>74</v>
      </c>
      <c r="AB329" t="s">
        <v>74</v>
      </c>
      <c r="AC329" t="s">
        <v>74</v>
      </c>
      <c r="AD329" t="s">
        <v>74</v>
      </c>
      <c r="AE329" t="s">
        <v>74</v>
      </c>
      <c r="AF329" t="s">
        <v>74</v>
      </c>
      <c r="AG329">
        <v>4</v>
      </c>
      <c r="AH329">
        <v>1</v>
      </c>
      <c r="AI329">
        <v>1</v>
      </c>
      <c r="AJ329">
        <v>0</v>
      </c>
      <c r="AK329">
        <v>3</v>
      </c>
      <c r="AL329" t="s">
        <v>4376</v>
      </c>
      <c r="AM329" t="s">
        <v>4377</v>
      </c>
      <c r="AN329" t="s">
        <v>4378</v>
      </c>
      <c r="AO329" t="s">
        <v>4379</v>
      </c>
      <c r="AP329" t="s">
        <v>74</v>
      </c>
      <c r="AQ329" t="s">
        <v>6378</v>
      </c>
      <c r="AR329" t="s">
        <v>4381</v>
      </c>
      <c r="AS329" t="s">
        <v>74</v>
      </c>
      <c r="AT329" t="s">
        <v>74</v>
      </c>
      <c r="AU329">
        <v>2017</v>
      </c>
      <c r="AV329">
        <v>130</v>
      </c>
      <c r="AW329" t="s">
        <v>74</v>
      </c>
      <c r="AX329" t="s">
        <v>74</v>
      </c>
      <c r="AY329" t="s">
        <v>74</v>
      </c>
      <c r="AZ329" t="s">
        <v>74</v>
      </c>
      <c r="BA329" t="s">
        <v>74</v>
      </c>
      <c r="BB329">
        <v>1039</v>
      </c>
      <c r="BC329">
        <v>1043</v>
      </c>
      <c r="BD329" t="s">
        <v>74</v>
      </c>
      <c r="BE329" t="s">
        <v>74</v>
      </c>
      <c r="BF329" t="s">
        <v>74</v>
      </c>
      <c r="BG329" t="s">
        <v>74</v>
      </c>
      <c r="BH329" t="s">
        <v>74</v>
      </c>
      <c r="BI329">
        <v>5</v>
      </c>
      <c r="BJ329" t="s">
        <v>6379</v>
      </c>
      <c r="BK329" t="s">
        <v>1844</v>
      </c>
      <c r="BL329" t="s">
        <v>3911</v>
      </c>
      <c r="BM329" t="s">
        <v>6380</v>
      </c>
      <c r="BN329" t="s">
        <v>74</v>
      </c>
      <c r="BO329" t="s">
        <v>74</v>
      </c>
      <c r="BP329" t="s">
        <v>74</v>
      </c>
      <c r="BQ329" t="s">
        <v>74</v>
      </c>
      <c r="BR329" t="s">
        <v>105</v>
      </c>
      <c r="BS329" t="s">
        <v>6381</v>
      </c>
      <c r="BT329" t="str">
        <f>HYPERLINK("https%3A%2F%2Fwww.webofscience.com%2Fwos%2Fwoscc%2Ffull-record%2FWOS:000414088200203","View Full Record in Web of Science")</f>
        <v>View Full Record in Web of Science</v>
      </c>
    </row>
    <row r="330" spans="1:72" x14ac:dyDescent="0.15">
      <c r="A330" t="s">
        <v>72</v>
      </c>
      <c r="B330" t="s">
        <v>6382</v>
      </c>
      <c r="C330" t="s">
        <v>74</v>
      </c>
      <c r="D330" t="s">
        <v>74</v>
      </c>
      <c r="E330" t="s">
        <v>74</v>
      </c>
      <c r="F330" t="s">
        <v>6383</v>
      </c>
      <c r="G330" t="s">
        <v>74</v>
      </c>
      <c r="H330" t="s">
        <v>74</v>
      </c>
      <c r="I330" t="s">
        <v>6384</v>
      </c>
      <c r="J330" t="s">
        <v>6385</v>
      </c>
      <c r="K330" t="s">
        <v>74</v>
      </c>
      <c r="L330" t="s">
        <v>74</v>
      </c>
      <c r="M330" t="s">
        <v>78</v>
      </c>
      <c r="N330" t="s">
        <v>79</v>
      </c>
      <c r="O330" t="s">
        <v>74</v>
      </c>
      <c r="P330" t="s">
        <v>74</v>
      </c>
      <c r="Q330" t="s">
        <v>74</v>
      </c>
      <c r="R330" t="s">
        <v>74</v>
      </c>
      <c r="S330" t="s">
        <v>74</v>
      </c>
      <c r="T330" t="s">
        <v>6386</v>
      </c>
      <c r="U330" t="s">
        <v>6387</v>
      </c>
      <c r="V330" t="s">
        <v>6388</v>
      </c>
      <c r="W330" t="s">
        <v>6389</v>
      </c>
      <c r="X330" t="s">
        <v>6390</v>
      </c>
      <c r="Y330" t="s">
        <v>6391</v>
      </c>
      <c r="Z330" t="s">
        <v>74</v>
      </c>
      <c r="AA330" t="s">
        <v>6392</v>
      </c>
      <c r="AB330" t="s">
        <v>6393</v>
      </c>
      <c r="AC330" t="s">
        <v>74</v>
      </c>
      <c r="AD330" t="s">
        <v>74</v>
      </c>
      <c r="AE330" t="s">
        <v>74</v>
      </c>
      <c r="AF330" t="s">
        <v>74</v>
      </c>
      <c r="AG330">
        <v>31</v>
      </c>
      <c r="AH330">
        <v>5</v>
      </c>
      <c r="AI330">
        <v>5</v>
      </c>
      <c r="AJ330">
        <v>2</v>
      </c>
      <c r="AK330">
        <v>2</v>
      </c>
      <c r="AL330" t="s">
        <v>6394</v>
      </c>
      <c r="AM330" t="s">
        <v>6395</v>
      </c>
      <c r="AN330" t="s">
        <v>6396</v>
      </c>
      <c r="AO330" t="s">
        <v>6397</v>
      </c>
      <c r="AP330" t="s">
        <v>74</v>
      </c>
      <c r="AQ330" t="s">
        <v>74</v>
      </c>
      <c r="AR330" t="s">
        <v>6398</v>
      </c>
      <c r="AS330" t="s">
        <v>6399</v>
      </c>
      <c r="AT330" t="s">
        <v>2054</v>
      </c>
      <c r="AU330">
        <v>2017</v>
      </c>
      <c r="AV330">
        <v>8</v>
      </c>
      <c r="AW330">
        <v>1</v>
      </c>
      <c r="AX330" t="s">
        <v>74</v>
      </c>
      <c r="AY330" t="s">
        <v>74</v>
      </c>
      <c r="AZ330" t="s">
        <v>74</v>
      </c>
      <c r="BA330" t="s">
        <v>74</v>
      </c>
      <c r="BB330">
        <v>2014</v>
      </c>
      <c r="BC330">
        <v>2023</v>
      </c>
      <c r="BD330" t="s">
        <v>74</v>
      </c>
      <c r="BE330" t="s">
        <v>74</v>
      </c>
      <c r="BF330" t="s">
        <v>74</v>
      </c>
      <c r="BG330" t="s">
        <v>74</v>
      </c>
      <c r="BH330" t="s">
        <v>74</v>
      </c>
      <c r="BI330">
        <v>10</v>
      </c>
      <c r="BJ330" t="s">
        <v>100</v>
      </c>
      <c r="BK330" t="s">
        <v>2057</v>
      </c>
      <c r="BL330" t="s">
        <v>102</v>
      </c>
      <c r="BM330" t="s">
        <v>6400</v>
      </c>
      <c r="BN330" t="s">
        <v>74</v>
      </c>
      <c r="BO330" t="s">
        <v>74</v>
      </c>
      <c r="BP330" t="s">
        <v>74</v>
      </c>
      <c r="BQ330" t="s">
        <v>74</v>
      </c>
      <c r="BR330" t="s">
        <v>105</v>
      </c>
      <c r="BS330" t="s">
        <v>6401</v>
      </c>
      <c r="BT330" t="str">
        <f>HYPERLINK("https%3A%2F%2Fwww.webofscience.com%2Fwos%2Fwoscc%2Ffull-record%2FWOS:000410595600278","View Full Record in Web of Science")</f>
        <v>View Full Record in Web of Science</v>
      </c>
    </row>
    <row r="331" spans="1:72" x14ac:dyDescent="0.15">
      <c r="A331" t="s">
        <v>72</v>
      </c>
      <c r="B331" t="s">
        <v>6402</v>
      </c>
      <c r="C331" t="s">
        <v>74</v>
      </c>
      <c r="D331" t="s">
        <v>74</v>
      </c>
      <c r="E331" t="s">
        <v>74</v>
      </c>
      <c r="F331" t="s">
        <v>6403</v>
      </c>
      <c r="G331" t="s">
        <v>74</v>
      </c>
      <c r="H331" t="s">
        <v>74</v>
      </c>
      <c r="I331" t="s">
        <v>6404</v>
      </c>
      <c r="J331" t="s">
        <v>6405</v>
      </c>
      <c r="K331" t="s">
        <v>74</v>
      </c>
      <c r="L331" t="s">
        <v>74</v>
      </c>
      <c r="M331" t="s">
        <v>78</v>
      </c>
      <c r="N331" t="s">
        <v>79</v>
      </c>
      <c r="O331" t="s">
        <v>74</v>
      </c>
      <c r="P331" t="s">
        <v>74</v>
      </c>
      <c r="Q331" t="s">
        <v>74</v>
      </c>
      <c r="R331" t="s">
        <v>74</v>
      </c>
      <c r="S331" t="s">
        <v>74</v>
      </c>
      <c r="T331" t="s">
        <v>6406</v>
      </c>
      <c r="U331" t="s">
        <v>6407</v>
      </c>
      <c r="V331" t="s">
        <v>6408</v>
      </c>
      <c r="W331" t="s">
        <v>6409</v>
      </c>
      <c r="X331" t="s">
        <v>6410</v>
      </c>
      <c r="Y331" t="s">
        <v>6411</v>
      </c>
      <c r="Z331" t="s">
        <v>6412</v>
      </c>
      <c r="AA331" t="s">
        <v>6413</v>
      </c>
      <c r="AB331" t="s">
        <v>6414</v>
      </c>
      <c r="AC331" t="s">
        <v>6415</v>
      </c>
      <c r="AD331" t="s">
        <v>6416</v>
      </c>
      <c r="AE331" t="s">
        <v>6417</v>
      </c>
      <c r="AF331" t="s">
        <v>74</v>
      </c>
      <c r="AG331">
        <v>25</v>
      </c>
      <c r="AH331">
        <v>3</v>
      </c>
      <c r="AI331">
        <v>3</v>
      </c>
      <c r="AJ331">
        <v>0</v>
      </c>
      <c r="AK331">
        <v>7</v>
      </c>
      <c r="AL331" t="s">
        <v>6418</v>
      </c>
      <c r="AM331" t="s">
        <v>6419</v>
      </c>
      <c r="AN331" t="s">
        <v>6420</v>
      </c>
      <c r="AO331" t="s">
        <v>6421</v>
      </c>
      <c r="AP331" t="s">
        <v>6422</v>
      </c>
      <c r="AQ331" t="s">
        <v>74</v>
      </c>
      <c r="AR331" t="s">
        <v>6423</v>
      </c>
      <c r="AS331" t="s">
        <v>6424</v>
      </c>
      <c r="AT331" t="s">
        <v>74</v>
      </c>
      <c r="AU331">
        <v>2017</v>
      </c>
      <c r="AV331">
        <v>41</v>
      </c>
      <c r="AW331">
        <v>5</v>
      </c>
      <c r="AX331" t="s">
        <v>74</v>
      </c>
      <c r="AY331" t="s">
        <v>74</v>
      </c>
      <c r="AZ331" t="s">
        <v>74</v>
      </c>
      <c r="BA331" t="s">
        <v>74</v>
      </c>
      <c r="BB331">
        <v>955</v>
      </c>
      <c r="BC331">
        <v>961</v>
      </c>
      <c r="BD331" t="s">
        <v>74</v>
      </c>
      <c r="BE331" t="s">
        <v>6425</v>
      </c>
      <c r="BF331" t="str">
        <f>HYPERLINK("http://dx.doi.org/10.3906/zoo-1611-48","http://dx.doi.org/10.3906/zoo-1611-48")</f>
        <v>http://dx.doi.org/10.3906/zoo-1611-48</v>
      </c>
      <c r="BG331" t="s">
        <v>74</v>
      </c>
      <c r="BH331" t="s">
        <v>74</v>
      </c>
      <c r="BI331">
        <v>7</v>
      </c>
      <c r="BJ331" t="s">
        <v>643</v>
      </c>
      <c r="BK331" t="s">
        <v>101</v>
      </c>
      <c r="BL331" t="s">
        <v>643</v>
      </c>
      <c r="BM331" t="s">
        <v>6426</v>
      </c>
      <c r="BN331" t="s">
        <v>74</v>
      </c>
      <c r="BO331" t="s">
        <v>5447</v>
      </c>
      <c r="BP331" t="s">
        <v>74</v>
      </c>
      <c r="BQ331" t="s">
        <v>74</v>
      </c>
      <c r="BR331" t="s">
        <v>105</v>
      </c>
      <c r="BS331" t="s">
        <v>6427</v>
      </c>
      <c r="BT331" t="str">
        <f>HYPERLINK("https%3A%2F%2Fwww.webofscience.com%2Fwos%2Fwoscc%2Ffull-record%2FWOS:000412127600020","View Full Record in Web of Science")</f>
        <v>View Full Record in Web of Science</v>
      </c>
    </row>
    <row r="332" spans="1:72" x14ac:dyDescent="0.15">
      <c r="A332" t="s">
        <v>72</v>
      </c>
      <c r="B332" t="s">
        <v>6428</v>
      </c>
      <c r="C332" t="s">
        <v>74</v>
      </c>
      <c r="D332" t="s">
        <v>74</v>
      </c>
      <c r="E332" t="s">
        <v>74</v>
      </c>
      <c r="F332" t="s">
        <v>6429</v>
      </c>
      <c r="G332" t="s">
        <v>74</v>
      </c>
      <c r="H332" t="s">
        <v>74</v>
      </c>
      <c r="I332" t="s">
        <v>6430</v>
      </c>
      <c r="J332" t="s">
        <v>1871</v>
      </c>
      <c r="K332" t="s">
        <v>74</v>
      </c>
      <c r="L332" t="s">
        <v>74</v>
      </c>
      <c r="M332" t="s">
        <v>78</v>
      </c>
      <c r="N332" t="s">
        <v>79</v>
      </c>
      <c r="O332" t="s">
        <v>74</v>
      </c>
      <c r="P332" t="s">
        <v>74</v>
      </c>
      <c r="Q332" t="s">
        <v>74</v>
      </c>
      <c r="R332" t="s">
        <v>74</v>
      </c>
      <c r="S332" t="s">
        <v>74</v>
      </c>
      <c r="T332" t="s">
        <v>74</v>
      </c>
      <c r="U332" t="s">
        <v>6431</v>
      </c>
      <c r="V332" t="s">
        <v>6432</v>
      </c>
      <c r="W332" t="s">
        <v>6433</v>
      </c>
      <c r="X332" t="s">
        <v>6434</v>
      </c>
      <c r="Y332" t="s">
        <v>6435</v>
      </c>
      <c r="Z332" t="s">
        <v>6436</v>
      </c>
      <c r="AA332" t="s">
        <v>6437</v>
      </c>
      <c r="AB332" t="s">
        <v>6438</v>
      </c>
      <c r="AC332" t="s">
        <v>6439</v>
      </c>
      <c r="AD332" t="s">
        <v>6440</v>
      </c>
      <c r="AE332" t="s">
        <v>6441</v>
      </c>
      <c r="AF332" t="s">
        <v>74</v>
      </c>
      <c r="AG332">
        <v>22</v>
      </c>
      <c r="AH332">
        <v>1</v>
      </c>
      <c r="AI332">
        <v>2</v>
      </c>
      <c r="AJ332">
        <v>1</v>
      </c>
      <c r="AK332">
        <v>7</v>
      </c>
      <c r="AL332" t="s">
        <v>1883</v>
      </c>
      <c r="AM332" t="s">
        <v>1884</v>
      </c>
      <c r="AN332" t="s">
        <v>1885</v>
      </c>
      <c r="AO332" t="s">
        <v>1886</v>
      </c>
      <c r="AP332" t="s">
        <v>1887</v>
      </c>
      <c r="AQ332" t="s">
        <v>74</v>
      </c>
      <c r="AR332" t="s">
        <v>1888</v>
      </c>
      <c r="AS332" t="s">
        <v>851</v>
      </c>
      <c r="AT332" t="s">
        <v>74</v>
      </c>
      <c r="AU332">
        <v>2017</v>
      </c>
      <c r="AV332">
        <v>60</v>
      </c>
      <c r="AW332">
        <v>5</v>
      </c>
      <c r="AX332" t="s">
        <v>74</v>
      </c>
      <c r="AY332" t="s">
        <v>74</v>
      </c>
      <c r="AZ332" t="s">
        <v>74</v>
      </c>
      <c r="BA332" t="s">
        <v>74</v>
      </c>
      <c r="BB332" t="s">
        <v>74</v>
      </c>
      <c r="BC332" t="s">
        <v>74</v>
      </c>
      <c r="BD332" t="s">
        <v>6442</v>
      </c>
      <c r="BE332" t="s">
        <v>6443</v>
      </c>
      <c r="BF332" t="str">
        <f>HYPERLINK("http://dx.doi.org/10.4401/ag-7364","http://dx.doi.org/10.4401/ag-7364")</f>
        <v>http://dx.doi.org/10.4401/ag-7364</v>
      </c>
      <c r="BG332" t="s">
        <v>74</v>
      </c>
      <c r="BH332" t="s">
        <v>74</v>
      </c>
      <c r="BI332">
        <v>9</v>
      </c>
      <c r="BJ332" t="s">
        <v>299</v>
      </c>
      <c r="BK332" t="s">
        <v>101</v>
      </c>
      <c r="BL332" t="s">
        <v>299</v>
      </c>
      <c r="BM332" t="s">
        <v>1891</v>
      </c>
      <c r="BN332" t="s">
        <v>74</v>
      </c>
      <c r="BO332" t="s">
        <v>941</v>
      </c>
      <c r="BP332" t="s">
        <v>74</v>
      </c>
      <c r="BQ332" t="s">
        <v>74</v>
      </c>
      <c r="BR332" t="s">
        <v>105</v>
      </c>
      <c r="BS332" t="s">
        <v>6444</v>
      </c>
      <c r="BT332" t="str">
        <f>HYPERLINK("https%3A%2F%2Fwww.webofscience.com%2Fwos%2Fwoscc%2Ffull-record%2FWOS:000411625200004","View Full Record in Web of Science")</f>
        <v>View Full Record in Web of Science</v>
      </c>
    </row>
    <row r="333" spans="1:72" x14ac:dyDescent="0.15">
      <c r="A333" t="s">
        <v>72</v>
      </c>
      <c r="B333" t="s">
        <v>6445</v>
      </c>
      <c r="C333" t="s">
        <v>74</v>
      </c>
      <c r="D333" t="s">
        <v>74</v>
      </c>
      <c r="E333" t="s">
        <v>74</v>
      </c>
      <c r="F333" t="s">
        <v>6446</v>
      </c>
      <c r="G333" t="s">
        <v>74</v>
      </c>
      <c r="H333" t="s">
        <v>74</v>
      </c>
      <c r="I333" t="s">
        <v>6447</v>
      </c>
      <c r="J333" t="s">
        <v>6448</v>
      </c>
      <c r="K333" t="s">
        <v>74</v>
      </c>
      <c r="L333" t="s">
        <v>74</v>
      </c>
      <c r="M333" t="s">
        <v>78</v>
      </c>
      <c r="N333" t="s">
        <v>79</v>
      </c>
      <c r="O333" t="s">
        <v>74</v>
      </c>
      <c r="P333" t="s">
        <v>74</v>
      </c>
      <c r="Q333" t="s">
        <v>74</v>
      </c>
      <c r="R333" t="s">
        <v>74</v>
      </c>
      <c r="S333" t="s">
        <v>74</v>
      </c>
      <c r="T333" t="s">
        <v>6449</v>
      </c>
      <c r="U333" t="s">
        <v>6450</v>
      </c>
      <c r="V333" t="s">
        <v>6451</v>
      </c>
      <c r="W333" t="s">
        <v>6452</v>
      </c>
      <c r="X333" t="s">
        <v>6453</v>
      </c>
      <c r="Y333" t="s">
        <v>6454</v>
      </c>
      <c r="Z333" t="s">
        <v>6455</v>
      </c>
      <c r="AA333" t="s">
        <v>74</v>
      </c>
      <c r="AB333" t="s">
        <v>6456</v>
      </c>
      <c r="AC333" t="s">
        <v>74</v>
      </c>
      <c r="AD333" t="s">
        <v>74</v>
      </c>
      <c r="AE333" t="s">
        <v>74</v>
      </c>
      <c r="AF333" t="s">
        <v>74</v>
      </c>
      <c r="AG333">
        <v>64</v>
      </c>
      <c r="AH333">
        <v>0</v>
      </c>
      <c r="AI333">
        <v>0</v>
      </c>
      <c r="AJ333">
        <v>0</v>
      </c>
      <c r="AK333">
        <v>4</v>
      </c>
      <c r="AL333" t="s">
        <v>6457</v>
      </c>
      <c r="AM333" t="s">
        <v>6458</v>
      </c>
      <c r="AN333" t="s">
        <v>6459</v>
      </c>
      <c r="AO333" t="s">
        <v>6460</v>
      </c>
      <c r="AP333" t="s">
        <v>6461</v>
      </c>
      <c r="AQ333" t="s">
        <v>74</v>
      </c>
      <c r="AR333" t="s">
        <v>6462</v>
      </c>
      <c r="AS333" t="s">
        <v>6463</v>
      </c>
      <c r="AT333" t="s">
        <v>74</v>
      </c>
      <c r="AU333">
        <v>2017</v>
      </c>
      <c r="AV333">
        <v>3</v>
      </c>
      <c r="AW333">
        <v>3</v>
      </c>
      <c r="AX333" t="s">
        <v>74</v>
      </c>
      <c r="AY333" t="s">
        <v>74</v>
      </c>
      <c r="AZ333" t="s">
        <v>270</v>
      </c>
      <c r="BA333" t="s">
        <v>74</v>
      </c>
      <c r="BB333">
        <v>233</v>
      </c>
      <c r="BC333">
        <v>247</v>
      </c>
      <c r="BD333" t="s">
        <v>74</v>
      </c>
      <c r="BE333" t="s">
        <v>6464</v>
      </c>
      <c r="BF333" t="str">
        <f>HYPERLINK("http://dx.doi.org/10.1108/JCRPP-09-2016-0020","http://dx.doi.org/10.1108/JCRPP-09-2016-0020")</f>
        <v>http://dx.doi.org/10.1108/JCRPP-09-2016-0020</v>
      </c>
      <c r="BG333" t="s">
        <v>74</v>
      </c>
      <c r="BH333" t="s">
        <v>74</v>
      </c>
      <c r="BI333">
        <v>15</v>
      </c>
      <c r="BJ333" t="s">
        <v>6465</v>
      </c>
      <c r="BK333" t="s">
        <v>2057</v>
      </c>
      <c r="BL333" t="s">
        <v>6465</v>
      </c>
      <c r="BM333" t="s">
        <v>6466</v>
      </c>
      <c r="BN333" t="s">
        <v>74</v>
      </c>
      <c r="BO333" t="s">
        <v>74</v>
      </c>
      <c r="BP333" t="s">
        <v>74</v>
      </c>
      <c r="BQ333" t="s">
        <v>74</v>
      </c>
      <c r="BR333" t="s">
        <v>105</v>
      </c>
      <c r="BS333" t="s">
        <v>6467</v>
      </c>
      <c r="BT333" t="str">
        <f>HYPERLINK("https%3A%2F%2Fwww.webofscience.com%2Fwos%2Fwoscc%2Ffull-record%2FWOS:000411223200007","View Full Record in Web of Science")</f>
        <v>View Full Record in Web of Science</v>
      </c>
    </row>
    <row r="334" spans="1:72" x14ac:dyDescent="0.15">
      <c r="A334" t="s">
        <v>1921</v>
      </c>
      <c r="B334" t="s">
        <v>6468</v>
      </c>
      <c r="C334" t="s">
        <v>74</v>
      </c>
      <c r="D334" t="s">
        <v>6469</v>
      </c>
      <c r="E334" t="s">
        <v>74</v>
      </c>
      <c r="F334" t="s">
        <v>6470</v>
      </c>
      <c r="G334" t="s">
        <v>74</v>
      </c>
      <c r="H334" t="s">
        <v>74</v>
      </c>
      <c r="I334" t="s">
        <v>6471</v>
      </c>
      <c r="J334" t="s">
        <v>6472</v>
      </c>
      <c r="K334" t="s">
        <v>6473</v>
      </c>
      <c r="L334" t="s">
        <v>74</v>
      </c>
      <c r="M334" t="s">
        <v>78</v>
      </c>
      <c r="N334" t="s">
        <v>2067</v>
      </c>
      <c r="O334" t="s">
        <v>74</v>
      </c>
      <c r="P334" t="s">
        <v>74</v>
      </c>
      <c r="Q334" t="s">
        <v>74</v>
      </c>
      <c r="R334" t="s">
        <v>74</v>
      </c>
      <c r="S334" t="s">
        <v>74</v>
      </c>
      <c r="T334" t="s">
        <v>74</v>
      </c>
      <c r="U334" t="s">
        <v>6474</v>
      </c>
      <c r="V334" t="s">
        <v>74</v>
      </c>
      <c r="W334" t="s">
        <v>6475</v>
      </c>
      <c r="X334" t="s">
        <v>6476</v>
      </c>
      <c r="Y334" t="s">
        <v>6477</v>
      </c>
      <c r="Z334" t="s">
        <v>6478</v>
      </c>
      <c r="AA334" t="s">
        <v>74</v>
      </c>
      <c r="AB334" t="s">
        <v>74</v>
      </c>
      <c r="AC334" t="s">
        <v>74</v>
      </c>
      <c r="AD334" t="s">
        <v>74</v>
      </c>
      <c r="AE334" t="s">
        <v>74</v>
      </c>
      <c r="AF334" t="s">
        <v>74</v>
      </c>
      <c r="AG334">
        <v>63</v>
      </c>
      <c r="AH334">
        <v>5</v>
      </c>
      <c r="AI334">
        <v>5</v>
      </c>
      <c r="AJ334">
        <v>0</v>
      </c>
      <c r="AK334">
        <v>1</v>
      </c>
      <c r="AL334" t="s">
        <v>168</v>
      </c>
      <c r="AM334" t="s">
        <v>169</v>
      </c>
      <c r="AN334" t="s">
        <v>5762</v>
      </c>
      <c r="AO334" t="s">
        <v>6479</v>
      </c>
      <c r="AP334" t="s">
        <v>74</v>
      </c>
      <c r="AQ334" t="s">
        <v>6480</v>
      </c>
      <c r="AR334" t="s">
        <v>6481</v>
      </c>
      <c r="AS334" t="s">
        <v>6482</v>
      </c>
      <c r="AT334" t="s">
        <v>74</v>
      </c>
      <c r="AU334">
        <v>2017</v>
      </c>
      <c r="AV334">
        <v>53</v>
      </c>
      <c r="AW334" t="s">
        <v>74</v>
      </c>
      <c r="AX334" t="s">
        <v>74</v>
      </c>
      <c r="AY334" t="s">
        <v>74</v>
      </c>
      <c r="AZ334" t="s">
        <v>74</v>
      </c>
      <c r="BA334" t="s">
        <v>74</v>
      </c>
      <c r="BB334">
        <v>143</v>
      </c>
      <c r="BC334">
        <v>166</v>
      </c>
      <c r="BD334" t="s">
        <v>74</v>
      </c>
      <c r="BE334" t="s">
        <v>6483</v>
      </c>
      <c r="BF334" t="str">
        <f>HYPERLINK("http://dx.doi.org/10.1016/B978-0-444-63930-1.00005-3","http://dx.doi.org/10.1016/B978-0-444-63930-1.00005-3")</f>
        <v>http://dx.doi.org/10.1016/B978-0-444-63930-1.00005-3</v>
      </c>
      <c r="BG334" t="s">
        <v>74</v>
      </c>
      <c r="BH334" t="s">
        <v>74</v>
      </c>
      <c r="BI334">
        <v>24</v>
      </c>
      <c r="BJ334" t="s">
        <v>6484</v>
      </c>
      <c r="BK334" t="s">
        <v>2084</v>
      </c>
      <c r="BL334" t="s">
        <v>6485</v>
      </c>
      <c r="BM334" t="s">
        <v>6486</v>
      </c>
      <c r="BN334" t="s">
        <v>74</v>
      </c>
      <c r="BO334" t="s">
        <v>74</v>
      </c>
      <c r="BP334" t="s">
        <v>74</v>
      </c>
      <c r="BQ334" t="s">
        <v>74</v>
      </c>
      <c r="BR334" t="s">
        <v>105</v>
      </c>
      <c r="BS334" t="s">
        <v>6487</v>
      </c>
      <c r="BT334" t="str">
        <f>HYPERLINK("https%3A%2F%2Fwww.webofscience.com%2Fwos%2Fwoscc%2Ffull-record%2FWOS:000411362500006","View Full Record in Web of Science")</f>
        <v>View Full Record in Web of Science</v>
      </c>
    </row>
    <row r="335" spans="1:72" x14ac:dyDescent="0.15">
      <c r="A335" t="s">
        <v>72</v>
      </c>
      <c r="B335" t="s">
        <v>6488</v>
      </c>
      <c r="C335" t="s">
        <v>74</v>
      </c>
      <c r="D335" t="s">
        <v>74</v>
      </c>
      <c r="E335" t="s">
        <v>74</v>
      </c>
      <c r="F335" t="s">
        <v>6489</v>
      </c>
      <c r="G335" t="s">
        <v>74</v>
      </c>
      <c r="H335" t="s">
        <v>74</v>
      </c>
      <c r="I335" t="s">
        <v>6490</v>
      </c>
      <c r="J335" t="s">
        <v>6491</v>
      </c>
      <c r="K335" t="s">
        <v>74</v>
      </c>
      <c r="L335" t="s">
        <v>74</v>
      </c>
      <c r="M335" t="s">
        <v>78</v>
      </c>
      <c r="N335" t="s">
        <v>79</v>
      </c>
      <c r="O335" t="s">
        <v>74</v>
      </c>
      <c r="P335" t="s">
        <v>74</v>
      </c>
      <c r="Q335" t="s">
        <v>74</v>
      </c>
      <c r="R335" t="s">
        <v>74</v>
      </c>
      <c r="S335" t="s">
        <v>74</v>
      </c>
      <c r="T335" t="s">
        <v>6492</v>
      </c>
      <c r="U335" t="s">
        <v>6493</v>
      </c>
      <c r="V335" t="s">
        <v>6494</v>
      </c>
      <c r="W335" t="s">
        <v>6495</v>
      </c>
      <c r="X335" t="s">
        <v>6496</v>
      </c>
      <c r="Y335" t="s">
        <v>6497</v>
      </c>
      <c r="Z335" t="s">
        <v>6498</v>
      </c>
      <c r="AA335" t="s">
        <v>6499</v>
      </c>
      <c r="AB335" t="s">
        <v>6500</v>
      </c>
      <c r="AC335" t="s">
        <v>6501</v>
      </c>
      <c r="AD335" t="s">
        <v>6501</v>
      </c>
      <c r="AE335" t="s">
        <v>6502</v>
      </c>
      <c r="AF335" t="s">
        <v>74</v>
      </c>
      <c r="AG335">
        <v>31</v>
      </c>
      <c r="AH335">
        <v>8</v>
      </c>
      <c r="AI335">
        <v>8</v>
      </c>
      <c r="AJ335">
        <v>0</v>
      </c>
      <c r="AK335">
        <v>3</v>
      </c>
      <c r="AL335" t="s">
        <v>6503</v>
      </c>
      <c r="AM335" t="s">
        <v>6504</v>
      </c>
      <c r="AN335" t="s">
        <v>6505</v>
      </c>
      <c r="AO335" t="s">
        <v>6506</v>
      </c>
      <c r="AP335" t="s">
        <v>74</v>
      </c>
      <c r="AQ335" t="s">
        <v>74</v>
      </c>
      <c r="AR335" t="s">
        <v>6507</v>
      </c>
      <c r="AS335" t="s">
        <v>6508</v>
      </c>
      <c r="AT335" t="s">
        <v>74</v>
      </c>
      <c r="AU335">
        <v>2017</v>
      </c>
      <c r="AV335">
        <v>4</v>
      </c>
      <c r="AW335">
        <v>3</v>
      </c>
      <c r="AX335" t="s">
        <v>74</v>
      </c>
      <c r="AY335" t="s">
        <v>74</v>
      </c>
      <c r="AZ335" t="s">
        <v>74</v>
      </c>
      <c r="BA335" t="s">
        <v>74</v>
      </c>
      <c r="BB335">
        <v>386</v>
      </c>
      <c r="BC335">
        <v>401</v>
      </c>
      <c r="BD335" t="s">
        <v>74</v>
      </c>
      <c r="BE335" t="s">
        <v>6509</v>
      </c>
      <c r="BF335" t="str">
        <f>HYPERLINK("http://dx.doi.org/10.3934/bioeng.2017.3.386","http://dx.doi.org/10.3934/bioeng.2017.3.386")</f>
        <v>http://dx.doi.org/10.3934/bioeng.2017.3.386</v>
      </c>
      <c r="BG335" t="s">
        <v>74</v>
      </c>
      <c r="BH335" t="s">
        <v>74</v>
      </c>
      <c r="BI335">
        <v>16</v>
      </c>
      <c r="BJ335" t="s">
        <v>6510</v>
      </c>
      <c r="BK335" t="s">
        <v>2057</v>
      </c>
      <c r="BL335" t="s">
        <v>3911</v>
      </c>
      <c r="BM335" t="s">
        <v>6511</v>
      </c>
      <c r="BN335" t="s">
        <v>74</v>
      </c>
      <c r="BO335" t="s">
        <v>790</v>
      </c>
      <c r="BP335" t="s">
        <v>74</v>
      </c>
      <c r="BQ335" t="s">
        <v>74</v>
      </c>
      <c r="BR335" t="s">
        <v>105</v>
      </c>
      <c r="BS335" t="s">
        <v>6512</v>
      </c>
      <c r="BT335" t="str">
        <f>HYPERLINK("https%3A%2F%2Fwww.webofscience.com%2Fwos%2Fwoscc%2Ffull-record%2FWOS:000411647300005","View Full Record in Web of Science")</f>
        <v>View Full Record in Web of Science</v>
      </c>
    </row>
    <row r="336" spans="1:72" x14ac:dyDescent="0.15">
      <c r="A336" t="s">
        <v>1823</v>
      </c>
      <c r="B336" t="s">
        <v>6513</v>
      </c>
      <c r="C336" t="s">
        <v>74</v>
      </c>
      <c r="D336" t="s">
        <v>6514</v>
      </c>
      <c r="E336" t="s">
        <v>74</v>
      </c>
      <c r="F336" t="s">
        <v>6515</v>
      </c>
      <c r="G336" t="s">
        <v>74</v>
      </c>
      <c r="H336" t="s">
        <v>74</v>
      </c>
      <c r="I336" t="s">
        <v>6516</v>
      </c>
      <c r="J336" t="s">
        <v>6517</v>
      </c>
      <c r="K336" t="s">
        <v>6518</v>
      </c>
      <c r="L336" t="s">
        <v>74</v>
      </c>
      <c r="M336" t="s">
        <v>78</v>
      </c>
      <c r="N336" t="s">
        <v>1829</v>
      </c>
      <c r="O336" t="s">
        <v>6519</v>
      </c>
      <c r="P336" t="s">
        <v>6520</v>
      </c>
      <c r="Q336" t="s">
        <v>6521</v>
      </c>
      <c r="R336" t="s">
        <v>74</v>
      </c>
      <c r="S336" t="s">
        <v>6522</v>
      </c>
      <c r="T336" t="s">
        <v>74</v>
      </c>
      <c r="U336" t="s">
        <v>74</v>
      </c>
      <c r="V336" t="s">
        <v>6523</v>
      </c>
      <c r="W336" t="s">
        <v>6524</v>
      </c>
      <c r="X336" t="s">
        <v>6525</v>
      </c>
      <c r="Y336" t="s">
        <v>6526</v>
      </c>
      <c r="Z336" t="s">
        <v>6527</v>
      </c>
      <c r="AA336" t="s">
        <v>6528</v>
      </c>
      <c r="AB336" t="s">
        <v>6529</v>
      </c>
      <c r="AC336" t="s">
        <v>74</v>
      </c>
      <c r="AD336" t="s">
        <v>74</v>
      </c>
      <c r="AE336" t="s">
        <v>74</v>
      </c>
      <c r="AF336" t="s">
        <v>74</v>
      </c>
      <c r="AG336">
        <v>1</v>
      </c>
      <c r="AH336">
        <v>0</v>
      </c>
      <c r="AI336">
        <v>0</v>
      </c>
      <c r="AJ336">
        <v>0</v>
      </c>
      <c r="AK336">
        <v>0</v>
      </c>
      <c r="AL336" t="s">
        <v>6530</v>
      </c>
      <c r="AM336" t="s">
        <v>782</v>
      </c>
      <c r="AN336" t="s">
        <v>6531</v>
      </c>
      <c r="AO336" t="s">
        <v>74</v>
      </c>
      <c r="AP336" t="s">
        <v>74</v>
      </c>
      <c r="AQ336" t="s">
        <v>6532</v>
      </c>
      <c r="AR336" t="s">
        <v>6533</v>
      </c>
      <c r="AS336" t="s">
        <v>74</v>
      </c>
      <c r="AT336" t="s">
        <v>74</v>
      </c>
      <c r="AU336">
        <v>2017</v>
      </c>
      <c r="AV336">
        <v>510</v>
      </c>
      <c r="AW336" t="s">
        <v>74</v>
      </c>
      <c r="AX336" t="s">
        <v>74</v>
      </c>
      <c r="AY336" t="s">
        <v>74</v>
      </c>
      <c r="AZ336" t="s">
        <v>74</v>
      </c>
      <c r="BA336" t="s">
        <v>74</v>
      </c>
      <c r="BB336">
        <v>538</v>
      </c>
      <c r="BC336">
        <v>541</v>
      </c>
      <c r="BD336" t="s">
        <v>74</v>
      </c>
      <c r="BE336" t="s">
        <v>74</v>
      </c>
      <c r="BF336" t="s">
        <v>74</v>
      </c>
      <c r="BG336" t="s">
        <v>74</v>
      </c>
      <c r="BH336" t="s">
        <v>74</v>
      </c>
      <c r="BI336">
        <v>4</v>
      </c>
      <c r="BJ336" t="s">
        <v>2635</v>
      </c>
      <c r="BK336" t="s">
        <v>1844</v>
      </c>
      <c r="BL336" t="s">
        <v>2635</v>
      </c>
      <c r="BM336" t="s">
        <v>6534</v>
      </c>
      <c r="BN336" t="s">
        <v>74</v>
      </c>
      <c r="BO336" t="s">
        <v>74</v>
      </c>
      <c r="BP336" t="s">
        <v>74</v>
      </c>
      <c r="BQ336" t="s">
        <v>74</v>
      </c>
      <c r="BR336" t="s">
        <v>105</v>
      </c>
      <c r="BS336" t="s">
        <v>6535</v>
      </c>
      <c r="BT336" t="str">
        <f>HYPERLINK("https%3A%2F%2Fwww.webofscience.com%2Fwos%2Fwoscc%2Ffull-record%2FWOS:000411770200135","View Full Record in Web of Science")</f>
        <v>View Full Record in Web of Science</v>
      </c>
    </row>
    <row r="337" spans="1:72" x14ac:dyDescent="0.15">
      <c r="A337" t="s">
        <v>1823</v>
      </c>
      <c r="B337" t="s">
        <v>6536</v>
      </c>
      <c r="C337" t="s">
        <v>74</v>
      </c>
      <c r="D337" t="s">
        <v>74</v>
      </c>
      <c r="E337" t="s">
        <v>1825</v>
      </c>
      <c r="F337" t="s">
        <v>6537</v>
      </c>
      <c r="G337" t="s">
        <v>74</v>
      </c>
      <c r="H337" t="s">
        <v>74</v>
      </c>
      <c r="I337" t="s">
        <v>6538</v>
      </c>
      <c r="J337" t="s">
        <v>6539</v>
      </c>
      <c r="K337" t="s">
        <v>6540</v>
      </c>
      <c r="L337" t="s">
        <v>74</v>
      </c>
      <c r="M337" t="s">
        <v>78</v>
      </c>
      <c r="N337" t="s">
        <v>1829</v>
      </c>
      <c r="O337" t="s">
        <v>6541</v>
      </c>
      <c r="P337" t="s">
        <v>6542</v>
      </c>
      <c r="Q337" t="s">
        <v>6543</v>
      </c>
      <c r="R337" t="s">
        <v>74</v>
      </c>
      <c r="S337" t="s">
        <v>74</v>
      </c>
      <c r="T337" t="s">
        <v>74</v>
      </c>
      <c r="U337" t="s">
        <v>6544</v>
      </c>
      <c r="V337" t="s">
        <v>6545</v>
      </c>
      <c r="W337" t="s">
        <v>6546</v>
      </c>
      <c r="X337" t="s">
        <v>6547</v>
      </c>
      <c r="Y337" t="s">
        <v>6548</v>
      </c>
      <c r="Z337" t="s">
        <v>6549</v>
      </c>
      <c r="AA337" t="s">
        <v>74</v>
      </c>
      <c r="AB337" t="s">
        <v>74</v>
      </c>
      <c r="AC337" t="s">
        <v>74</v>
      </c>
      <c r="AD337" t="s">
        <v>74</v>
      </c>
      <c r="AE337" t="s">
        <v>74</v>
      </c>
      <c r="AF337" t="s">
        <v>74</v>
      </c>
      <c r="AG337">
        <v>19</v>
      </c>
      <c r="AH337">
        <v>2</v>
      </c>
      <c r="AI337">
        <v>2</v>
      </c>
      <c r="AJ337">
        <v>0</v>
      </c>
      <c r="AK337">
        <v>14</v>
      </c>
      <c r="AL337" t="s">
        <v>1825</v>
      </c>
      <c r="AM337" t="s">
        <v>187</v>
      </c>
      <c r="AN337" t="s">
        <v>1842</v>
      </c>
      <c r="AO337" t="s">
        <v>6550</v>
      </c>
      <c r="AP337" t="s">
        <v>74</v>
      </c>
      <c r="AQ337" t="s">
        <v>6551</v>
      </c>
      <c r="AR337" t="s">
        <v>6552</v>
      </c>
      <c r="AS337" t="s">
        <v>74</v>
      </c>
      <c r="AT337" t="s">
        <v>74</v>
      </c>
      <c r="AU337">
        <v>2017</v>
      </c>
      <c r="AV337" t="s">
        <v>74</v>
      </c>
      <c r="AW337" t="s">
        <v>74</v>
      </c>
      <c r="AX337" t="s">
        <v>74</v>
      </c>
      <c r="AY337" t="s">
        <v>74</v>
      </c>
      <c r="AZ337" t="s">
        <v>74</v>
      </c>
      <c r="BA337" t="s">
        <v>74</v>
      </c>
      <c r="BB337" t="s">
        <v>74</v>
      </c>
      <c r="BC337" t="s">
        <v>74</v>
      </c>
      <c r="BD337" t="s">
        <v>74</v>
      </c>
      <c r="BE337" t="s">
        <v>74</v>
      </c>
      <c r="BF337" t="s">
        <v>74</v>
      </c>
      <c r="BG337" t="s">
        <v>74</v>
      </c>
      <c r="BH337" t="s">
        <v>74</v>
      </c>
      <c r="BI337">
        <v>8</v>
      </c>
      <c r="BJ337" t="s">
        <v>6553</v>
      </c>
      <c r="BK337" t="s">
        <v>1844</v>
      </c>
      <c r="BL337" t="s">
        <v>3911</v>
      </c>
      <c r="BM337" t="s">
        <v>6554</v>
      </c>
      <c r="BN337" t="s">
        <v>74</v>
      </c>
      <c r="BO337" t="s">
        <v>74</v>
      </c>
      <c r="BP337" t="s">
        <v>74</v>
      </c>
      <c r="BQ337" t="s">
        <v>74</v>
      </c>
      <c r="BR337" t="s">
        <v>105</v>
      </c>
      <c r="BS337" t="s">
        <v>6555</v>
      </c>
      <c r="BT337" t="str">
        <f>HYPERLINK("https%3A%2F%2Fwww.webofscience.com%2Fwos%2Fwoscc%2Ffull-record%2FWOS:000405199504015","View Full Record in Web of Science")</f>
        <v>View Full Record in Web of Science</v>
      </c>
    </row>
    <row r="338" spans="1:72" x14ac:dyDescent="0.15">
      <c r="A338" t="s">
        <v>72</v>
      </c>
      <c r="B338" t="s">
        <v>6556</v>
      </c>
      <c r="C338" t="s">
        <v>74</v>
      </c>
      <c r="D338" t="s">
        <v>74</v>
      </c>
      <c r="E338" t="s">
        <v>74</v>
      </c>
      <c r="F338" t="s">
        <v>6557</v>
      </c>
      <c r="G338" t="s">
        <v>74</v>
      </c>
      <c r="H338" t="s">
        <v>74</v>
      </c>
      <c r="I338" t="s">
        <v>6558</v>
      </c>
      <c r="J338" t="s">
        <v>6056</v>
      </c>
      <c r="K338" t="s">
        <v>74</v>
      </c>
      <c r="L338" t="s">
        <v>74</v>
      </c>
      <c r="M338" t="s">
        <v>78</v>
      </c>
      <c r="N338" t="s">
        <v>79</v>
      </c>
      <c r="O338" t="s">
        <v>74</v>
      </c>
      <c r="P338" t="s">
        <v>74</v>
      </c>
      <c r="Q338" t="s">
        <v>74</v>
      </c>
      <c r="R338" t="s">
        <v>74</v>
      </c>
      <c r="S338" t="s">
        <v>74</v>
      </c>
      <c r="T338" t="s">
        <v>6559</v>
      </c>
      <c r="U338" t="s">
        <v>6560</v>
      </c>
      <c r="V338" t="s">
        <v>6561</v>
      </c>
      <c r="W338" t="s">
        <v>6562</v>
      </c>
      <c r="X338" t="s">
        <v>6563</v>
      </c>
      <c r="Y338" t="s">
        <v>6564</v>
      </c>
      <c r="Z338" t="s">
        <v>6565</v>
      </c>
      <c r="AA338" t="s">
        <v>74</v>
      </c>
      <c r="AB338" t="s">
        <v>74</v>
      </c>
      <c r="AC338" t="s">
        <v>6566</v>
      </c>
      <c r="AD338" t="s">
        <v>6566</v>
      </c>
      <c r="AE338" t="s">
        <v>6567</v>
      </c>
      <c r="AF338" t="s">
        <v>74</v>
      </c>
      <c r="AG338">
        <v>45</v>
      </c>
      <c r="AH338">
        <v>12</v>
      </c>
      <c r="AI338">
        <v>12</v>
      </c>
      <c r="AJ338">
        <v>1</v>
      </c>
      <c r="AK338">
        <v>18</v>
      </c>
      <c r="AL338" t="s">
        <v>6068</v>
      </c>
      <c r="AM338" t="s">
        <v>6069</v>
      </c>
      <c r="AN338" t="s">
        <v>6070</v>
      </c>
      <c r="AO338" t="s">
        <v>2279</v>
      </c>
      <c r="AP338" t="s">
        <v>2280</v>
      </c>
      <c r="AQ338" t="s">
        <v>74</v>
      </c>
      <c r="AR338" t="s">
        <v>2263</v>
      </c>
      <c r="AS338" t="s">
        <v>2281</v>
      </c>
      <c r="AT338" t="s">
        <v>74</v>
      </c>
      <c r="AU338">
        <v>2017</v>
      </c>
      <c r="AV338">
        <v>117</v>
      </c>
      <c r="AW338">
        <v>2</v>
      </c>
      <c r="AX338" t="s">
        <v>74</v>
      </c>
      <c r="AY338" t="s">
        <v>74</v>
      </c>
      <c r="AZ338" t="s">
        <v>74</v>
      </c>
      <c r="BA338" t="s">
        <v>74</v>
      </c>
      <c r="BB338">
        <v>160</v>
      </c>
      <c r="BC338">
        <v>169</v>
      </c>
      <c r="BD338" t="s">
        <v>74</v>
      </c>
      <c r="BE338" t="s">
        <v>6568</v>
      </c>
      <c r="BF338" t="str">
        <f>HYPERLINK("http://dx.doi.org/10.1080/01584197.2017.1289804","http://dx.doi.org/10.1080/01584197.2017.1289804")</f>
        <v>http://dx.doi.org/10.1080/01584197.2017.1289804</v>
      </c>
      <c r="BG338" t="s">
        <v>74</v>
      </c>
      <c r="BH338" t="s">
        <v>74</v>
      </c>
      <c r="BI338">
        <v>10</v>
      </c>
      <c r="BJ338" t="s">
        <v>2283</v>
      </c>
      <c r="BK338" t="s">
        <v>101</v>
      </c>
      <c r="BL338" t="s">
        <v>643</v>
      </c>
      <c r="BM338" t="s">
        <v>2284</v>
      </c>
      <c r="BN338" t="s">
        <v>74</v>
      </c>
      <c r="BO338" t="s">
        <v>74</v>
      </c>
      <c r="BP338" t="s">
        <v>74</v>
      </c>
      <c r="BQ338" t="s">
        <v>74</v>
      </c>
      <c r="BR338" t="s">
        <v>105</v>
      </c>
      <c r="BS338" t="s">
        <v>6569</v>
      </c>
      <c r="BT338" t="str">
        <f>HYPERLINK("https%3A%2F%2Fwww.webofscience.com%2Fwos%2Fwoscc%2Ffull-record%2FWOS:000410664600006","View Full Record in Web of Science")</f>
        <v>View Full Record in Web of Science</v>
      </c>
    </row>
    <row r="339" spans="1:72" x14ac:dyDescent="0.15">
      <c r="A339" t="s">
        <v>72</v>
      </c>
      <c r="B339" t="s">
        <v>6570</v>
      </c>
      <c r="C339" t="s">
        <v>74</v>
      </c>
      <c r="D339" t="s">
        <v>74</v>
      </c>
      <c r="E339" t="s">
        <v>74</v>
      </c>
      <c r="F339" t="s">
        <v>6571</v>
      </c>
      <c r="G339" t="s">
        <v>74</v>
      </c>
      <c r="H339" t="s">
        <v>74</v>
      </c>
      <c r="I339" t="s">
        <v>6572</v>
      </c>
      <c r="J339" t="s">
        <v>6056</v>
      </c>
      <c r="K339" t="s">
        <v>74</v>
      </c>
      <c r="L339" t="s">
        <v>74</v>
      </c>
      <c r="M339" t="s">
        <v>78</v>
      </c>
      <c r="N339" t="s">
        <v>79</v>
      </c>
      <c r="O339" t="s">
        <v>74</v>
      </c>
      <c r="P339" t="s">
        <v>74</v>
      </c>
      <c r="Q339" t="s">
        <v>74</v>
      </c>
      <c r="R339" t="s">
        <v>74</v>
      </c>
      <c r="S339" t="s">
        <v>74</v>
      </c>
      <c r="T339" t="s">
        <v>6573</v>
      </c>
      <c r="U339" t="s">
        <v>6574</v>
      </c>
      <c r="V339" t="s">
        <v>6575</v>
      </c>
      <c r="W339" t="s">
        <v>6576</v>
      </c>
      <c r="X339" t="s">
        <v>6577</v>
      </c>
      <c r="Y339" t="s">
        <v>6578</v>
      </c>
      <c r="Z339" t="s">
        <v>6579</v>
      </c>
      <c r="AA339" t="s">
        <v>6580</v>
      </c>
      <c r="AB339" t="s">
        <v>6581</v>
      </c>
      <c r="AC339" t="s">
        <v>6582</v>
      </c>
      <c r="AD339" t="s">
        <v>6583</v>
      </c>
      <c r="AE339" t="s">
        <v>6584</v>
      </c>
      <c r="AF339" t="s">
        <v>74</v>
      </c>
      <c r="AG339">
        <v>24</v>
      </c>
      <c r="AH339">
        <v>7</v>
      </c>
      <c r="AI339">
        <v>7</v>
      </c>
      <c r="AJ339">
        <v>0</v>
      </c>
      <c r="AK339">
        <v>13</v>
      </c>
      <c r="AL339" t="s">
        <v>6068</v>
      </c>
      <c r="AM339" t="s">
        <v>6069</v>
      </c>
      <c r="AN339" t="s">
        <v>6070</v>
      </c>
      <c r="AO339" t="s">
        <v>2279</v>
      </c>
      <c r="AP339" t="s">
        <v>2280</v>
      </c>
      <c r="AQ339" t="s">
        <v>74</v>
      </c>
      <c r="AR339" t="s">
        <v>2263</v>
      </c>
      <c r="AS339" t="s">
        <v>2281</v>
      </c>
      <c r="AT339" t="s">
        <v>74</v>
      </c>
      <c r="AU339">
        <v>2017</v>
      </c>
      <c r="AV339">
        <v>117</v>
      </c>
      <c r="AW339">
        <v>2</v>
      </c>
      <c r="AX339" t="s">
        <v>74</v>
      </c>
      <c r="AY339" t="s">
        <v>74</v>
      </c>
      <c r="AZ339" t="s">
        <v>74</v>
      </c>
      <c r="BA339" t="s">
        <v>74</v>
      </c>
      <c r="BB339">
        <v>181</v>
      </c>
      <c r="BC339">
        <v>187</v>
      </c>
      <c r="BD339" t="s">
        <v>74</v>
      </c>
      <c r="BE339" t="s">
        <v>6585</v>
      </c>
      <c r="BF339" t="str">
        <f>HYPERLINK("http://dx.doi.org/10.1080/01584197.2017.1298400","http://dx.doi.org/10.1080/01584197.2017.1298400")</f>
        <v>http://dx.doi.org/10.1080/01584197.2017.1298400</v>
      </c>
      <c r="BG339" t="s">
        <v>74</v>
      </c>
      <c r="BH339" t="s">
        <v>74</v>
      </c>
      <c r="BI339">
        <v>7</v>
      </c>
      <c r="BJ339" t="s">
        <v>2283</v>
      </c>
      <c r="BK339" t="s">
        <v>101</v>
      </c>
      <c r="BL339" t="s">
        <v>643</v>
      </c>
      <c r="BM339" t="s">
        <v>2284</v>
      </c>
      <c r="BN339" t="s">
        <v>74</v>
      </c>
      <c r="BO339" t="s">
        <v>74</v>
      </c>
      <c r="BP339" t="s">
        <v>74</v>
      </c>
      <c r="BQ339" t="s">
        <v>74</v>
      </c>
      <c r="BR339" t="s">
        <v>105</v>
      </c>
      <c r="BS339" t="s">
        <v>6586</v>
      </c>
      <c r="BT339" t="str">
        <f>HYPERLINK("https%3A%2F%2Fwww.webofscience.com%2Fwos%2Fwoscc%2Ffull-record%2FWOS:000410664600008","View Full Record in Web of Science")</f>
        <v>View Full Record in Web of Science</v>
      </c>
    </row>
    <row r="340" spans="1:72" x14ac:dyDescent="0.15">
      <c r="A340" t="s">
        <v>72</v>
      </c>
      <c r="B340" t="s">
        <v>6587</v>
      </c>
      <c r="C340" t="s">
        <v>74</v>
      </c>
      <c r="D340" t="s">
        <v>74</v>
      </c>
      <c r="E340" t="s">
        <v>74</v>
      </c>
      <c r="F340" t="s">
        <v>6588</v>
      </c>
      <c r="G340" t="s">
        <v>74</v>
      </c>
      <c r="H340" t="s">
        <v>74</v>
      </c>
      <c r="I340" t="s">
        <v>6589</v>
      </c>
      <c r="J340" t="s">
        <v>3321</v>
      </c>
      <c r="K340" t="s">
        <v>74</v>
      </c>
      <c r="L340" t="s">
        <v>74</v>
      </c>
      <c r="M340" t="s">
        <v>78</v>
      </c>
      <c r="N340" t="s">
        <v>1597</v>
      </c>
      <c r="O340" t="s">
        <v>74</v>
      </c>
      <c r="P340" t="s">
        <v>74</v>
      </c>
      <c r="Q340" t="s">
        <v>74</v>
      </c>
      <c r="R340" t="s">
        <v>74</v>
      </c>
      <c r="S340" t="s">
        <v>74</v>
      </c>
      <c r="T340" t="s">
        <v>6590</v>
      </c>
      <c r="U340" t="s">
        <v>6591</v>
      </c>
      <c r="V340" t="s">
        <v>6592</v>
      </c>
      <c r="W340" t="s">
        <v>6593</v>
      </c>
      <c r="X340" t="s">
        <v>6594</v>
      </c>
      <c r="Y340" t="s">
        <v>6595</v>
      </c>
      <c r="Z340" t="s">
        <v>6596</v>
      </c>
      <c r="AA340" t="s">
        <v>6597</v>
      </c>
      <c r="AB340" t="s">
        <v>6598</v>
      </c>
      <c r="AC340" t="s">
        <v>6599</v>
      </c>
      <c r="AD340" t="s">
        <v>6600</v>
      </c>
      <c r="AE340" t="s">
        <v>6601</v>
      </c>
      <c r="AF340" t="s">
        <v>74</v>
      </c>
      <c r="AG340">
        <v>165</v>
      </c>
      <c r="AH340">
        <v>16</v>
      </c>
      <c r="AI340">
        <v>17</v>
      </c>
      <c r="AJ340">
        <v>1</v>
      </c>
      <c r="AK340">
        <v>7</v>
      </c>
      <c r="AL340" t="s">
        <v>3333</v>
      </c>
      <c r="AM340" t="s">
        <v>1553</v>
      </c>
      <c r="AN340" t="s">
        <v>1554</v>
      </c>
      <c r="AO340" t="s">
        <v>3334</v>
      </c>
      <c r="AP340" t="s">
        <v>3335</v>
      </c>
      <c r="AQ340" t="s">
        <v>74</v>
      </c>
      <c r="AR340" t="s">
        <v>3321</v>
      </c>
      <c r="AS340" t="s">
        <v>3336</v>
      </c>
      <c r="AT340" t="s">
        <v>74</v>
      </c>
      <c r="AU340">
        <v>2017</v>
      </c>
      <c r="AV340" t="s">
        <v>74</v>
      </c>
      <c r="AW340">
        <v>697</v>
      </c>
      <c r="AX340" t="s">
        <v>74</v>
      </c>
      <c r="AY340" t="s">
        <v>74</v>
      </c>
      <c r="AZ340" t="s">
        <v>74</v>
      </c>
      <c r="BA340" t="s">
        <v>74</v>
      </c>
      <c r="BB340">
        <v>1</v>
      </c>
      <c r="BC340">
        <v>20</v>
      </c>
      <c r="BD340" t="s">
        <v>74</v>
      </c>
      <c r="BE340" t="s">
        <v>6602</v>
      </c>
      <c r="BF340" t="str">
        <f>HYPERLINK("http://dx.doi.org/10.3897/zookeys.697.14746","http://dx.doi.org/10.3897/zookeys.697.14746")</f>
        <v>http://dx.doi.org/10.3897/zookeys.697.14746</v>
      </c>
      <c r="BG340" t="s">
        <v>74</v>
      </c>
      <c r="BH340" t="s">
        <v>74</v>
      </c>
      <c r="BI340">
        <v>20</v>
      </c>
      <c r="BJ340" t="s">
        <v>643</v>
      </c>
      <c r="BK340" t="s">
        <v>101</v>
      </c>
      <c r="BL340" t="s">
        <v>643</v>
      </c>
      <c r="BM340" t="s">
        <v>6603</v>
      </c>
      <c r="BN340">
        <v>29134013</v>
      </c>
      <c r="BO340" t="s">
        <v>790</v>
      </c>
      <c r="BP340" t="s">
        <v>74</v>
      </c>
      <c r="BQ340" t="s">
        <v>74</v>
      </c>
      <c r="BR340" t="s">
        <v>105</v>
      </c>
      <c r="BS340" t="s">
        <v>6604</v>
      </c>
      <c r="BT340" t="str">
        <f>HYPERLINK("https%3A%2F%2Fwww.webofscience.com%2Fwos%2Fwoscc%2Ffull-record%2FWOS:000411123100001","View Full Record in Web of Science")</f>
        <v>View Full Record in Web of Science</v>
      </c>
    </row>
    <row r="341" spans="1:72" x14ac:dyDescent="0.15">
      <c r="A341" t="s">
        <v>72</v>
      </c>
      <c r="B341" t="s">
        <v>6605</v>
      </c>
      <c r="C341" t="s">
        <v>74</v>
      </c>
      <c r="D341" t="s">
        <v>74</v>
      </c>
      <c r="E341" t="s">
        <v>74</v>
      </c>
      <c r="F341" t="s">
        <v>6606</v>
      </c>
      <c r="G341" t="s">
        <v>74</v>
      </c>
      <c r="H341" t="s">
        <v>74</v>
      </c>
      <c r="I341" t="s">
        <v>6607</v>
      </c>
      <c r="J341" t="s">
        <v>3321</v>
      </c>
      <c r="K341" t="s">
        <v>74</v>
      </c>
      <c r="L341" t="s">
        <v>74</v>
      </c>
      <c r="M341" t="s">
        <v>78</v>
      </c>
      <c r="N341" t="s">
        <v>79</v>
      </c>
      <c r="O341" t="s">
        <v>74</v>
      </c>
      <c r="P341" t="s">
        <v>74</v>
      </c>
      <c r="Q341" t="s">
        <v>74</v>
      </c>
      <c r="R341" t="s">
        <v>74</v>
      </c>
      <c r="S341" t="s">
        <v>74</v>
      </c>
      <c r="T341" t="s">
        <v>6608</v>
      </c>
      <c r="U341" t="s">
        <v>6609</v>
      </c>
      <c r="V341" t="s">
        <v>6610</v>
      </c>
      <c r="W341" t="s">
        <v>6611</v>
      </c>
      <c r="X341" t="s">
        <v>4981</v>
      </c>
      <c r="Y341" t="s">
        <v>6612</v>
      </c>
      <c r="Z341" t="s">
        <v>6613</v>
      </c>
      <c r="AA341" t="s">
        <v>6614</v>
      </c>
      <c r="AB341" t="s">
        <v>6615</v>
      </c>
      <c r="AC341" t="s">
        <v>6616</v>
      </c>
      <c r="AD341" t="s">
        <v>6617</v>
      </c>
      <c r="AE341" t="s">
        <v>6618</v>
      </c>
      <c r="AF341" t="s">
        <v>74</v>
      </c>
      <c r="AG341">
        <v>53</v>
      </c>
      <c r="AH341">
        <v>3</v>
      </c>
      <c r="AI341">
        <v>3</v>
      </c>
      <c r="AJ341">
        <v>0</v>
      </c>
      <c r="AK341">
        <v>4</v>
      </c>
      <c r="AL341" t="s">
        <v>3333</v>
      </c>
      <c r="AM341" t="s">
        <v>1553</v>
      </c>
      <c r="AN341" t="s">
        <v>1554</v>
      </c>
      <c r="AO341" t="s">
        <v>3334</v>
      </c>
      <c r="AP341" t="s">
        <v>3335</v>
      </c>
      <c r="AQ341" t="s">
        <v>74</v>
      </c>
      <c r="AR341" t="s">
        <v>3321</v>
      </c>
      <c r="AS341" t="s">
        <v>3336</v>
      </c>
      <c r="AT341" t="s">
        <v>74</v>
      </c>
      <c r="AU341">
        <v>2017</v>
      </c>
      <c r="AV341" t="s">
        <v>74</v>
      </c>
      <c r="AW341">
        <v>697</v>
      </c>
      <c r="AX341" t="s">
        <v>74</v>
      </c>
      <c r="AY341" t="s">
        <v>74</v>
      </c>
      <c r="AZ341" t="s">
        <v>74</v>
      </c>
      <c r="BA341" t="s">
        <v>74</v>
      </c>
      <c r="BB341">
        <v>37</v>
      </c>
      <c r="BC341">
        <v>58</v>
      </c>
      <c r="BD341" t="s">
        <v>74</v>
      </c>
      <c r="BE341" t="s">
        <v>6619</v>
      </c>
      <c r="BF341" t="str">
        <f>HYPERLINK("http://dx.doi.org/10.3897/zookeys.697.13770","http://dx.doi.org/10.3897/zookeys.697.13770")</f>
        <v>http://dx.doi.org/10.3897/zookeys.697.13770</v>
      </c>
      <c r="BG341" t="s">
        <v>74</v>
      </c>
      <c r="BH341" t="s">
        <v>74</v>
      </c>
      <c r="BI341">
        <v>22</v>
      </c>
      <c r="BJ341" t="s">
        <v>643</v>
      </c>
      <c r="BK341" t="s">
        <v>101</v>
      </c>
      <c r="BL341" t="s">
        <v>643</v>
      </c>
      <c r="BM341" t="s">
        <v>6603</v>
      </c>
      <c r="BN341">
        <v>29134015</v>
      </c>
      <c r="BO341" t="s">
        <v>3339</v>
      </c>
      <c r="BP341" t="s">
        <v>74</v>
      </c>
      <c r="BQ341" t="s">
        <v>74</v>
      </c>
      <c r="BR341" t="s">
        <v>105</v>
      </c>
      <c r="BS341" t="s">
        <v>6620</v>
      </c>
      <c r="BT341" t="str">
        <f>HYPERLINK("https%3A%2F%2Fwww.webofscience.com%2Fwos%2Fwoscc%2Ffull-record%2FWOS:000411123100003","View Full Record in Web of Science")</f>
        <v>View Full Record in Web of Science</v>
      </c>
    </row>
    <row r="342" spans="1:72" x14ac:dyDescent="0.15">
      <c r="A342" t="s">
        <v>72</v>
      </c>
      <c r="B342" t="s">
        <v>6621</v>
      </c>
      <c r="C342" t="s">
        <v>74</v>
      </c>
      <c r="D342" t="s">
        <v>74</v>
      </c>
      <c r="E342" t="s">
        <v>74</v>
      </c>
      <c r="F342" t="s">
        <v>6622</v>
      </c>
      <c r="G342" t="s">
        <v>74</v>
      </c>
      <c r="H342" t="s">
        <v>74</v>
      </c>
      <c r="I342" t="s">
        <v>6623</v>
      </c>
      <c r="J342" t="s">
        <v>6624</v>
      </c>
      <c r="K342" t="s">
        <v>74</v>
      </c>
      <c r="L342" t="s">
        <v>74</v>
      </c>
      <c r="M342" t="s">
        <v>78</v>
      </c>
      <c r="N342" t="s">
        <v>79</v>
      </c>
      <c r="O342" t="s">
        <v>74</v>
      </c>
      <c r="P342" t="s">
        <v>74</v>
      </c>
      <c r="Q342" t="s">
        <v>74</v>
      </c>
      <c r="R342" t="s">
        <v>74</v>
      </c>
      <c r="S342" t="s">
        <v>74</v>
      </c>
      <c r="T342" t="s">
        <v>74</v>
      </c>
      <c r="U342" t="s">
        <v>6625</v>
      </c>
      <c r="V342" t="s">
        <v>6626</v>
      </c>
      <c r="W342" t="s">
        <v>6627</v>
      </c>
      <c r="X342" t="s">
        <v>6628</v>
      </c>
      <c r="Y342" t="s">
        <v>6629</v>
      </c>
      <c r="Z342" t="s">
        <v>6630</v>
      </c>
      <c r="AA342" t="s">
        <v>6631</v>
      </c>
      <c r="AB342" t="s">
        <v>6632</v>
      </c>
      <c r="AC342" t="s">
        <v>6633</v>
      </c>
      <c r="AD342" t="s">
        <v>6633</v>
      </c>
      <c r="AE342" t="s">
        <v>6634</v>
      </c>
      <c r="AF342" t="s">
        <v>74</v>
      </c>
      <c r="AG342">
        <v>38</v>
      </c>
      <c r="AH342">
        <v>15</v>
      </c>
      <c r="AI342">
        <v>16</v>
      </c>
      <c r="AJ342">
        <v>1</v>
      </c>
      <c r="AK342">
        <v>25</v>
      </c>
      <c r="AL342" t="s">
        <v>6635</v>
      </c>
      <c r="AM342" t="s">
        <v>93</v>
      </c>
      <c r="AN342" t="s">
        <v>6636</v>
      </c>
      <c r="AO342" t="s">
        <v>6637</v>
      </c>
      <c r="AP342" t="s">
        <v>6638</v>
      </c>
      <c r="AQ342" t="s">
        <v>74</v>
      </c>
      <c r="AR342" t="s">
        <v>6639</v>
      </c>
      <c r="AS342" t="s">
        <v>6640</v>
      </c>
      <c r="AT342" t="s">
        <v>74</v>
      </c>
      <c r="AU342">
        <v>2017</v>
      </c>
      <c r="AV342">
        <v>2017</v>
      </c>
      <c r="AW342" t="s">
        <v>74</v>
      </c>
      <c r="AX342" t="s">
        <v>74</v>
      </c>
      <c r="AY342" t="s">
        <v>74</v>
      </c>
      <c r="AZ342" t="s">
        <v>74</v>
      </c>
      <c r="BA342" t="s">
        <v>74</v>
      </c>
      <c r="BB342" t="s">
        <v>74</v>
      </c>
      <c r="BC342" t="s">
        <v>74</v>
      </c>
      <c r="BD342">
        <v>3078079</v>
      </c>
      <c r="BE342" t="s">
        <v>6641</v>
      </c>
      <c r="BF342" t="str">
        <f>HYPERLINK("http://dx.doi.org/10.1155/2017/3078079","http://dx.doi.org/10.1155/2017/3078079")</f>
        <v>http://dx.doi.org/10.1155/2017/3078079</v>
      </c>
      <c r="BG342" t="s">
        <v>74</v>
      </c>
      <c r="BH342" t="s">
        <v>74</v>
      </c>
      <c r="BI342">
        <v>12</v>
      </c>
      <c r="BJ342" t="s">
        <v>747</v>
      </c>
      <c r="BK342" t="s">
        <v>101</v>
      </c>
      <c r="BL342" t="s">
        <v>747</v>
      </c>
      <c r="BM342" t="s">
        <v>6642</v>
      </c>
      <c r="BN342" t="s">
        <v>74</v>
      </c>
      <c r="BO342" t="s">
        <v>725</v>
      </c>
      <c r="BP342" t="s">
        <v>74</v>
      </c>
      <c r="BQ342" t="s">
        <v>74</v>
      </c>
      <c r="BR342" t="s">
        <v>105</v>
      </c>
      <c r="BS342" t="s">
        <v>6643</v>
      </c>
      <c r="BT342" t="str">
        <f>HYPERLINK("https%3A%2F%2Fwww.webofscience.com%2Fwos%2Fwoscc%2Ffull-record%2FWOS:000410341500001","View Full Record in Web of Science")</f>
        <v>View Full Record in Web of Science</v>
      </c>
    </row>
    <row r="343" spans="1:72" x14ac:dyDescent="0.15">
      <c r="A343" t="s">
        <v>72</v>
      </c>
      <c r="B343" t="s">
        <v>6644</v>
      </c>
      <c r="C343" t="s">
        <v>74</v>
      </c>
      <c r="D343" t="s">
        <v>74</v>
      </c>
      <c r="E343" t="s">
        <v>74</v>
      </c>
      <c r="F343" t="s">
        <v>6645</v>
      </c>
      <c r="G343" t="s">
        <v>74</v>
      </c>
      <c r="H343" t="s">
        <v>74</v>
      </c>
      <c r="I343" t="s">
        <v>6646</v>
      </c>
      <c r="J343" t="s">
        <v>6647</v>
      </c>
      <c r="K343" t="s">
        <v>74</v>
      </c>
      <c r="L343" t="s">
        <v>74</v>
      </c>
      <c r="M343" t="s">
        <v>78</v>
      </c>
      <c r="N343" t="s">
        <v>79</v>
      </c>
      <c r="O343" t="s">
        <v>74</v>
      </c>
      <c r="P343" t="s">
        <v>74</v>
      </c>
      <c r="Q343" t="s">
        <v>74</v>
      </c>
      <c r="R343" t="s">
        <v>74</v>
      </c>
      <c r="S343" t="s">
        <v>74</v>
      </c>
      <c r="T343" t="s">
        <v>6648</v>
      </c>
      <c r="U343" t="s">
        <v>6649</v>
      </c>
      <c r="V343" t="s">
        <v>6650</v>
      </c>
      <c r="W343" t="s">
        <v>6651</v>
      </c>
      <c r="X343" t="s">
        <v>6652</v>
      </c>
      <c r="Y343" t="s">
        <v>6653</v>
      </c>
      <c r="Z343" t="s">
        <v>6654</v>
      </c>
      <c r="AA343" t="s">
        <v>74</v>
      </c>
      <c r="AB343" t="s">
        <v>74</v>
      </c>
      <c r="AC343" t="s">
        <v>74</v>
      </c>
      <c r="AD343" t="s">
        <v>74</v>
      </c>
      <c r="AE343" t="s">
        <v>74</v>
      </c>
      <c r="AF343" t="s">
        <v>74</v>
      </c>
      <c r="AG343">
        <v>7</v>
      </c>
      <c r="AH343">
        <v>1</v>
      </c>
      <c r="AI343">
        <v>1</v>
      </c>
      <c r="AJ343">
        <v>0</v>
      </c>
      <c r="AK343">
        <v>2</v>
      </c>
      <c r="AL343" t="s">
        <v>6655</v>
      </c>
      <c r="AM343" t="s">
        <v>6656</v>
      </c>
      <c r="AN343" t="s">
        <v>6657</v>
      </c>
      <c r="AO343" t="s">
        <v>6658</v>
      </c>
      <c r="AP343" t="s">
        <v>74</v>
      </c>
      <c r="AQ343" t="s">
        <v>74</v>
      </c>
      <c r="AR343" t="s">
        <v>6659</v>
      </c>
      <c r="AS343" t="s">
        <v>6660</v>
      </c>
      <c r="AT343" t="s">
        <v>74</v>
      </c>
      <c r="AU343">
        <v>2017</v>
      </c>
      <c r="AV343">
        <v>10</v>
      </c>
      <c r="AW343">
        <v>6</v>
      </c>
      <c r="AX343" t="s">
        <v>74</v>
      </c>
      <c r="AY343" t="s">
        <v>74</v>
      </c>
      <c r="AZ343" t="s">
        <v>74</v>
      </c>
      <c r="BA343" t="s">
        <v>74</v>
      </c>
      <c r="BB343">
        <v>474</v>
      </c>
      <c r="BC343">
        <v>477</v>
      </c>
      <c r="BD343" t="s">
        <v>74</v>
      </c>
      <c r="BE343" t="s">
        <v>6661</v>
      </c>
      <c r="BF343" t="str">
        <f>HYPERLINK("http://dx.doi.org/10.21767/AMJ.2017.2986","http://dx.doi.org/10.21767/AMJ.2017.2986")</f>
        <v>http://dx.doi.org/10.21767/AMJ.2017.2986</v>
      </c>
      <c r="BG343" t="s">
        <v>74</v>
      </c>
      <c r="BH343" t="s">
        <v>74</v>
      </c>
      <c r="BI343">
        <v>4</v>
      </c>
      <c r="BJ343" t="s">
        <v>2056</v>
      </c>
      <c r="BK343" t="s">
        <v>2057</v>
      </c>
      <c r="BL343" t="s">
        <v>2058</v>
      </c>
      <c r="BM343" t="s">
        <v>6662</v>
      </c>
      <c r="BN343" t="s">
        <v>74</v>
      </c>
      <c r="BO343" t="s">
        <v>6663</v>
      </c>
      <c r="BP343" t="s">
        <v>74</v>
      </c>
      <c r="BQ343" t="s">
        <v>74</v>
      </c>
      <c r="BR343" t="s">
        <v>105</v>
      </c>
      <c r="BS343" t="s">
        <v>6664</v>
      </c>
      <c r="BT343" t="str">
        <f>HYPERLINK("https%3A%2F%2Fwww.webofscience.com%2Fwos%2Fwoscc%2Ffull-record%2FWOS:000408882300004","View Full Record in Web of Science")</f>
        <v>View Full Record in Web of Science</v>
      </c>
    </row>
    <row r="344" spans="1:72" x14ac:dyDescent="0.15">
      <c r="A344" t="s">
        <v>72</v>
      </c>
      <c r="B344" t="s">
        <v>6665</v>
      </c>
      <c r="C344" t="s">
        <v>74</v>
      </c>
      <c r="D344" t="s">
        <v>74</v>
      </c>
      <c r="E344" t="s">
        <v>74</v>
      </c>
      <c r="F344" t="s">
        <v>6666</v>
      </c>
      <c r="G344" t="s">
        <v>74</v>
      </c>
      <c r="H344" t="s">
        <v>74</v>
      </c>
      <c r="I344" t="s">
        <v>6667</v>
      </c>
      <c r="J344" t="s">
        <v>6668</v>
      </c>
      <c r="K344" t="s">
        <v>74</v>
      </c>
      <c r="L344" t="s">
        <v>74</v>
      </c>
      <c r="M344" t="s">
        <v>78</v>
      </c>
      <c r="N344" t="s">
        <v>79</v>
      </c>
      <c r="O344" t="s">
        <v>74</v>
      </c>
      <c r="P344" t="s">
        <v>74</v>
      </c>
      <c r="Q344" t="s">
        <v>74</v>
      </c>
      <c r="R344" t="s">
        <v>74</v>
      </c>
      <c r="S344" t="s">
        <v>74</v>
      </c>
      <c r="T344" t="s">
        <v>6669</v>
      </c>
      <c r="U344" t="s">
        <v>6670</v>
      </c>
      <c r="V344" t="s">
        <v>6671</v>
      </c>
      <c r="W344" t="s">
        <v>6672</v>
      </c>
      <c r="X344" t="s">
        <v>6673</v>
      </c>
      <c r="Y344" t="s">
        <v>6674</v>
      </c>
      <c r="Z344" t="s">
        <v>6675</v>
      </c>
      <c r="AA344" t="s">
        <v>6676</v>
      </c>
      <c r="AB344" t="s">
        <v>74</v>
      </c>
      <c r="AC344" t="s">
        <v>6677</v>
      </c>
      <c r="AD344" t="s">
        <v>6678</v>
      </c>
      <c r="AE344" t="s">
        <v>6679</v>
      </c>
      <c r="AF344" t="s">
        <v>74</v>
      </c>
      <c r="AG344">
        <v>42</v>
      </c>
      <c r="AH344">
        <v>17</v>
      </c>
      <c r="AI344">
        <v>17</v>
      </c>
      <c r="AJ344">
        <v>0</v>
      </c>
      <c r="AK344">
        <v>2</v>
      </c>
      <c r="AL344" t="s">
        <v>6680</v>
      </c>
      <c r="AM344" t="s">
        <v>2048</v>
      </c>
      <c r="AN344" t="s">
        <v>6681</v>
      </c>
      <c r="AO344" t="s">
        <v>6682</v>
      </c>
      <c r="AP344" t="s">
        <v>6683</v>
      </c>
      <c r="AQ344" t="s">
        <v>74</v>
      </c>
      <c r="AR344" t="s">
        <v>6684</v>
      </c>
      <c r="AS344" t="s">
        <v>6685</v>
      </c>
      <c r="AT344" t="s">
        <v>2136</v>
      </c>
      <c r="AU344">
        <v>2017</v>
      </c>
      <c r="AV344">
        <v>30</v>
      </c>
      <c r="AW344">
        <v>1</v>
      </c>
      <c r="AX344" t="s">
        <v>74</v>
      </c>
      <c r="AY344" t="s">
        <v>74</v>
      </c>
      <c r="AZ344" t="s">
        <v>74</v>
      </c>
      <c r="BA344" t="s">
        <v>74</v>
      </c>
      <c r="BB344">
        <v>89</v>
      </c>
      <c r="BC344">
        <v>102</v>
      </c>
      <c r="BD344" t="s">
        <v>74</v>
      </c>
      <c r="BE344" t="s">
        <v>6686</v>
      </c>
      <c r="BF344" t="str">
        <f>HYPERLINK("http://dx.doi.org/10.1134/S1024856017010122","http://dx.doi.org/10.1134/S1024856017010122")</f>
        <v>http://dx.doi.org/10.1134/S1024856017010122</v>
      </c>
      <c r="BG344" t="s">
        <v>74</v>
      </c>
      <c r="BH344" t="s">
        <v>74</v>
      </c>
      <c r="BI344">
        <v>14</v>
      </c>
      <c r="BJ344" t="s">
        <v>6687</v>
      </c>
      <c r="BK344" t="s">
        <v>2057</v>
      </c>
      <c r="BL344" t="s">
        <v>6687</v>
      </c>
      <c r="BM344" t="s">
        <v>6688</v>
      </c>
      <c r="BN344" t="s">
        <v>74</v>
      </c>
      <c r="BO344" t="s">
        <v>74</v>
      </c>
      <c r="BP344" t="s">
        <v>74</v>
      </c>
      <c r="BQ344" t="s">
        <v>74</v>
      </c>
      <c r="BR344" t="s">
        <v>105</v>
      </c>
      <c r="BS344" t="s">
        <v>6689</v>
      </c>
      <c r="BT344" t="str">
        <f>HYPERLINK("https%3A%2F%2Fwww.webofscience.com%2Fwos%2Fwoscc%2Ffull-record%2FWOS:000408721400014","View Full Record in Web of Science")</f>
        <v>View Full Record in Web of Science</v>
      </c>
    </row>
    <row r="345" spans="1:72" x14ac:dyDescent="0.15">
      <c r="A345" t="s">
        <v>72</v>
      </c>
      <c r="B345" t="s">
        <v>6690</v>
      </c>
      <c r="C345" t="s">
        <v>74</v>
      </c>
      <c r="D345" t="s">
        <v>74</v>
      </c>
      <c r="E345" t="s">
        <v>74</v>
      </c>
      <c r="F345" t="s">
        <v>6691</v>
      </c>
      <c r="G345" t="s">
        <v>74</v>
      </c>
      <c r="H345" t="s">
        <v>74</v>
      </c>
      <c r="I345" t="s">
        <v>6692</v>
      </c>
      <c r="J345" t="s">
        <v>2705</v>
      </c>
      <c r="K345" t="s">
        <v>74</v>
      </c>
      <c r="L345" t="s">
        <v>74</v>
      </c>
      <c r="M345" t="s">
        <v>2706</v>
      </c>
      <c r="N345" t="s">
        <v>79</v>
      </c>
      <c r="O345" t="s">
        <v>74</v>
      </c>
      <c r="P345" t="s">
        <v>74</v>
      </c>
      <c r="Q345" t="s">
        <v>74</v>
      </c>
      <c r="R345" t="s">
        <v>74</v>
      </c>
      <c r="S345" t="s">
        <v>74</v>
      </c>
      <c r="T345" t="s">
        <v>6693</v>
      </c>
      <c r="U345" t="s">
        <v>6694</v>
      </c>
      <c r="V345" t="s">
        <v>6695</v>
      </c>
      <c r="W345" t="s">
        <v>6696</v>
      </c>
      <c r="X345" t="s">
        <v>5345</v>
      </c>
      <c r="Y345" t="s">
        <v>6697</v>
      </c>
      <c r="Z345" t="s">
        <v>6698</v>
      </c>
      <c r="AA345" t="s">
        <v>6699</v>
      </c>
      <c r="AB345" t="s">
        <v>6700</v>
      </c>
      <c r="AC345" t="s">
        <v>6701</v>
      </c>
      <c r="AD345" t="s">
        <v>6702</v>
      </c>
      <c r="AE345" t="s">
        <v>6703</v>
      </c>
      <c r="AF345" t="s">
        <v>74</v>
      </c>
      <c r="AG345">
        <v>54</v>
      </c>
      <c r="AH345">
        <v>3</v>
      </c>
      <c r="AI345">
        <v>5</v>
      </c>
      <c r="AJ345">
        <v>0</v>
      </c>
      <c r="AK345">
        <v>18</v>
      </c>
      <c r="AL345" t="s">
        <v>2719</v>
      </c>
      <c r="AM345" t="s">
        <v>2048</v>
      </c>
      <c r="AN345" t="s">
        <v>2720</v>
      </c>
      <c r="AO345" t="s">
        <v>2721</v>
      </c>
      <c r="AP345" t="s">
        <v>2722</v>
      </c>
      <c r="AQ345" t="s">
        <v>74</v>
      </c>
      <c r="AR345" t="s">
        <v>2723</v>
      </c>
      <c r="AS345" t="s">
        <v>2724</v>
      </c>
      <c r="AT345" t="s">
        <v>74</v>
      </c>
      <c r="AU345">
        <v>2017</v>
      </c>
      <c r="AV345">
        <v>57</v>
      </c>
      <c r="AW345">
        <v>2</v>
      </c>
      <c r="AX345" t="s">
        <v>74</v>
      </c>
      <c r="AY345" t="s">
        <v>74</v>
      </c>
      <c r="AZ345" t="s">
        <v>74</v>
      </c>
      <c r="BA345" t="s">
        <v>74</v>
      </c>
      <c r="BB345">
        <v>149</v>
      </c>
      <c r="BC345">
        <v>169</v>
      </c>
      <c r="BD345" t="s">
        <v>74</v>
      </c>
      <c r="BE345" t="s">
        <v>6704</v>
      </c>
      <c r="BF345" t="str">
        <f>HYPERLINK("http://dx.doi.org/10.15356/2076-6734-2017-2-149-169","http://dx.doi.org/10.15356/2076-6734-2017-2-149-169")</f>
        <v>http://dx.doi.org/10.15356/2076-6734-2017-2-149-169</v>
      </c>
      <c r="BG345" t="s">
        <v>74</v>
      </c>
      <c r="BH345" t="s">
        <v>74</v>
      </c>
      <c r="BI345">
        <v>21</v>
      </c>
      <c r="BJ345" t="s">
        <v>669</v>
      </c>
      <c r="BK345" t="s">
        <v>2057</v>
      </c>
      <c r="BL345" t="s">
        <v>670</v>
      </c>
      <c r="BM345" t="s">
        <v>6705</v>
      </c>
      <c r="BN345" t="s">
        <v>74</v>
      </c>
      <c r="BO345" t="s">
        <v>941</v>
      </c>
      <c r="BP345" t="s">
        <v>74</v>
      </c>
      <c r="BQ345" t="s">
        <v>74</v>
      </c>
      <c r="BR345" t="s">
        <v>105</v>
      </c>
      <c r="BS345" t="s">
        <v>6706</v>
      </c>
      <c r="BT345" t="str">
        <f>HYPERLINK("https%3A%2F%2Fwww.webofscience.com%2Fwos%2Fwoscc%2Ffull-record%2FWOS:000408236900001","View Full Record in Web of Science")</f>
        <v>View Full Record in Web of Science</v>
      </c>
    </row>
    <row r="346" spans="1:72" x14ac:dyDescent="0.15">
      <c r="A346" t="s">
        <v>72</v>
      </c>
      <c r="B346" t="s">
        <v>6707</v>
      </c>
      <c r="C346" t="s">
        <v>74</v>
      </c>
      <c r="D346" t="s">
        <v>74</v>
      </c>
      <c r="E346" t="s">
        <v>74</v>
      </c>
      <c r="F346" t="s">
        <v>6708</v>
      </c>
      <c r="G346" t="s">
        <v>74</v>
      </c>
      <c r="H346" t="s">
        <v>74</v>
      </c>
      <c r="I346" t="s">
        <v>6709</v>
      </c>
      <c r="J346" t="s">
        <v>2705</v>
      </c>
      <c r="K346" t="s">
        <v>74</v>
      </c>
      <c r="L346" t="s">
        <v>74</v>
      </c>
      <c r="M346" t="s">
        <v>2706</v>
      </c>
      <c r="N346" t="s">
        <v>79</v>
      </c>
      <c r="O346" t="s">
        <v>74</v>
      </c>
      <c r="P346" t="s">
        <v>74</v>
      </c>
      <c r="Q346" t="s">
        <v>74</v>
      </c>
      <c r="R346" t="s">
        <v>74</v>
      </c>
      <c r="S346" t="s">
        <v>74</v>
      </c>
      <c r="T346" t="s">
        <v>6710</v>
      </c>
      <c r="U346" t="s">
        <v>6711</v>
      </c>
      <c r="V346" t="s">
        <v>6712</v>
      </c>
      <c r="W346" t="s">
        <v>6713</v>
      </c>
      <c r="X346" t="s">
        <v>74</v>
      </c>
      <c r="Y346" t="s">
        <v>6714</v>
      </c>
      <c r="Z346" t="s">
        <v>6715</v>
      </c>
      <c r="AA346" t="s">
        <v>74</v>
      </c>
      <c r="AB346" t="s">
        <v>74</v>
      </c>
      <c r="AC346" t="s">
        <v>74</v>
      </c>
      <c r="AD346" t="s">
        <v>74</v>
      </c>
      <c r="AE346" t="s">
        <v>74</v>
      </c>
      <c r="AF346" t="s">
        <v>74</v>
      </c>
      <c r="AG346">
        <v>19</v>
      </c>
      <c r="AH346">
        <v>1</v>
      </c>
      <c r="AI346">
        <v>1</v>
      </c>
      <c r="AJ346">
        <v>0</v>
      </c>
      <c r="AK346">
        <v>9</v>
      </c>
      <c r="AL346" t="s">
        <v>2719</v>
      </c>
      <c r="AM346" t="s">
        <v>2048</v>
      </c>
      <c r="AN346" t="s">
        <v>2720</v>
      </c>
      <c r="AO346" t="s">
        <v>2721</v>
      </c>
      <c r="AP346" t="s">
        <v>2722</v>
      </c>
      <c r="AQ346" t="s">
        <v>74</v>
      </c>
      <c r="AR346" t="s">
        <v>2723</v>
      </c>
      <c r="AS346" t="s">
        <v>2724</v>
      </c>
      <c r="AT346" t="s">
        <v>74</v>
      </c>
      <c r="AU346">
        <v>2017</v>
      </c>
      <c r="AV346">
        <v>57</v>
      </c>
      <c r="AW346">
        <v>2</v>
      </c>
      <c r="AX346" t="s">
        <v>74</v>
      </c>
      <c r="AY346" t="s">
        <v>74</v>
      </c>
      <c r="AZ346" t="s">
        <v>74</v>
      </c>
      <c r="BA346" t="s">
        <v>74</v>
      </c>
      <c r="BB346">
        <v>231</v>
      </c>
      <c r="BC346">
        <v>240</v>
      </c>
      <c r="BD346" t="s">
        <v>74</v>
      </c>
      <c r="BE346" t="s">
        <v>6716</v>
      </c>
      <c r="BF346" t="str">
        <f>HYPERLINK("http://dx.doi.org/10.15356/2076-6734-2017-2-231-240","http://dx.doi.org/10.15356/2076-6734-2017-2-231-240")</f>
        <v>http://dx.doi.org/10.15356/2076-6734-2017-2-231-240</v>
      </c>
      <c r="BG346" t="s">
        <v>74</v>
      </c>
      <c r="BH346" t="s">
        <v>74</v>
      </c>
      <c r="BI346">
        <v>10</v>
      </c>
      <c r="BJ346" t="s">
        <v>669</v>
      </c>
      <c r="BK346" t="s">
        <v>2057</v>
      </c>
      <c r="BL346" t="s">
        <v>670</v>
      </c>
      <c r="BM346" t="s">
        <v>6705</v>
      </c>
      <c r="BN346" t="s">
        <v>74</v>
      </c>
      <c r="BO346" t="s">
        <v>941</v>
      </c>
      <c r="BP346" t="s">
        <v>74</v>
      </c>
      <c r="BQ346" t="s">
        <v>74</v>
      </c>
      <c r="BR346" t="s">
        <v>105</v>
      </c>
      <c r="BS346" t="s">
        <v>6717</v>
      </c>
      <c r="BT346" t="str">
        <f>HYPERLINK("https%3A%2F%2Fwww.webofscience.com%2Fwos%2Fwoscc%2Ffull-record%2FWOS:000408236900007","View Full Record in Web of Science")</f>
        <v>View Full Record in Web of Science</v>
      </c>
    </row>
    <row r="347" spans="1:72" x14ac:dyDescent="0.15">
      <c r="A347" t="s">
        <v>72</v>
      </c>
      <c r="B347" t="s">
        <v>6718</v>
      </c>
      <c r="C347" t="s">
        <v>74</v>
      </c>
      <c r="D347" t="s">
        <v>74</v>
      </c>
      <c r="E347" t="s">
        <v>74</v>
      </c>
      <c r="F347" t="s">
        <v>6719</v>
      </c>
      <c r="G347" t="s">
        <v>74</v>
      </c>
      <c r="H347" t="s">
        <v>74</v>
      </c>
      <c r="I347" t="s">
        <v>6720</v>
      </c>
      <c r="J347" t="s">
        <v>2705</v>
      </c>
      <c r="K347" t="s">
        <v>74</v>
      </c>
      <c r="L347" t="s">
        <v>74</v>
      </c>
      <c r="M347" t="s">
        <v>2706</v>
      </c>
      <c r="N347" t="s">
        <v>79</v>
      </c>
      <c r="O347" t="s">
        <v>74</v>
      </c>
      <c r="P347" t="s">
        <v>74</v>
      </c>
      <c r="Q347" t="s">
        <v>74</v>
      </c>
      <c r="R347" t="s">
        <v>74</v>
      </c>
      <c r="S347" t="s">
        <v>74</v>
      </c>
      <c r="T347" t="s">
        <v>6721</v>
      </c>
      <c r="U347" t="s">
        <v>74</v>
      </c>
      <c r="V347" t="s">
        <v>6722</v>
      </c>
      <c r="W347" t="s">
        <v>6723</v>
      </c>
      <c r="X347" t="s">
        <v>6724</v>
      </c>
      <c r="Y347" t="s">
        <v>6725</v>
      </c>
      <c r="Z347" t="s">
        <v>1050</v>
      </c>
      <c r="AA347" t="s">
        <v>74</v>
      </c>
      <c r="AB347" t="s">
        <v>74</v>
      </c>
      <c r="AC347" t="s">
        <v>6701</v>
      </c>
      <c r="AD347" t="s">
        <v>6702</v>
      </c>
      <c r="AE347" t="s">
        <v>6726</v>
      </c>
      <c r="AF347" t="s">
        <v>74</v>
      </c>
      <c r="AG347">
        <v>8</v>
      </c>
      <c r="AH347">
        <v>2</v>
      </c>
      <c r="AI347">
        <v>3</v>
      </c>
      <c r="AJ347">
        <v>0</v>
      </c>
      <c r="AK347">
        <v>3</v>
      </c>
      <c r="AL347" t="s">
        <v>2719</v>
      </c>
      <c r="AM347" t="s">
        <v>2048</v>
      </c>
      <c r="AN347" t="s">
        <v>2720</v>
      </c>
      <c r="AO347" t="s">
        <v>2721</v>
      </c>
      <c r="AP347" t="s">
        <v>2722</v>
      </c>
      <c r="AQ347" t="s">
        <v>74</v>
      </c>
      <c r="AR347" t="s">
        <v>2723</v>
      </c>
      <c r="AS347" t="s">
        <v>2724</v>
      </c>
      <c r="AT347" t="s">
        <v>74</v>
      </c>
      <c r="AU347">
        <v>2017</v>
      </c>
      <c r="AV347">
        <v>57</v>
      </c>
      <c r="AW347">
        <v>1</v>
      </c>
      <c r="AX347" t="s">
        <v>74</v>
      </c>
      <c r="AY347" t="s">
        <v>74</v>
      </c>
      <c r="AZ347" t="s">
        <v>74</v>
      </c>
      <c r="BA347" t="s">
        <v>74</v>
      </c>
      <c r="BB347">
        <v>5</v>
      </c>
      <c r="BC347">
        <v>9</v>
      </c>
      <c r="BD347" t="s">
        <v>74</v>
      </c>
      <c r="BE347" t="s">
        <v>6727</v>
      </c>
      <c r="BF347" t="str">
        <f>HYPERLINK("http://dx.doi.org/10.15356/2076-6734-2017-1-5-9","http://dx.doi.org/10.15356/2076-6734-2017-1-5-9")</f>
        <v>http://dx.doi.org/10.15356/2076-6734-2017-1-5-9</v>
      </c>
      <c r="BG347" t="s">
        <v>74</v>
      </c>
      <c r="BH347" t="s">
        <v>74</v>
      </c>
      <c r="BI347">
        <v>5</v>
      </c>
      <c r="BJ347" t="s">
        <v>669</v>
      </c>
      <c r="BK347" t="s">
        <v>2057</v>
      </c>
      <c r="BL347" t="s">
        <v>670</v>
      </c>
      <c r="BM347" t="s">
        <v>6728</v>
      </c>
      <c r="BN347" t="s">
        <v>74</v>
      </c>
      <c r="BO347" t="s">
        <v>941</v>
      </c>
      <c r="BP347" t="s">
        <v>74</v>
      </c>
      <c r="BQ347" t="s">
        <v>74</v>
      </c>
      <c r="BR347" t="s">
        <v>105</v>
      </c>
      <c r="BS347" t="s">
        <v>6729</v>
      </c>
      <c r="BT347" t="str">
        <f>HYPERLINK("https%3A%2F%2Fwww.webofscience.com%2Fwos%2Fwoscc%2Ffull-record%2FWOS:000408236600002","View Full Record in Web of Science")</f>
        <v>View Full Record in Web of Science</v>
      </c>
    </row>
    <row r="348" spans="1:72" x14ac:dyDescent="0.15">
      <c r="A348" t="s">
        <v>72</v>
      </c>
      <c r="B348" t="s">
        <v>6730</v>
      </c>
      <c r="C348" t="s">
        <v>74</v>
      </c>
      <c r="D348" t="s">
        <v>74</v>
      </c>
      <c r="E348" t="s">
        <v>74</v>
      </c>
      <c r="F348" t="s">
        <v>6731</v>
      </c>
      <c r="G348" t="s">
        <v>74</v>
      </c>
      <c r="H348" t="s">
        <v>74</v>
      </c>
      <c r="I348" t="s">
        <v>6732</v>
      </c>
      <c r="J348" t="s">
        <v>2705</v>
      </c>
      <c r="K348" t="s">
        <v>74</v>
      </c>
      <c r="L348" t="s">
        <v>74</v>
      </c>
      <c r="M348" t="s">
        <v>2706</v>
      </c>
      <c r="N348" t="s">
        <v>79</v>
      </c>
      <c r="O348" t="s">
        <v>74</v>
      </c>
      <c r="P348" t="s">
        <v>74</v>
      </c>
      <c r="Q348" t="s">
        <v>74</v>
      </c>
      <c r="R348" t="s">
        <v>74</v>
      </c>
      <c r="S348" t="s">
        <v>74</v>
      </c>
      <c r="T348" t="s">
        <v>6733</v>
      </c>
      <c r="U348" t="s">
        <v>74</v>
      </c>
      <c r="V348" t="s">
        <v>6734</v>
      </c>
      <c r="W348" t="s">
        <v>6735</v>
      </c>
      <c r="X348" t="s">
        <v>6736</v>
      </c>
      <c r="Y348" t="s">
        <v>6737</v>
      </c>
      <c r="Z348" t="s">
        <v>6738</v>
      </c>
      <c r="AA348" t="s">
        <v>6739</v>
      </c>
      <c r="AB348" t="s">
        <v>6740</v>
      </c>
      <c r="AC348" t="s">
        <v>5320</v>
      </c>
      <c r="AD348" t="s">
        <v>5321</v>
      </c>
      <c r="AE348" t="s">
        <v>6741</v>
      </c>
      <c r="AF348" t="s">
        <v>74</v>
      </c>
      <c r="AG348">
        <v>11</v>
      </c>
      <c r="AH348">
        <v>2</v>
      </c>
      <c r="AI348">
        <v>2</v>
      </c>
      <c r="AJ348">
        <v>0</v>
      </c>
      <c r="AK348">
        <v>26</v>
      </c>
      <c r="AL348" t="s">
        <v>2719</v>
      </c>
      <c r="AM348" t="s">
        <v>2048</v>
      </c>
      <c r="AN348" t="s">
        <v>2720</v>
      </c>
      <c r="AO348" t="s">
        <v>2721</v>
      </c>
      <c r="AP348" t="s">
        <v>2722</v>
      </c>
      <c r="AQ348" t="s">
        <v>74</v>
      </c>
      <c r="AR348" t="s">
        <v>2723</v>
      </c>
      <c r="AS348" t="s">
        <v>2724</v>
      </c>
      <c r="AT348" t="s">
        <v>74</v>
      </c>
      <c r="AU348">
        <v>2017</v>
      </c>
      <c r="AV348">
        <v>57</v>
      </c>
      <c r="AW348">
        <v>1</v>
      </c>
      <c r="AX348" t="s">
        <v>74</v>
      </c>
      <c r="AY348" t="s">
        <v>74</v>
      </c>
      <c r="AZ348" t="s">
        <v>74</v>
      </c>
      <c r="BA348" t="s">
        <v>74</v>
      </c>
      <c r="BB348">
        <v>133</v>
      </c>
      <c r="BC348">
        <v>141</v>
      </c>
      <c r="BD348" t="s">
        <v>74</v>
      </c>
      <c r="BE348" t="s">
        <v>6742</v>
      </c>
      <c r="BF348" t="str">
        <f>HYPERLINK("http://dx.doi.org/10.15356/2076-6734-2017-1-133-141","http://dx.doi.org/10.15356/2076-6734-2017-1-133-141")</f>
        <v>http://dx.doi.org/10.15356/2076-6734-2017-1-133-141</v>
      </c>
      <c r="BG348" t="s">
        <v>74</v>
      </c>
      <c r="BH348" t="s">
        <v>74</v>
      </c>
      <c r="BI348">
        <v>9</v>
      </c>
      <c r="BJ348" t="s">
        <v>669</v>
      </c>
      <c r="BK348" t="s">
        <v>2057</v>
      </c>
      <c r="BL348" t="s">
        <v>670</v>
      </c>
      <c r="BM348" t="s">
        <v>6728</v>
      </c>
      <c r="BN348" t="s">
        <v>74</v>
      </c>
      <c r="BO348" t="s">
        <v>941</v>
      </c>
      <c r="BP348" t="s">
        <v>74</v>
      </c>
      <c r="BQ348" t="s">
        <v>74</v>
      </c>
      <c r="BR348" t="s">
        <v>105</v>
      </c>
      <c r="BS348" t="s">
        <v>6743</v>
      </c>
      <c r="BT348" t="str">
        <f>HYPERLINK("https%3A%2F%2Fwww.webofscience.com%2Fwos%2Fwoscc%2Ffull-record%2FWOS:000408236600012","View Full Record in Web of Science")</f>
        <v>View Full Record in Web of Science</v>
      </c>
    </row>
    <row r="349" spans="1:72" x14ac:dyDescent="0.15">
      <c r="A349" t="s">
        <v>1823</v>
      </c>
      <c r="B349" t="s">
        <v>6744</v>
      </c>
      <c r="C349" t="s">
        <v>74</v>
      </c>
      <c r="D349" t="s">
        <v>6745</v>
      </c>
      <c r="E349" t="s">
        <v>74</v>
      </c>
      <c r="F349" t="s">
        <v>6746</v>
      </c>
      <c r="G349" t="s">
        <v>74</v>
      </c>
      <c r="H349" t="s">
        <v>6747</v>
      </c>
      <c r="I349" t="s">
        <v>6748</v>
      </c>
      <c r="J349" t="s">
        <v>6749</v>
      </c>
      <c r="K349" t="s">
        <v>4243</v>
      </c>
      <c r="L349" t="s">
        <v>74</v>
      </c>
      <c r="M349" t="s">
        <v>78</v>
      </c>
      <c r="N349" t="s">
        <v>1829</v>
      </c>
      <c r="O349" t="s">
        <v>6750</v>
      </c>
      <c r="P349" t="s">
        <v>6751</v>
      </c>
      <c r="Q349" t="s">
        <v>6752</v>
      </c>
      <c r="R349" t="s">
        <v>74</v>
      </c>
      <c r="S349" t="s">
        <v>74</v>
      </c>
      <c r="T349" t="s">
        <v>74</v>
      </c>
      <c r="U349" t="s">
        <v>74</v>
      </c>
      <c r="V349" t="s">
        <v>6753</v>
      </c>
      <c r="W349" t="s">
        <v>6754</v>
      </c>
      <c r="X349" t="s">
        <v>1788</v>
      </c>
      <c r="Y349" t="s">
        <v>6755</v>
      </c>
      <c r="Z349" t="s">
        <v>74</v>
      </c>
      <c r="AA349" t="s">
        <v>74</v>
      </c>
      <c r="AB349" t="s">
        <v>6756</v>
      </c>
      <c r="AC349" t="s">
        <v>6757</v>
      </c>
      <c r="AD349" t="s">
        <v>6758</v>
      </c>
      <c r="AE349" t="s">
        <v>6759</v>
      </c>
      <c r="AF349" t="s">
        <v>74</v>
      </c>
      <c r="AG349">
        <v>10</v>
      </c>
      <c r="AH349">
        <v>1</v>
      </c>
      <c r="AI349">
        <v>1</v>
      </c>
      <c r="AJ349">
        <v>0</v>
      </c>
      <c r="AK349">
        <v>0</v>
      </c>
      <c r="AL349" t="s">
        <v>4257</v>
      </c>
      <c r="AM349" t="s">
        <v>4258</v>
      </c>
      <c r="AN349" t="s">
        <v>4259</v>
      </c>
      <c r="AO349" t="s">
        <v>4260</v>
      </c>
      <c r="AP349" t="s">
        <v>74</v>
      </c>
      <c r="AQ349" t="s">
        <v>6760</v>
      </c>
      <c r="AR349" t="s">
        <v>4262</v>
      </c>
      <c r="AS349" t="s">
        <v>74</v>
      </c>
      <c r="AT349" t="s">
        <v>74</v>
      </c>
      <c r="AU349">
        <v>2017</v>
      </c>
      <c r="AV349">
        <v>135</v>
      </c>
      <c r="AW349" t="s">
        <v>74</v>
      </c>
      <c r="AX349" t="s">
        <v>74</v>
      </c>
      <c r="AY349" t="s">
        <v>74</v>
      </c>
      <c r="AZ349" t="s">
        <v>74</v>
      </c>
      <c r="BA349" t="s">
        <v>74</v>
      </c>
      <c r="BB349" t="s">
        <v>74</v>
      </c>
      <c r="BC349" t="s">
        <v>74</v>
      </c>
      <c r="BD349">
        <v>1008</v>
      </c>
      <c r="BE349" t="s">
        <v>6761</v>
      </c>
      <c r="BF349" t="str">
        <f>HYPERLINK("http://dx.doi.org/10.1051/epjconf/201713501008","http://dx.doi.org/10.1051/epjconf/201713501008")</f>
        <v>http://dx.doi.org/10.1051/epjconf/201713501008</v>
      </c>
      <c r="BG349" t="s">
        <v>74</v>
      </c>
      <c r="BH349" t="s">
        <v>74</v>
      </c>
      <c r="BI349">
        <v>5</v>
      </c>
      <c r="BJ349" t="s">
        <v>2635</v>
      </c>
      <c r="BK349" t="s">
        <v>1844</v>
      </c>
      <c r="BL349" t="s">
        <v>2635</v>
      </c>
      <c r="BM349" t="s">
        <v>6762</v>
      </c>
      <c r="BN349" t="s">
        <v>74</v>
      </c>
      <c r="BO349" t="s">
        <v>3339</v>
      </c>
      <c r="BP349" t="s">
        <v>74</v>
      </c>
      <c r="BQ349" t="s">
        <v>74</v>
      </c>
      <c r="BR349" t="s">
        <v>105</v>
      </c>
      <c r="BS349" t="s">
        <v>6763</v>
      </c>
      <c r="BT349" t="str">
        <f>HYPERLINK("https%3A%2F%2Fwww.webofscience.com%2Fwos%2Fwoscc%2Ffull-record%2FWOS:000407847700008","View Full Record in Web of Science")</f>
        <v>View Full Record in Web of Science</v>
      </c>
    </row>
    <row r="350" spans="1:72" x14ac:dyDescent="0.15">
      <c r="A350" t="s">
        <v>1921</v>
      </c>
      <c r="B350" t="s">
        <v>6764</v>
      </c>
      <c r="C350" t="s">
        <v>74</v>
      </c>
      <c r="D350" t="s">
        <v>6765</v>
      </c>
      <c r="E350" t="s">
        <v>74</v>
      </c>
      <c r="F350" t="s">
        <v>6766</v>
      </c>
      <c r="G350" t="s">
        <v>74</v>
      </c>
      <c r="H350" t="s">
        <v>74</v>
      </c>
      <c r="I350" t="s">
        <v>6767</v>
      </c>
      <c r="J350" t="s">
        <v>6768</v>
      </c>
      <c r="K350" t="s">
        <v>6769</v>
      </c>
      <c r="L350" t="s">
        <v>74</v>
      </c>
      <c r="M350" t="s">
        <v>78</v>
      </c>
      <c r="N350" t="s">
        <v>2067</v>
      </c>
      <c r="O350" t="s">
        <v>74</v>
      </c>
      <c r="P350" t="s">
        <v>74</v>
      </c>
      <c r="Q350" t="s">
        <v>74</v>
      </c>
      <c r="R350" t="s">
        <v>74</v>
      </c>
      <c r="S350" t="s">
        <v>74</v>
      </c>
      <c r="T350" t="s">
        <v>74</v>
      </c>
      <c r="U350" t="s">
        <v>6770</v>
      </c>
      <c r="V350" t="s">
        <v>6771</v>
      </c>
      <c r="W350" t="s">
        <v>6772</v>
      </c>
      <c r="X350" t="s">
        <v>6773</v>
      </c>
      <c r="Y350" t="s">
        <v>6774</v>
      </c>
      <c r="Z350" t="s">
        <v>6775</v>
      </c>
      <c r="AA350" t="s">
        <v>74</v>
      </c>
      <c r="AB350" t="s">
        <v>74</v>
      </c>
      <c r="AC350" t="s">
        <v>74</v>
      </c>
      <c r="AD350" t="s">
        <v>74</v>
      </c>
      <c r="AE350" t="s">
        <v>74</v>
      </c>
      <c r="AF350" t="s">
        <v>74</v>
      </c>
      <c r="AG350">
        <v>93</v>
      </c>
      <c r="AH350">
        <v>1</v>
      </c>
      <c r="AI350">
        <v>1</v>
      </c>
      <c r="AJ350">
        <v>0</v>
      </c>
      <c r="AK350">
        <v>1</v>
      </c>
      <c r="AL350" t="s">
        <v>6776</v>
      </c>
      <c r="AM350" t="s">
        <v>6777</v>
      </c>
      <c r="AN350" t="s">
        <v>6778</v>
      </c>
      <c r="AO350" t="s">
        <v>6779</v>
      </c>
      <c r="AP350" t="s">
        <v>74</v>
      </c>
      <c r="AQ350" t="s">
        <v>6780</v>
      </c>
      <c r="AR350" t="s">
        <v>6781</v>
      </c>
      <c r="AS350" t="s">
        <v>6782</v>
      </c>
      <c r="AT350" t="s">
        <v>74</v>
      </c>
      <c r="AU350">
        <v>2017</v>
      </c>
      <c r="AV350">
        <v>442</v>
      </c>
      <c r="AW350" t="s">
        <v>74</v>
      </c>
      <c r="AX350" t="s">
        <v>74</v>
      </c>
      <c r="AY350" t="s">
        <v>74</v>
      </c>
      <c r="AZ350" t="s">
        <v>74</v>
      </c>
      <c r="BA350" t="s">
        <v>74</v>
      </c>
      <c r="BB350">
        <v>387</v>
      </c>
      <c r="BC350">
        <v>399</v>
      </c>
      <c r="BD350" t="s">
        <v>74</v>
      </c>
      <c r="BE350" t="s">
        <v>6783</v>
      </c>
      <c r="BF350" t="str">
        <f>HYPERLINK("http://dx.doi.org/10.1144/SP442.28","http://dx.doi.org/10.1144/SP442.28")</f>
        <v>http://dx.doi.org/10.1144/SP442.28</v>
      </c>
      <c r="BG350" t="s">
        <v>74</v>
      </c>
      <c r="BH350" t="s">
        <v>74</v>
      </c>
      <c r="BI350">
        <v>13</v>
      </c>
      <c r="BJ350" t="s">
        <v>6784</v>
      </c>
      <c r="BK350" t="s">
        <v>2084</v>
      </c>
      <c r="BL350" t="s">
        <v>6785</v>
      </c>
      <c r="BM350" t="s">
        <v>6786</v>
      </c>
      <c r="BN350" t="s">
        <v>74</v>
      </c>
      <c r="BO350" t="s">
        <v>74</v>
      </c>
      <c r="BP350" t="s">
        <v>74</v>
      </c>
      <c r="BQ350" t="s">
        <v>74</v>
      </c>
      <c r="BR350" t="s">
        <v>105</v>
      </c>
      <c r="BS350" t="s">
        <v>6787</v>
      </c>
      <c r="BT350" t="str">
        <f>HYPERLINK("https%3A%2F%2Fwww.webofscience.com%2Fwos%2Fwoscc%2Ffull-record%2FWOS:000404752200037","View Full Record in Web of Science")</f>
        <v>View Full Record in Web of Science</v>
      </c>
    </row>
    <row r="351" spans="1:72" x14ac:dyDescent="0.15">
      <c r="A351" t="s">
        <v>72</v>
      </c>
      <c r="B351" t="s">
        <v>6788</v>
      </c>
      <c r="C351" t="s">
        <v>74</v>
      </c>
      <c r="D351" t="s">
        <v>74</v>
      </c>
      <c r="E351" t="s">
        <v>74</v>
      </c>
      <c r="F351" t="s">
        <v>6789</v>
      </c>
      <c r="G351" t="s">
        <v>74</v>
      </c>
      <c r="H351" t="s">
        <v>74</v>
      </c>
      <c r="I351" t="s">
        <v>6790</v>
      </c>
      <c r="J351" t="s">
        <v>6791</v>
      </c>
      <c r="K351" t="s">
        <v>74</v>
      </c>
      <c r="L351" t="s">
        <v>74</v>
      </c>
      <c r="M351" t="s">
        <v>2706</v>
      </c>
      <c r="N351" t="s">
        <v>79</v>
      </c>
      <c r="O351" t="s">
        <v>74</v>
      </c>
      <c r="P351" t="s">
        <v>74</v>
      </c>
      <c r="Q351" t="s">
        <v>74</v>
      </c>
      <c r="R351" t="s">
        <v>74</v>
      </c>
      <c r="S351" t="s">
        <v>74</v>
      </c>
      <c r="T351" t="s">
        <v>6792</v>
      </c>
      <c r="U351" t="s">
        <v>6793</v>
      </c>
      <c r="V351" t="s">
        <v>6794</v>
      </c>
      <c r="W351" t="s">
        <v>6795</v>
      </c>
      <c r="X351" t="s">
        <v>6796</v>
      </c>
      <c r="Y351" t="s">
        <v>6797</v>
      </c>
      <c r="Z351" t="s">
        <v>6798</v>
      </c>
      <c r="AA351" t="s">
        <v>6799</v>
      </c>
      <c r="AB351" t="s">
        <v>6800</v>
      </c>
      <c r="AC351" t="s">
        <v>6801</v>
      </c>
      <c r="AD351" t="s">
        <v>6802</v>
      </c>
      <c r="AE351" t="s">
        <v>6803</v>
      </c>
      <c r="AF351" t="s">
        <v>74</v>
      </c>
      <c r="AG351">
        <v>32</v>
      </c>
      <c r="AH351">
        <v>1</v>
      </c>
      <c r="AI351">
        <v>1</v>
      </c>
      <c r="AJ351">
        <v>0</v>
      </c>
      <c r="AK351">
        <v>6</v>
      </c>
      <c r="AL351" t="s">
        <v>6804</v>
      </c>
      <c r="AM351" t="s">
        <v>6805</v>
      </c>
      <c r="AN351" t="s">
        <v>6806</v>
      </c>
      <c r="AO351" t="s">
        <v>6807</v>
      </c>
      <c r="AP351" t="s">
        <v>6808</v>
      </c>
      <c r="AQ351" t="s">
        <v>74</v>
      </c>
      <c r="AR351" t="s">
        <v>6809</v>
      </c>
      <c r="AS351" t="s">
        <v>6810</v>
      </c>
      <c r="AT351" t="s">
        <v>74</v>
      </c>
      <c r="AU351">
        <v>2017</v>
      </c>
      <c r="AV351">
        <v>159</v>
      </c>
      <c r="AW351">
        <v>1</v>
      </c>
      <c r="AX351" t="s">
        <v>74</v>
      </c>
      <c r="AY351" t="s">
        <v>74</v>
      </c>
      <c r="AZ351" t="s">
        <v>74</v>
      </c>
      <c r="BA351" t="s">
        <v>74</v>
      </c>
      <c r="BB351">
        <v>122</v>
      </c>
      <c r="BC351">
        <v>138</v>
      </c>
      <c r="BD351" t="s">
        <v>74</v>
      </c>
      <c r="BE351" t="s">
        <v>74</v>
      </c>
      <c r="BF351" t="s">
        <v>74</v>
      </c>
      <c r="BG351" t="s">
        <v>74</v>
      </c>
      <c r="BH351" t="s">
        <v>74</v>
      </c>
      <c r="BI351">
        <v>17</v>
      </c>
      <c r="BJ351" t="s">
        <v>100</v>
      </c>
      <c r="BK351" t="s">
        <v>2057</v>
      </c>
      <c r="BL351" t="s">
        <v>102</v>
      </c>
      <c r="BM351" t="s">
        <v>6811</v>
      </c>
      <c r="BN351" t="s">
        <v>74</v>
      </c>
      <c r="BO351" t="s">
        <v>74</v>
      </c>
      <c r="BP351" t="s">
        <v>74</v>
      </c>
      <c r="BQ351" t="s">
        <v>74</v>
      </c>
      <c r="BR351" t="s">
        <v>105</v>
      </c>
      <c r="BS351" t="s">
        <v>6812</v>
      </c>
      <c r="BT351" t="str">
        <f>HYPERLINK("https%3A%2F%2Fwww.webofscience.com%2Fwos%2Fwoscc%2Ffull-record%2FWOS:000406489500008","View Full Record in Web of Science")</f>
        <v>View Full Record in Web of Science</v>
      </c>
    </row>
    <row r="352" spans="1:72" x14ac:dyDescent="0.15">
      <c r="A352" t="s">
        <v>72</v>
      </c>
      <c r="B352" t="s">
        <v>6813</v>
      </c>
      <c r="C352" t="s">
        <v>74</v>
      </c>
      <c r="D352" t="s">
        <v>74</v>
      </c>
      <c r="E352" t="s">
        <v>74</v>
      </c>
      <c r="F352" t="s">
        <v>6814</v>
      </c>
      <c r="G352" t="s">
        <v>74</v>
      </c>
      <c r="H352" t="s">
        <v>74</v>
      </c>
      <c r="I352" t="s">
        <v>6815</v>
      </c>
      <c r="J352" t="s">
        <v>6816</v>
      </c>
      <c r="K352" t="s">
        <v>74</v>
      </c>
      <c r="L352" t="s">
        <v>74</v>
      </c>
      <c r="M352" t="s">
        <v>78</v>
      </c>
      <c r="N352" t="s">
        <v>79</v>
      </c>
      <c r="O352" t="s">
        <v>74</v>
      </c>
      <c r="P352" t="s">
        <v>74</v>
      </c>
      <c r="Q352" t="s">
        <v>74</v>
      </c>
      <c r="R352" t="s">
        <v>74</v>
      </c>
      <c r="S352" t="s">
        <v>74</v>
      </c>
      <c r="T352" t="s">
        <v>6817</v>
      </c>
      <c r="U352" t="s">
        <v>6818</v>
      </c>
      <c r="V352" t="s">
        <v>6819</v>
      </c>
      <c r="W352" t="s">
        <v>6820</v>
      </c>
      <c r="X352" t="s">
        <v>6821</v>
      </c>
      <c r="Y352" t="s">
        <v>6822</v>
      </c>
      <c r="Z352" t="s">
        <v>6823</v>
      </c>
      <c r="AA352" t="s">
        <v>6824</v>
      </c>
      <c r="AB352" t="s">
        <v>6825</v>
      </c>
      <c r="AC352" t="s">
        <v>6826</v>
      </c>
      <c r="AD352" t="s">
        <v>2045</v>
      </c>
      <c r="AE352" t="s">
        <v>6827</v>
      </c>
      <c r="AF352" t="s">
        <v>74</v>
      </c>
      <c r="AG352">
        <v>20</v>
      </c>
      <c r="AH352">
        <v>5</v>
      </c>
      <c r="AI352">
        <v>5</v>
      </c>
      <c r="AJ352">
        <v>0</v>
      </c>
      <c r="AK352">
        <v>7</v>
      </c>
      <c r="AL352" t="s">
        <v>6828</v>
      </c>
      <c r="AM352" t="s">
        <v>6829</v>
      </c>
      <c r="AN352" t="s">
        <v>6830</v>
      </c>
      <c r="AO352" t="s">
        <v>6831</v>
      </c>
      <c r="AP352" t="s">
        <v>6832</v>
      </c>
      <c r="AQ352" t="s">
        <v>74</v>
      </c>
      <c r="AR352" t="s">
        <v>6833</v>
      </c>
      <c r="AS352" t="s">
        <v>6834</v>
      </c>
      <c r="AT352" t="s">
        <v>74</v>
      </c>
      <c r="AU352">
        <v>2017</v>
      </c>
      <c r="AV352">
        <v>224</v>
      </c>
      <c r="AW352" t="s">
        <v>74</v>
      </c>
      <c r="AX352" t="s">
        <v>74</v>
      </c>
      <c r="AY352" t="s">
        <v>74</v>
      </c>
      <c r="AZ352" t="s">
        <v>74</v>
      </c>
      <c r="BA352" t="s">
        <v>74</v>
      </c>
      <c r="BB352">
        <v>199</v>
      </c>
      <c r="BC352">
        <v>208</v>
      </c>
      <c r="BD352" t="s">
        <v>74</v>
      </c>
      <c r="BE352" t="s">
        <v>6835</v>
      </c>
      <c r="BF352" t="str">
        <f>HYPERLINK("http://dx.doi.org/10.18454/PMI.2017.2.199","http://dx.doi.org/10.18454/PMI.2017.2.199")</f>
        <v>http://dx.doi.org/10.18454/PMI.2017.2.199</v>
      </c>
      <c r="BG352" t="s">
        <v>74</v>
      </c>
      <c r="BH352" t="s">
        <v>74</v>
      </c>
      <c r="BI352">
        <v>10</v>
      </c>
      <c r="BJ352" t="s">
        <v>6836</v>
      </c>
      <c r="BK352" t="s">
        <v>2057</v>
      </c>
      <c r="BL352" t="s">
        <v>6836</v>
      </c>
      <c r="BM352" t="s">
        <v>6837</v>
      </c>
      <c r="BN352" t="s">
        <v>74</v>
      </c>
      <c r="BO352" t="s">
        <v>74</v>
      </c>
      <c r="BP352" t="s">
        <v>74</v>
      </c>
      <c r="BQ352" t="s">
        <v>74</v>
      </c>
      <c r="BR352" t="s">
        <v>105</v>
      </c>
      <c r="BS352" t="s">
        <v>6838</v>
      </c>
      <c r="BT352" t="str">
        <f>HYPERLINK("https%3A%2F%2Fwww.webofscience.com%2Fwos%2Fwoscc%2Ffull-record%2FWOS:000407068200007","View Full Record in Web of Science")</f>
        <v>View Full Record in Web of Science</v>
      </c>
    </row>
    <row r="353" spans="1:72" x14ac:dyDescent="0.15">
      <c r="A353" t="s">
        <v>72</v>
      </c>
      <c r="B353" t="s">
        <v>6839</v>
      </c>
      <c r="C353" t="s">
        <v>74</v>
      </c>
      <c r="D353" t="s">
        <v>74</v>
      </c>
      <c r="E353" t="s">
        <v>74</v>
      </c>
      <c r="F353" t="s">
        <v>6840</v>
      </c>
      <c r="G353" t="s">
        <v>74</v>
      </c>
      <c r="H353" t="s">
        <v>74</v>
      </c>
      <c r="I353" t="s">
        <v>6841</v>
      </c>
      <c r="J353" t="s">
        <v>6842</v>
      </c>
      <c r="K353" t="s">
        <v>74</v>
      </c>
      <c r="L353" t="s">
        <v>74</v>
      </c>
      <c r="M353" t="s">
        <v>78</v>
      </c>
      <c r="N353" t="s">
        <v>79</v>
      </c>
      <c r="O353" t="s">
        <v>74</v>
      </c>
      <c r="P353" t="s">
        <v>74</v>
      </c>
      <c r="Q353" t="s">
        <v>74</v>
      </c>
      <c r="R353" t="s">
        <v>74</v>
      </c>
      <c r="S353" t="s">
        <v>74</v>
      </c>
      <c r="T353" t="s">
        <v>74</v>
      </c>
      <c r="U353" t="s">
        <v>6843</v>
      </c>
      <c r="V353" t="s">
        <v>6844</v>
      </c>
      <c r="W353" t="s">
        <v>6845</v>
      </c>
      <c r="X353" t="s">
        <v>6846</v>
      </c>
      <c r="Y353" t="s">
        <v>6847</v>
      </c>
      <c r="Z353" t="s">
        <v>6848</v>
      </c>
      <c r="AA353" t="s">
        <v>6849</v>
      </c>
      <c r="AB353" t="s">
        <v>6850</v>
      </c>
      <c r="AC353" t="s">
        <v>6851</v>
      </c>
      <c r="AD353" t="s">
        <v>6852</v>
      </c>
      <c r="AE353" t="s">
        <v>6853</v>
      </c>
      <c r="AF353" t="s">
        <v>74</v>
      </c>
      <c r="AG353">
        <v>60</v>
      </c>
      <c r="AH353">
        <v>21</v>
      </c>
      <c r="AI353">
        <v>21</v>
      </c>
      <c r="AJ353">
        <v>1</v>
      </c>
      <c r="AK353">
        <v>22</v>
      </c>
      <c r="AL353" t="s">
        <v>6635</v>
      </c>
      <c r="AM353" t="s">
        <v>93</v>
      </c>
      <c r="AN353" t="s">
        <v>6636</v>
      </c>
      <c r="AO353" t="s">
        <v>6854</v>
      </c>
      <c r="AP353" t="s">
        <v>6855</v>
      </c>
      <c r="AQ353" t="s">
        <v>74</v>
      </c>
      <c r="AR353" t="s">
        <v>6856</v>
      </c>
      <c r="AS353" t="s">
        <v>6857</v>
      </c>
      <c r="AT353" t="s">
        <v>74</v>
      </c>
      <c r="AU353">
        <v>2017</v>
      </c>
      <c r="AV353">
        <v>2017</v>
      </c>
      <c r="AW353" t="s">
        <v>74</v>
      </c>
      <c r="AX353" t="s">
        <v>74</v>
      </c>
      <c r="AY353" t="s">
        <v>74</v>
      </c>
      <c r="AZ353" t="s">
        <v>74</v>
      </c>
      <c r="BA353" t="s">
        <v>74</v>
      </c>
      <c r="BB353" t="s">
        <v>74</v>
      </c>
      <c r="BC353" t="s">
        <v>74</v>
      </c>
      <c r="BD353">
        <v>2694945</v>
      </c>
      <c r="BE353" t="s">
        <v>6858</v>
      </c>
      <c r="BF353" t="str">
        <f>HYPERLINK("http://dx.doi.org/10.1155/2017/2694945","http://dx.doi.org/10.1155/2017/2694945")</f>
        <v>http://dx.doi.org/10.1155/2017/2694945</v>
      </c>
      <c r="BG353" t="s">
        <v>74</v>
      </c>
      <c r="BH353" t="s">
        <v>74</v>
      </c>
      <c r="BI353">
        <v>16</v>
      </c>
      <c r="BJ353" t="s">
        <v>6859</v>
      </c>
      <c r="BK353" t="s">
        <v>101</v>
      </c>
      <c r="BL353" t="s">
        <v>6859</v>
      </c>
      <c r="BM353" t="s">
        <v>6860</v>
      </c>
      <c r="BN353">
        <v>28894504</v>
      </c>
      <c r="BO353" t="s">
        <v>1003</v>
      </c>
      <c r="BP353" t="s">
        <v>74</v>
      </c>
      <c r="BQ353" t="s">
        <v>74</v>
      </c>
      <c r="BR353" t="s">
        <v>105</v>
      </c>
      <c r="BS353" t="s">
        <v>6861</v>
      </c>
      <c r="BT353" t="str">
        <f>HYPERLINK("https%3A%2F%2Fwww.webofscience.com%2Fwos%2Fwoscc%2Ffull-record%2FWOS:000407888700001","View Full Record in Web of Science")</f>
        <v>View Full Record in Web of Science</v>
      </c>
    </row>
    <row r="354" spans="1:72" x14ac:dyDescent="0.15">
      <c r="A354" t="s">
        <v>72</v>
      </c>
      <c r="B354" t="s">
        <v>6862</v>
      </c>
      <c r="C354" t="s">
        <v>74</v>
      </c>
      <c r="D354" t="s">
        <v>74</v>
      </c>
      <c r="E354" t="s">
        <v>74</v>
      </c>
      <c r="F354" t="s">
        <v>6863</v>
      </c>
      <c r="G354" t="s">
        <v>74</v>
      </c>
      <c r="H354" t="s">
        <v>74</v>
      </c>
      <c r="I354" t="s">
        <v>6864</v>
      </c>
      <c r="J354" t="s">
        <v>6865</v>
      </c>
      <c r="K354" t="s">
        <v>74</v>
      </c>
      <c r="L354" t="s">
        <v>74</v>
      </c>
      <c r="M354" t="s">
        <v>78</v>
      </c>
      <c r="N354" t="s">
        <v>79</v>
      </c>
      <c r="O354" t="s">
        <v>74</v>
      </c>
      <c r="P354" t="s">
        <v>74</v>
      </c>
      <c r="Q354" t="s">
        <v>74</v>
      </c>
      <c r="R354" t="s">
        <v>74</v>
      </c>
      <c r="S354" t="s">
        <v>74</v>
      </c>
      <c r="T354" t="s">
        <v>6866</v>
      </c>
      <c r="U354" t="s">
        <v>6867</v>
      </c>
      <c r="V354" t="s">
        <v>6868</v>
      </c>
      <c r="W354" t="s">
        <v>6869</v>
      </c>
      <c r="X354" t="s">
        <v>6870</v>
      </c>
      <c r="Y354" t="s">
        <v>6871</v>
      </c>
      <c r="Z354" t="s">
        <v>6872</v>
      </c>
      <c r="AA354" t="s">
        <v>6873</v>
      </c>
      <c r="AB354" t="s">
        <v>6874</v>
      </c>
      <c r="AC354" t="s">
        <v>6875</v>
      </c>
      <c r="AD354" t="s">
        <v>6876</v>
      </c>
      <c r="AE354" t="s">
        <v>6877</v>
      </c>
      <c r="AF354" t="s">
        <v>74</v>
      </c>
      <c r="AG354">
        <v>46</v>
      </c>
      <c r="AH354">
        <v>10</v>
      </c>
      <c r="AI354">
        <v>10</v>
      </c>
      <c r="AJ354">
        <v>0</v>
      </c>
      <c r="AK354">
        <v>18</v>
      </c>
      <c r="AL354" t="s">
        <v>5554</v>
      </c>
      <c r="AM354" t="s">
        <v>5555</v>
      </c>
      <c r="AN354" t="s">
        <v>5556</v>
      </c>
      <c r="AO354" t="s">
        <v>6878</v>
      </c>
      <c r="AP354" t="s">
        <v>6879</v>
      </c>
      <c r="AQ354" t="s">
        <v>74</v>
      </c>
      <c r="AR354" t="s">
        <v>6880</v>
      </c>
      <c r="AS354" t="s">
        <v>6881</v>
      </c>
      <c r="AT354" t="s">
        <v>74</v>
      </c>
      <c r="AU354">
        <v>2017</v>
      </c>
      <c r="AV354">
        <v>9</v>
      </c>
      <c r="AW354" t="s">
        <v>74</v>
      </c>
      <c r="AX354" t="s">
        <v>74</v>
      </c>
      <c r="AY354" t="s">
        <v>74</v>
      </c>
      <c r="AZ354" t="s">
        <v>74</v>
      </c>
      <c r="BA354" t="s">
        <v>74</v>
      </c>
      <c r="BB354">
        <v>269</v>
      </c>
      <c r="BC354">
        <v>279</v>
      </c>
      <c r="BD354" t="s">
        <v>74</v>
      </c>
      <c r="BE354" t="s">
        <v>6882</v>
      </c>
      <c r="BF354" t="str">
        <f>HYPERLINK("http://dx.doi.org/10.3354/aei00233","http://dx.doi.org/10.3354/aei00233")</f>
        <v>http://dx.doi.org/10.3354/aei00233</v>
      </c>
      <c r="BG354" t="s">
        <v>74</v>
      </c>
      <c r="BH354" t="s">
        <v>74</v>
      </c>
      <c r="BI354">
        <v>11</v>
      </c>
      <c r="BJ354" t="s">
        <v>6883</v>
      </c>
      <c r="BK354" t="s">
        <v>101</v>
      </c>
      <c r="BL354" t="s">
        <v>6883</v>
      </c>
      <c r="BM354" t="s">
        <v>6884</v>
      </c>
      <c r="BN354" t="s">
        <v>74</v>
      </c>
      <c r="BO354" t="s">
        <v>708</v>
      </c>
      <c r="BP354" t="s">
        <v>74</v>
      </c>
      <c r="BQ354" t="s">
        <v>74</v>
      </c>
      <c r="BR354" t="s">
        <v>105</v>
      </c>
      <c r="BS354" t="s">
        <v>6885</v>
      </c>
      <c r="BT354" t="str">
        <f>HYPERLINK("https%3A%2F%2Fwww.webofscience.com%2Fwos%2Fwoscc%2Ffull-record%2FWOS:000407352500001","View Full Record in Web of Science")</f>
        <v>View Full Record in Web of Science</v>
      </c>
    </row>
    <row r="355" spans="1:72" x14ac:dyDescent="0.15">
      <c r="A355" t="s">
        <v>72</v>
      </c>
      <c r="B355" t="s">
        <v>2477</v>
      </c>
      <c r="C355" t="s">
        <v>74</v>
      </c>
      <c r="D355" t="s">
        <v>74</v>
      </c>
      <c r="E355" t="s">
        <v>74</v>
      </c>
      <c r="F355" t="s">
        <v>2681</v>
      </c>
      <c r="G355" t="s">
        <v>74</v>
      </c>
      <c r="H355" t="s">
        <v>74</v>
      </c>
      <c r="I355" t="s">
        <v>6886</v>
      </c>
      <c r="J355" t="s">
        <v>6887</v>
      </c>
      <c r="K355" t="s">
        <v>74</v>
      </c>
      <c r="L355" t="s">
        <v>74</v>
      </c>
      <c r="M355" t="s">
        <v>78</v>
      </c>
      <c r="N355" t="s">
        <v>79</v>
      </c>
      <c r="O355" t="s">
        <v>74</v>
      </c>
      <c r="P355" t="s">
        <v>74</v>
      </c>
      <c r="Q355" t="s">
        <v>74</v>
      </c>
      <c r="R355" t="s">
        <v>74</v>
      </c>
      <c r="S355" t="s">
        <v>74</v>
      </c>
      <c r="T355" t="s">
        <v>6888</v>
      </c>
      <c r="U355" t="s">
        <v>6889</v>
      </c>
      <c r="V355" t="s">
        <v>6890</v>
      </c>
      <c r="W355" t="s">
        <v>6891</v>
      </c>
      <c r="X355" t="s">
        <v>6892</v>
      </c>
      <c r="Y355" t="s">
        <v>6893</v>
      </c>
      <c r="Z355" t="s">
        <v>2487</v>
      </c>
      <c r="AA355" t="s">
        <v>2488</v>
      </c>
      <c r="AB355" t="s">
        <v>74</v>
      </c>
      <c r="AC355" t="s">
        <v>6894</v>
      </c>
      <c r="AD355" t="s">
        <v>6895</v>
      </c>
      <c r="AE355" t="s">
        <v>6896</v>
      </c>
      <c r="AF355" t="s">
        <v>74</v>
      </c>
      <c r="AG355">
        <v>73</v>
      </c>
      <c r="AH355">
        <v>5</v>
      </c>
      <c r="AI355">
        <v>6</v>
      </c>
      <c r="AJ355">
        <v>0</v>
      </c>
      <c r="AK355">
        <v>5</v>
      </c>
      <c r="AL355" t="s">
        <v>1967</v>
      </c>
      <c r="AM355" t="s">
        <v>1910</v>
      </c>
      <c r="AN355" t="s">
        <v>1968</v>
      </c>
      <c r="AO355" t="s">
        <v>6897</v>
      </c>
      <c r="AP355" t="s">
        <v>6898</v>
      </c>
      <c r="AQ355" t="s">
        <v>74</v>
      </c>
      <c r="AR355" t="s">
        <v>6899</v>
      </c>
      <c r="AS355" t="s">
        <v>6900</v>
      </c>
      <c r="AT355" t="s">
        <v>74</v>
      </c>
      <c r="AU355">
        <v>2017</v>
      </c>
      <c r="AV355">
        <v>15</v>
      </c>
      <c r="AW355">
        <v>12</v>
      </c>
      <c r="AX355" t="s">
        <v>74</v>
      </c>
      <c r="AY355" t="s">
        <v>74</v>
      </c>
      <c r="AZ355" t="s">
        <v>74</v>
      </c>
      <c r="BA355" t="s">
        <v>74</v>
      </c>
      <c r="BB355">
        <v>969</v>
      </c>
      <c r="BC355">
        <v>990</v>
      </c>
      <c r="BD355" t="s">
        <v>74</v>
      </c>
      <c r="BE355" t="s">
        <v>6901</v>
      </c>
      <c r="BF355" t="str">
        <f>HYPERLINK("http://dx.doi.org/10.1080/14772019.2016.1266048","http://dx.doi.org/10.1080/14772019.2016.1266048")</f>
        <v>http://dx.doi.org/10.1080/14772019.2016.1266048</v>
      </c>
      <c r="BG355" t="s">
        <v>74</v>
      </c>
      <c r="BH355" t="s">
        <v>74</v>
      </c>
      <c r="BI355">
        <v>22</v>
      </c>
      <c r="BJ355" t="s">
        <v>6902</v>
      </c>
      <c r="BK355" t="s">
        <v>101</v>
      </c>
      <c r="BL355" t="s">
        <v>6902</v>
      </c>
      <c r="BM355" t="s">
        <v>6903</v>
      </c>
      <c r="BN355" t="s">
        <v>74</v>
      </c>
      <c r="BO355" t="s">
        <v>1223</v>
      </c>
      <c r="BP355" t="s">
        <v>74</v>
      </c>
      <c r="BQ355" t="s">
        <v>74</v>
      </c>
      <c r="BR355" t="s">
        <v>105</v>
      </c>
      <c r="BS355" t="s">
        <v>6904</v>
      </c>
      <c r="BT355" t="str">
        <f>HYPERLINK("https%3A%2F%2Fwww.webofscience.com%2Fwos%2Fwoscc%2Ffull-record%2FWOS:000407047100001","View Full Record in Web of Science")</f>
        <v>View Full Record in Web of Science</v>
      </c>
    </row>
    <row r="356" spans="1:72" x14ac:dyDescent="0.15">
      <c r="A356" t="s">
        <v>72</v>
      </c>
      <c r="B356" t="s">
        <v>6905</v>
      </c>
      <c r="C356" t="s">
        <v>74</v>
      </c>
      <c r="D356" t="s">
        <v>74</v>
      </c>
      <c r="E356" t="s">
        <v>74</v>
      </c>
      <c r="F356" t="s">
        <v>6906</v>
      </c>
      <c r="G356" t="s">
        <v>74</v>
      </c>
      <c r="H356" t="s">
        <v>74</v>
      </c>
      <c r="I356" t="s">
        <v>6907</v>
      </c>
      <c r="J356" t="s">
        <v>6624</v>
      </c>
      <c r="K356" t="s">
        <v>74</v>
      </c>
      <c r="L356" t="s">
        <v>74</v>
      </c>
      <c r="M356" t="s">
        <v>78</v>
      </c>
      <c r="N356" t="s">
        <v>79</v>
      </c>
      <c r="O356" t="s">
        <v>74</v>
      </c>
      <c r="P356" t="s">
        <v>74</v>
      </c>
      <c r="Q356" t="s">
        <v>74</v>
      </c>
      <c r="R356" t="s">
        <v>74</v>
      </c>
      <c r="S356" t="s">
        <v>74</v>
      </c>
      <c r="T356" t="s">
        <v>74</v>
      </c>
      <c r="U356" t="s">
        <v>6908</v>
      </c>
      <c r="V356" t="s">
        <v>6909</v>
      </c>
      <c r="W356" t="s">
        <v>6910</v>
      </c>
      <c r="X356" t="s">
        <v>6911</v>
      </c>
      <c r="Y356" t="s">
        <v>6912</v>
      </c>
      <c r="Z356" t="s">
        <v>6913</v>
      </c>
      <c r="AA356" t="s">
        <v>6914</v>
      </c>
      <c r="AB356" t="s">
        <v>6915</v>
      </c>
      <c r="AC356" t="s">
        <v>6916</v>
      </c>
      <c r="AD356" t="s">
        <v>6917</v>
      </c>
      <c r="AE356" t="s">
        <v>6918</v>
      </c>
      <c r="AF356" t="s">
        <v>74</v>
      </c>
      <c r="AG356">
        <v>26</v>
      </c>
      <c r="AH356">
        <v>9</v>
      </c>
      <c r="AI356">
        <v>9</v>
      </c>
      <c r="AJ356">
        <v>1</v>
      </c>
      <c r="AK356">
        <v>14</v>
      </c>
      <c r="AL356" t="s">
        <v>6635</v>
      </c>
      <c r="AM356" t="s">
        <v>93</v>
      </c>
      <c r="AN356" t="s">
        <v>6636</v>
      </c>
      <c r="AO356" t="s">
        <v>6637</v>
      </c>
      <c r="AP356" t="s">
        <v>6638</v>
      </c>
      <c r="AQ356" t="s">
        <v>74</v>
      </c>
      <c r="AR356" t="s">
        <v>6639</v>
      </c>
      <c r="AS356" t="s">
        <v>6640</v>
      </c>
      <c r="AT356" t="s">
        <v>74</v>
      </c>
      <c r="AU356">
        <v>2017</v>
      </c>
      <c r="AV356">
        <v>2017</v>
      </c>
      <c r="AW356" t="s">
        <v>74</v>
      </c>
      <c r="AX356" t="s">
        <v>74</v>
      </c>
      <c r="AY356" t="s">
        <v>74</v>
      </c>
      <c r="AZ356" t="s">
        <v>74</v>
      </c>
      <c r="BA356" t="s">
        <v>74</v>
      </c>
      <c r="BB356" t="s">
        <v>74</v>
      </c>
      <c r="BC356" t="s">
        <v>74</v>
      </c>
      <c r="BD356">
        <v>6581537</v>
      </c>
      <c r="BE356" t="s">
        <v>6919</v>
      </c>
      <c r="BF356" t="str">
        <f>HYPERLINK("http://dx.doi.org/10.1155/2017/6581537","http://dx.doi.org/10.1155/2017/6581537")</f>
        <v>http://dx.doi.org/10.1155/2017/6581537</v>
      </c>
      <c r="BG356" t="s">
        <v>74</v>
      </c>
      <c r="BH356" t="s">
        <v>74</v>
      </c>
      <c r="BI356">
        <v>15</v>
      </c>
      <c r="BJ356" t="s">
        <v>747</v>
      </c>
      <c r="BK356" t="s">
        <v>101</v>
      </c>
      <c r="BL356" t="s">
        <v>747</v>
      </c>
      <c r="BM356" t="s">
        <v>6920</v>
      </c>
      <c r="BN356" t="s">
        <v>74</v>
      </c>
      <c r="BO356" t="s">
        <v>6921</v>
      </c>
      <c r="BP356" t="s">
        <v>74</v>
      </c>
      <c r="BQ356" t="s">
        <v>74</v>
      </c>
      <c r="BR356" t="s">
        <v>105</v>
      </c>
      <c r="BS356" t="s">
        <v>6922</v>
      </c>
      <c r="BT356" t="str">
        <f>HYPERLINK("https%3A%2F%2Fwww.webofscience.com%2Fwos%2Fwoscc%2Ffull-record%2FWOS:000406782400001","View Full Record in Web of Science")</f>
        <v>View Full Record in Web of Science</v>
      </c>
    </row>
    <row r="357" spans="1:72" x14ac:dyDescent="0.15">
      <c r="A357" t="s">
        <v>72</v>
      </c>
      <c r="B357" t="s">
        <v>6923</v>
      </c>
      <c r="C357" t="s">
        <v>74</v>
      </c>
      <c r="D357" t="s">
        <v>74</v>
      </c>
      <c r="E357" t="s">
        <v>74</v>
      </c>
      <c r="F357" t="s">
        <v>6924</v>
      </c>
      <c r="G357" t="s">
        <v>74</v>
      </c>
      <c r="H357" t="s">
        <v>74</v>
      </c>
      <c r="I357" t="s">
        <v>6925</v>
      </c>
      <c r="J357" t="s">
        <v>2530</v>
      </c>
      <c r="K357" t="s">
        <v>74</v>
      </c>
      <c r="L357" t="s">
        <v>74</v>
      </c>
      <c r="M357" t="s">
        <v>78</v>
      </c>
      <c r="N357" t="s">
        <v>79</v>
      </c>
      <c r="O357" t="s">
        <v>74</v>
      </c>
      <c r="P357" t="s">
        <v>74</v>
      </c>
      <c r="Q357" t="s">
        <v>74</v>
      </c>
      <c r="R357" t="s">
        <v>74</v>
      </c>
      <c r="S357" t="s">
        <v>74</v>
      </c>
      <c r="T357" t="s">
        <v>74</v>
      </c>
      <c r="U357" t="s">
        <v>74</v>
      </c>
      <c r="V357" t="s">
        <v>6926</v>
      </c>
      <c r="W357" t="s">
        <v>6927</v>
      </c>
      <c r="X357" t="s">
        <v>6928</v>
      </c>
      <c r="Y357" t="s">
        <v>6929</v>
      </c>
      <c r="Z357" t="s">
        <v>6930</v>
      </c>
      <c r="AA357" t="s">
        <v>6931</v>
      </c>
      <c r="AB357" t="s">
        <v>74</v>
      </c>
      <c r="AC357" t="s">
        <v>74</v>
      </c>
      <c r="AD357" t="s">
        <v>74</v>
      </c>
      <c r="AE357" t="s">
        <v>74</v>
      </c>
      <c r="AF357" t="s">
        <v>74</v>
      </c>
      <c r="AG357">
        <v>19</v>
      </c>
      <c r="AH357">
        <v>11</v>
      </c>
      <c r="AI357">
        <v>14</v>
      </c>
      <c r="AJ357">
        <v>1</v>
      </c>
      <c r="AK357">
        <v>24</v>
      </c>
      <c r="AL357" t="s">
        <v>1967</v>
      </c>
      <c r="AM357" t="s">
        <v>1910</v>
      </c>
      <c r="AN357" t="s">
        <v>1968</v>
      </c>
      <c r="AO357" t="s">
        <v>2542</v>
      </c>
      <c r="AP357" t="s">
        <v>2543</v>
      </c>
      <c r="AQ357" t="s">
        <v>74</v>
      </c>
      <c r="AR357" t="s">
        <v>2544</v>
      </c>
      <c r="AS357" t="s">
        <v>2545</v>
      </c>
      <c r="AT357" t="s">
        <v>74</v>
      </c>
      <c r="AU357">
        <v>2017</v>
      </c>
      <c r="AV357">
        <v>38</v>
      </c>
      <c r="AW357">
        <v>21</v>
      </c>
      <c r="AX357" t="s">
        <v>74</v>
      </c>
      <c r="AY357" t="s">
        <v>74</v>
      </c>
      <c r="AZ357" t="s">
        <v>74</v>
      </c>
      <c r="BA357" t="s">
        <v>74</v>
      </c>
      <c r="BB357">
        <v>5880</v>
      </c>
      <c r="BC357">
        <v>5898</v>
      </c>
      <c r="BD357" t="s">
        <v>74</v>
      </c>
      <c r="BE357" t="s">
        <v>6932</v>
      </c>
      <c r="BF357" t="str">
        <f>HYPERLINK("http://dx.doi.org/10.1080/01431161.2017.1338786","http://dx.doi.org/10.1080/01431161.2017.1338786")</f>
        <v>http://dx.doi.org/10.1080/01431161.2017.1338786</v>
      </c>
      <c r="BG357" t="s">
        <v>74</v>
      </c>
      <c r="BH357" t="s">
        <v>74</v>
      </c>
      <c r="BI357">
        <v>19</v>
      </c>
      <c r="BJ357" t="s">
        <v>2547</v>
      </c>
      <c r="BK357" t="s">
        <v>101</v>
      </c>
      <c r="BL357" t="s">
        <v>2547</v>
      </c>
      <c r="BM357" t="s">
        <v>6933</v>
      </c>
      <c r="BN357" t="s">
        <v>74</v>
      </c>
      <c r="BO357" t="s">
        <v>74</v>
      </c>
      <c r="BP357" t="s">
        <v>74</v>
      </c>
      <c r="BQ357" t="s">
        <v>74</v>
      </c>
      <c r="BR357" t="s">
        <v>105</v>
      </c>
      <c r="BS357" t="s">
        <v>6934</v>
      </c>
      <c r="BT357" t="str">
        <f>HYPERLINK("https%3A%2F%2Fwww.webofscience.com%2Fwos%2Fwoscc%2Ffull-record%2FWOS:000406539100003","View Full Record in Web of Science")</f>
        <v>View Full Record in Web of Science</v>
      </c>
    </row>
    <row r="358" spans="1:72" x14ac:dyDescent="0.15">
      <c r="A358" t="s">
        <v>72</v>
      </c>
      <c r="B358" t="s">
        <v>6935</v>
      </c>
      <c r="C358" t="s">
        <v>74</v>
      </c>
      <c r="D358" t="s">
        <v>74</v>
      </c>
      <c r="E358" t="s">
        <v>74</v>
      </c>
      <c r="F358" t="s">
        <v>6936</v>
      </c>
      <c r="G358" t="s">
        <v>74</v>
      </c>
      <c r="H358" t="s">
        <v>74</v>
      </c>
      <c r="I358" t="s">
        <v>6937</v>
      </c>
      <c r="J358" t="s">
        <v>6938</v>
      </c>
      <c r="K358" t="s">
        <v>74</v>
      </c>
      <c r="L358" t="s">
        <v>74</v>
      </c>
      <c r="M358" t="s">
        <v>78</v>
      </c>
      <c r="N358" t="s">
        <v>79</v>
      </c>
      <c r="O358" t="s">
        <v>74</v>
      </c>
      <c r="P358" t="s">
        <v>74</v>
      </c>
      <c r="Q358" t="s">
        <v>74</v>
      </c>
      <c r="R358" t="s">
        <v>74</v>
      </c>
      <c r="S358" t="s">
        <v>74</v>
      </c>
      <c r="T358" t="s">
        <v>6939</v>
      </c>
      <c r="U358" t="s">
        <v>6940</v>
      </c>
      <c r="V358" t="s">
        <v>6941</v>
      </c>
      <c r="W358" t="s">
        <v>6942</v>
      </c>
      <c r="X358" t="s">
        <v>6943</v>
      </c>
      <c r="Y358" t="s">
        <v>6944</v>
      </c>
      <c r="Z358" t="s">
        <v>6945</v>
      </c>
      <c r="AA358" t="s">
        <v>6946</v>
      </c>
      <c r="AB358" t="s">
        <v>6947</v>
      </c>
      <c r="AC358" t="s">
        <v>6948</v>
      </c>
      <c r="AD358" t="s">
        <v>6949</v>
      </c>
      <c r="AE358" t="s">
        <v>6950</v>
      </c>
      <c r="AF358" t="s">
        <v>74</v>
      </c>
      <c r="AG358">
        <v>62</v>
      </c>
      <c r="AH358">
        <v>4</v>
      </c>
      <c r="AI358">
        <v>4</v>
      </c>
      <c r="AJ358">
        <v>0</v>
      </c>
      <c r="AK358">
        <v>5</v>
      </c>
      <c r="AL358" t="s">
        <v>1967</v>
      </c>
      <c r="AM358" t="s">
        <v>1910</v>
      </c>
      <c r="AN358" t="s">
        <v>1968</v>
      </c>
      <c r="AO358" t="s">
        <v>6951</v>
      </c>
      <c r="AP358" t="s">
        <v>6952</v>
      </c>
      <c r="AQ358" t="s">
        <v>74</v>
      </c>
      <c r="AR358" t="s">
        <v>6953</v>
      </c>
      <c r="AS358" t="s">
        <v>6954</v>
      </c>
      <c r="AT358" t="s">
        <v>74</v>
      </c>
      <c r="AU358">
        <v>2017</v>
      </c>
      <c r="AV358">
        <v>51</v>
      </c>
      <c r="AW358" t="s">
        <v>6955</v>
      </c>
      <c r="AX358" t="s">
        <v>74</v>
      </c>
      <c r="AY358" t="s">
        <v>74</v>
      </c>
      <c r="AZ358" t="s">
        <v>74</v>
      </c>
      <c r="BA358" t="s">
        <v>74</v>
      </c>
      <c r="BB358">
        <v>1437</v>
      </c>
      <c r="BC358">
        <v>1477</v>
      </c>
      <c r="BD358" t="s">
        <v>74</v>
      </c>
      <c r="BE358" t="s">
        <v>6956</v>
      </c>
      <c r="BF358" t="str">
        <f>HYPERLINK("http://dx.doi.org/10.1080/00222933.2017.1341563","http://dx.doi.org/10.1080/00222933.2017.1341563")</f>
        <v>http://dx.doi.org/10.1080/00222933.2017.1341563</v>
      </c>
      <c r="BG358" t="s">
        <v>74</v>
      </c>
      <c r="BH358" t="s">
        <v>74</v>
      </c>
      <c r="BI358">
        <v>41</v>
      </c>
      <c r="BJ358" t="s">
        <v>6957</v>
      </c>
      <c r="BK358" t="s">
        <v>101</v>
      </c>
      <c r="BL358" t="s">
        <v>6958</v>
      </c>
      <c r="BM358" t="s">
        <v>6959</v>
      </c>
      <c r="BN358" t="s">
        <v>74</v>
      </c>
      <c r="BO358" t="s">
        <v>74</v>
      </c>
      <c r="BP358" t="s">
        <v>74</v>
      </c>
      <c r="BQ358" t="s">
        <v>74</v>
      </c>
      <c r="BR358" t="s">
        <v>105</v>
      </c>
      <c r="BS358" t="s">
        <v>6960</v>
      </c>
      <c r="BT358" t="str">
        <f>HYPERLINK("https%3A%2F%2Fwww.webofscience.com%2Fwos%2Fwoscc%2Ffull-record%2FWOS:000406427800001","View Full Record in Web of Science")</f>
        <v>View Full Record in Web of Science</v>
      </c>
    </row>
    <row r="359" spans="1:72" x14ac:dyDescent="0.15">
      <c r="A359" t="s">
        <v>72</v>
      </c>
      <c r="B359" t="s">
        <v>6961</v>
      </c>
      <c r="C359" t="s">
        <v>74</v>
      </c>
      <c r="D359" t="s">
        <v>74</v>
      </c>
      <c r="E359" t="s">
        <v>74</v>
      </c>
      <c r="F359" t="s">
        <v>6962</v>
      </c>
      <c r="G359" t="s">
        <v>74</v>
      </c>
      <c r="H359" t="s">
        <v>74</v>
      </c>
      <c r="I359" t="s">
        <v>6963</v>
      </c>
      <c r="J359" t="s">
        <v>6964</v>
      </c>
      <c r="K359" t="s">
        <v>74</v>
      </c>
      <c r="L359" t="s">
        <v>74</v>
      </c>
      <c r="M359" t="s">
        <v>78</v>
      </c>
      <c r="N359" t="s">
        <v>79</v>
      </c>
      <c r="O359" t="s">
        <v>74</v>
      </c>
      <c r="P359" t="s">
        <v>74</v>
      </c>
      <c r="Q359" t="s">
        <v>74</v>
      </c>
      <c r="R359" t="s">
        <v>74</v>
      </c>
      <c r="S359" t="s">
        <v>74</v>
      </c>
      <c r="T359" t="s">
        <v>6965</v>
      </c>
      <c r="U359" t="s">
        <v>6966</v>
      </c>
      <c r="V359" t="s">
        <v>6967</v>
      </c>
      <c r="W359" t="s">
        <v>6968</v>
      </c>
      <c r="X359" t="s">
        <v>6969</v>
      </c>
      <c r="Y359" t="s">
        <v>6970</v>
      </c>
      <c r="Z359" t="s">
        <v>6971</v>
      </c>
      <c r="AA359" t="s">
        <v>6972</v>
      </c>
      <c r="AB359" t="s">
        <v>6973</v>
      </c>
      <c r="AC359" t="s">
        <v>6974</v>
      </c>
      <c r="AD359" t="s">
        <v>6975</v>
      </c>
      <c r="AE359" t="s">
        <v>6976</v>
      </c>
      <c r="AF359" t="s">
        <v>74</v>
      </c>
      <c r="AG359">
        <v>28</v>
      </c>
      <c r="AH359">
        <v>9</v>
      </c>
      <c r="AI359">
        <v>10</v>
      </c>
      <c r="AJ359">
        <v>4</v>
      </c>
      <c r="AK359">
        <v>12</v>
      </c>
      <c r="AL359" t="s">
        <v>1967</v>
      </c>
      <c r="AM359" t="s">
        <v>1910</v>
      </c>
      <c r="AN359" t="s">
        <v>1968</v>
      </c>
      <c r="AO359" t="s">
        <v>74</v>
      </c>
      <c r="AP359" t="s">
        <v>6977</v>
      </c>
      <c r="AQ359" t="s">
        <v>74</v>
      </c>
      <c r="AR359" t="s">
        <v>6978</v>
      </c>
      <c r="AS359" t="s">
        <v>6979</v>
      </c>
      <c r="AT359" t="s">
        <v>74</v>
      </c>
      <c r="AU359">
        <v>2017</v>
      </c>
      <c r="AV359">
        <v>69</v>
      </c>
      <c r="AW359" t="s">
        <v>74</v>
      </c>
      <c r="AX359" t="s">
        <v>74</v>
      </c>
      <c r="AY359" t="s">
        <v>74</v>
      </c>
      <c r="AZ359" t="s">
        <v>74</v>
      </c>
      <c r="BA359" t="s">
        <v>74</v>
      </c>
      <c r="BB359" t="s">
        <v>74</v>
      </c>
      <c r="BC359" t="s">
        <v>74</v>
      </c>
      <c r="BD359">
        <v>1338884</v>
      </c>
      <c r="BE359" t="s">
        <v>6980</v>
      </c>
      <c r="BF359" t="str">
        <f>HYPERLINK("http://dx.doi.org/10.1080/16000870.2017.1338884","http://dx.doi.org/10.1080/16000870.2017.1338884")</f>
        <v>http://dx.doi.org/10.1080/16000870.2017.1338884</v>
      </c>
      <c r="BG359" t="s">
        <v>74</v>
      </c>
      <c r="BH359" t="s">
        <v>74</v>
      </c>
      <c r="BI359">
        <v>11</v>
      </c>
      <c r="BJ359" t="s">
        <v>6981</v>
      </c>
      <c r="BK359" t="s">
        <v>101</v>
      </c>
      <c r="BL359" t="s">
        <v>6981</v>
      </c>
      <c r="BM359" t="s">
        <v>6982</v>
      </c>
      <c r="BN359" t="s">
        <v>74</v>
      </c>
      <c r="BO359" t="s">
        <v>591</v>
      </c>
      <c r="BP359" t="s">
        <v>74</v>
      </c>
      <c r="BQ359" t="s">
        <v>74</v>
      </c>
      <c r="BR359" t="s">
        <v>105</v>
      </c>
      <c r="BS359" t="s">
        <v>6983</v>
      </c>
      <c r="BT359" t="str">
        <f>HYPERLINK("https%3A%2F%2Fwww.webofscience.com%2Fwos%2Fwoscc%2Ffull-record%2FWOS:000406191400001","View Full Record in Web of Science")</f>
        <v>View Full Record in Web of Science</v>
      </c>
    </row>
    <row r="360" spans="1:72" x14ac:dyDescent="0.15">
      <c r="A360" t="s">
        <v>72</v>
      </c>
      <c r="B360" t="s">
        <v>6984</v>
      </c>
      <c r="C360" t="s">
        <v>74</v>
      </c>
      <c r="D360" t="s">
        <v>74</v>
      </c>
      <c r="E360" t="s">
        <v>74</v>
      </c>
      <c r="F360" t="s">
        <v>6985</v>
      </c>
      <c r="G360" t="s">
        <v>74</v>
      </c>
      <c r="H360" t="s">
        <v>74</v>
      </c>
      <c r="I360" t="s">
        <v>6986</v>
      </c>
      <c r="J360" t="s">
        <v>6987</v>
      </c>
      <c r="K360" t="s">
        <v>74</v>
      </c>
      <c r="L360" t="s">
        <v>74</v>
      </c>
      <c r="M360" t="s">
        <v>78</v>
      </c>
      <c r="N360" t="s">
        <v>79</v>
      </c>
      <c r="O360" t="s">
        <v>74</v>
      </c>
      <c r="P360" t="s">
        <v>74</v>
      </c>
      <c r="Q360" t="s">
        <v>74</v>
      </c>
      <c r="R360" t="s">
        <v>74</v>
      </c>
      <c r="S360" t="s">
        <v>74</v>
      </c>
      <c r="T360" t="s">
        <v>6988</v>
      </c>
      <c r="U360" t="s">
        <v>6989</v>
      </c>
      <c r="V360" t="s">
        <v>6990</v>
      </c>
      <c r="W360" t="s">
        <v>6991</v>
      </c>
      <c r="X360" t="s">
        <v>6992</v>
      </c>
      <c r="Y360" t="s">
        <v>6993</v>
      </c>
      <c r="Z360" t="s">
        <v>6994</v>
      </c>
      <c r="AA360" t="s">
        <v>6995</v>
      </c>
      <c r="AB360" t="s">
        <v>6996</v>
      </c>
      <c r="AC360" t="s">
        <v>6997</v>
      </c>
      <c r="AD360" t="s">
        <v>6998</v>
      </c>
      <c r="AE360" t="s">
        <v>6999</v>
      </c>
      <c r="AF360" t="s">
        <v>74</v>
      </c>
      <c r="AG360">
        <v>18</v>
      </c>
      <c r="AH360">
        <v>0</v>
      </c>
      <c r="AI360">
        <v>0</v>
      </c>
      <c r="AJ360">
        <v>0</v>
      </c>
      <c r="AK360">
        <v>3</v>
      </c>
      <c r="AL360" t="s">
        <v>7000</v>
      </c>
      <c r="AM360" t="s">
        <v>7001</v>
      </c>
      <c r="AN360" t="s">
        <v>7002</v>
      </c>
      <c r="AO360" t="s">
        <v>7003</v>
      </c>
      <c r="AP360" t="s">
        <v>7004</v>
      </c>
      <c r="AQ360" t="s">
        <v>74</v>
      </c>
      <c r="AR360" t="s">
        <v>6987</v>
      </c>
      <c r="AS360" t="s">
        <v>6987</v>
      </c>
      <c r="AT360" t="s">
        <v>74</v>
      </c>
      <c r="AU360">
        <v>2017</v>
      </c>
      <c r="AV360">
        <v>46</v>
      </c>
      <c r="AW360">
        <v>1</v>
      </c>
      <c r="AX360" t="s">
        <v>74</v>
      </c>
      <c r="AY360" t="s">
        <v>74</v>
      </c>
      <c r="AZ360" t="s">
        <v>74</v>
      </c>
      <c r="BA360" t="s">
        <v>74</v>
      </c>
      <c r="BB360">
        <v>125</v>
      </c>
      <c r="BC360">
        <v>132</v>
      </c>
      <c r="BD360" t="s">
        <v>74</v>
      </c>
      <c r="BE360" t="s">
        <v>74</v>
      </c>
      <c r="BF360" t="s">
        <v>74</v>
      </c>
      <c r="BG360" t="s">
        <v>74</v>
      </c>
      <c r="BH360" t="s">
        <v>74</v>
      </c>
      <c r="BI360">
        <v>8</v>
      </c>
      <c r="BJ360" t="s">
        <v>669</v>
      </c>
      <c r="BK360" t="s">
        <v>101</v>
      </c>
      <c r="BL360" t="s">
        <v>670</v>
      </c>
      <c r="BM360" t="s">
        <v>7005</v>
      </c>
      <c r="BN360" t="s">
        <v>74</v>
      </c>
      <c r="BO360" t="s">
        <v>74</v>
      </c>
      <c r="BP360" t="s">
        <v>74</v>
      </c>
      <c r="BQ360" t="s">
        <v>74</v>
      </c>
      <c r="BR360" t="s">
        <v>105</v>
      </c>
      <c r="BS360" t="s">
        <v>7006</v>
      </c>
      <c r="BT360" t="str">
        <f>HYPERLINK("https%3A%2F%2Fwww.webofscience.com%2Fwos%2Fwoscc%2Ffull-record%2FWOS:000405507800010","View Full Record in Web of Science")</f>
        <v>View Full Record in Web of Science</v>
      </c>
    </row>
    <row r="361" spans="1:72" x14ac:dyDescent="0.15">
      <c r="A361" t="s">
        <v>72</v>
      </c>
      <c r="B361" t="s">
        <v>7007</v>
      </c>
      <c r="C361" t="s">
        <v>74</v>
      </c>
      <c r="D361" t="s">
        <v>74</v>
      </c>
      <c r="E361" t="s">
        <v>74</v>
      </c>
      <c r="F361" t="s">
        <v>7008</v>
      </c>
      <c r="G361" t="s">
        <v>74</v>
      </c>
      <c r="H361" t="s">
        <v>74</v>
      </c>
      <c r="I361" t="s">
        <v>7009</v>
      </c>
      <c r="J361" t="s">
        <v>7010</v>
      </c>
      <c r="K361" t="s">
        <v>74</v>
      </c>
      <c r="L361" t="s">
        <v>74</v>
      </c>
      <c r="M361" t="s">
        <v>78</v>
      </c>
      <c r="N361" t="s">
        <v>79</v>
      </c>
      <c r="O361" t="s">
        <v>74</v>
      </c>
      <c r="P361" t="s">
        <v>74</v>
      </c>
      <c r="Q361" t="s">
        <v>74</v>
      </c>
      <c r="R361" t="s">
        <v>74</v>
      </c>
      <c r="S361" t="s">
        <v>74</v>
      </c>
      <c r="T361" t="s">
        <v>7011</v>
      </c>
      <c r="U361" t="s">
        <v>7012</v>
      </c>
      <c r="V361" t="s">
        <v>7013</v>
      </c>
      <c r="W361" t="s">
        <v>7014</v>
      </c>
      <c r="X361" t="s">
        <v>7015</v>
      </c>
      <c r="Y361" t="s">
        <v>7016</v>
      </c>
      <c r="Z361" t="s">
        <v>7017</v>
      </c>
      <c r="AA361" t="s">
        <v>74</v>
      </c>
      <c r="AB361" t="s">
        <v>7018</v>
      </c>
      <c r="AC361" t="s">
        <v>7019</v>
      </c>
      <c r="AD361" t="s">
        <v>7020</v>
      </c>
      <c r="AE361" t="s">
        <v>7021</v>
      </c>
      <c r="AF361" t="s">
        <v>74</v>
      </c>
      <c r="AG361">
        <v>72</v>
      </c>
      <c r="AH361">
        <v>4</v>
      </c>
      <c r="AI361">
        <v>4</v>
      </c>
      <c r="AJ361">
        <v>0</v>
      </c>
      <c r="AK361">
        <v>0</v>
      </c>
      <c r="AL361" t="s">
        <v>7022</v>
      </c>
      <c r="AM361" t="s">
        <v>4638</v>
      </c>
      <c r="AN361" t="s">
        <v>7023</v>
      </c>
      <c r="AO361" t="s">
        <v>7024</v>
      </c>
      <c r="AP361" t="s">
        <v>74</v>
      </c>
      <c r="AQ361" t="s">
        <v>74</v>
      </c>
      <c r="AR361" t="s">
        <v>7025</v>
      </c>
      <c r="AS361" t="s">
        <v>7026</v>
      </c>
      <c r="AT361" t="s">
        <v>74</v>
      </c>
      <c r="AU361">
        <v>2017</v>
      </c>
      <c r="AV361">
        <v>87</v>
      </c>
      <c r="AW361">
        <v>1</v>
      </c>
      <c r="AX361" t="s">
        <v>74</v>
      </c>
      <c r="AY361" t="s">
        <v>74</v>
      </c>
      <c r="AZ361" t="s">
        <v>74</v>
      </c>
      <c r="BA361" t="s">
        <v>74</v>
      </c>
      <c r="BB361">
        <v>41</v>
      </c>
      <c r="BC361">
        <v>53</v>
      </c>
      <c r="BD361" t="s">
        <v>74</v>
      </c>
      <c r="BE361" t="s">
        <v>7027</v>
      </c>
      <c r="BF361" t="str">
        <f>HYPERLINK("http://dx.doi.org/10.14241/asgp.2017.005","http://dx.doi.org/10.14241/asgp.2017.005")</f>
        <v>http://dx.doi.org/10.14241/asgp.2017.005</v>
      </c>
      <c r="BG361" t="s">
        <v>74</v>
      </c>
      <c r="BH361" t="s">
        <v>74</v>
      </c>
      <c r="BI361">
        <v>13</v>
      </c>
      <c r="BJ361" t="s">
        <v>670</v>
      </c>
      <c r="BK361" t="s">
        <v>101</v>
      </c>
      <c r="BL361" t="s">
        <v>670</v>
      </c>
      <c r="BM361" t="s">
        <v>7028</v>
      </c>
      <c r="BN361" t="s">
        <v>74</v>
      </c>
      <c r="BO361" t="s">
        <v>5447</v>
      </c>
      <c r="BP361" t="s">
        <v>74</v>
      </c>
      <c r="BQ361" t="s">
        <v>74</v>
      </c>
      <c r="BR361" t="s">
        <v>105</v>
      </c>
      <c r="BS361" t="s">
        <v>7029</v>
      </c>
      <c r="BT361" t="str">
        <f>HYPERLINK("https%3A%2F%2Fwww.webofscience.com%2Fwos%2Fwoscc%2Ffull-record%2FWOS:000405932900003","View Full Record in Web of Science")</f>
        <v>View Full Record in Web of Science</v>
      </c>
    </row>
    <row r="362" spans="1:72" x14ac:dyDescent="0.15">
      <c r="A362" t="s">
        <v>1823</v>
      </c>
      <c r="B362" t="s">
        <v>7030</v>
      </c>
      <c r="C362" t="s">
        <v>74</v>
      </c>
      <c r="D362" t="s">
        <v>7031</v>
      </c>
      <c r="E362" t="s">
        <v>74</v>
      </c>
      <c r="F362" t="s">
        <v>7032</v>
      </c>
      <c r="G362" t="s">
        <v>74</v>
      </c>
      <c r="H362" t="s">
        <v>74</v>
      </c>
      <c r="I362" t="s">
        <v>7033</v>
      </c>
      <c r="J362" t="s">
        <v>7034</v>
      </c>
      <c r="K362" t="s">
        <v>7035</v>
      </c>
      <c r="L362" t="s">
        <v>74</v>
      </c>
      <c r="M362" t="s">
        <v>78</v>
      </c>
      <c r="N362" t="s">
        <v>1829</v>
      </c>
      <c r="O362" t="s">
        <v>7036</v>
      </c>
      <c r="P362" t="s">
        <v>7037</v>
      </c>
      <c r="Q362" t="s">
        <v>7038</v>
      </c>
      <c r="R362" t="s">
        <v>74</v>
      </c>
      <c r="S362" t="s">
        <v>74</v>
      </c>
      <c r="T362" t="s">
        <v>74</v>
      </c>
      <c r="U362" t="s">
        <v>7039</v>
      </c>
      <c r="V362" t="s">
        <v>7040</v>
      </c>
      <c r="W362" t="s">
        <v>7041</v>
      </c>
      <c r="X362" t="s">
        <v>7042</v>
      </c>
      <c r="Y362" t="s">
        <v>7043</v>
      </c>
      <c r="Z362" t="s">
        <v>74</v>
      </c>
      <c r="AA362" t="s">
        <v>7044</v>
      </c>
      <c r="AB362" t="s">
        <v>74</v>
      </c>
      <c r="AC362" t="s">
        <v>7045</v>
      </c>
      <c r="AD362" t="s">
        <v>7046</v>
      </c>
      <c r="AE362" t="s">
        <v>7047</v>
      </c>
      <c r="AF362" t="s">
        <v>74</v>
      </c>
      <c r="AG362">
        <v>83</v>
      </c>
      <c r="AH362">
        <v>0</v>
      </c>
      <c r="AI362">
        <v>0</v>
      </c>
      <c r="AJ362">
        <v>0</v>
      </c>
      <c r="AK362">
        <v>9</v>
      </c>
      <c r="AL362" t="s">
        <v>3732</v>
      </c>
      <c r="AM362" t="s">
        <v>3733</v>
      </c>
      <c r="AN362" t="s">
        <v>3734</v>
      </c>
      <c r="AO362" t="s">
        <v>74</v>
      </c>
      <c r="AP362" t="s">
        <v>74</v>
      </c>
      <c r="AQ362" t="s">
        <v>7048</v>
      </c>
      <c r="AR362" t="s">
        <v>7049</v>
      </c>
      <c r="AS362" t="s">
        <v>74</v>
      </c>
      <c r="AT362" t="s">
        <v>74</v>
      </c>
      <c r="AU362">
        <v>2017</v>
      </c>
      <c r="AV362">
        <v>53</v>
      </c>
      <c r="AW362" t="s">
        <v>74</v>
      </c>
      <c r="AX362" t="s">
        <v>74</v>
      </c>
      <c r="AY362" t="s">
        <v>74</v>
      </c>
      <c r="AZ362" t="s">
        <v>74</v>
      </c>
      <c r="BA362" t="s">
        <v>74</v>
      </c>
      <c r="BB362" t="s">
        <v>74</v>
      </c>
      <c r="BC362" t="s">
        <v>74</v>
      </c>
      <c r="BD362" t="s">
        <v>74</v>
      </c>
      <c r="BE362" t="s">
        <v>74</v>
      </c>
      <c r="BF362" t="s">
        <v>74</v>
      </c>
      <c r="BG362" t="s">
        <v>74</v>
      </c>
      <c r="BH362" t="s">
        <v>74</v>
      </c>
      <c r="BI362">
        <v>17</v>
      </c>
      <c r="BJ362" t="s">
        <v>7050</v>
      </c>
      <c r="BK362" t="s">
        <v>1844</v>
      </c>
      <c r="BL362" t="s">
        <v>3737</v>
      </c>
      <c r="BM362" t="s">
        <v>7051</v>
      </c>
      <c r="BN362" t="s">
        <v>74</v>
      </c>
      <c r="BO362" t="s">
        <v>74</v>
      </c>
      <c r="BP362" t="s">
        <v>74</v>
      </c>
      <c r="BQ362" t="s">
        <v>74</v>
      </c>
      <c r="BR362" t="s">
        <v>105</v>
      </c>
      <c r="BS362" t="s">
        <v>7052</v>
      </c>
      <c r="BT362" t="str">
        <f>HYPERLINK("https%3A%2F%2Fwww.webofscience.com%2Fwos%2Fwoscc%2Ffull-record%2FWOS:000405225000007","View Full Record in Web of Science")</f>
        <v>View Full Record in Web of Science</v>
      </c>
    </row>
    <row r="363" spans="1:72" x14ac:dyDescent="0.15">
      <c r="A363" t="s">
        <v>72</v>
      </c>
      <c r="B363" t="s">
        <v>7053</v>
      </c>
      <c r="C363" t="s">
        <v>74</v>
      </c>
      <c r="D363" t="s">
        <v>74</v>
      </c>
      <c r="E363" t="s">
        <v>74</v>
      </c>
      <c r="F363" t="s">
        <v>7054</v>
      </c>
      <c r="G363" t="s">
        <v>74</v>
      </c>
      <c r="H363" t="s">
        <v>74</v>
      </c>
      <c r="I363" t="s">
        <v>7055</v>
      </c>
      <c r="J363" t="s">
        <v>3321</v>
      </c>
      <c r="K363" t="s">
        <v>74</v>
      </c>
      <c r="L363" t="s">
        <v>74</v>
      </c>
      <c r="M363" t="s">
        <v>78</v>
      </c>
      <c r="N363" t="s">
        <v>79</v>
      </c>
      <c r="O363" t="s">
        <v>74</v>
      </c>
      <c r="P363" t="s">
        <v>74</v>
      </c>
      <c r="Q363" t="s">
        <v>74</v>
      </c>
      <c r="R363" t="s">
        <v>74</v>
      </c>
      <c r="S363" t="s">
        <v>74</v>
      </c>
      <c r="T363" t="s">
        <v>7056</v>
      </c>
      <c r="U363" t="s">
        <v>7057</v>
      </c>
      <c r="V363" t="s">
        <v>7058</v>
      </c>
      <c r="W363" t="s">
        <v>7059</v>
      </c>
      <c r="X363" t="s">
        <v>7060</v>
      </c>
      <c r="Y363" t="s">
        <v>7061</v>
      </c>
      <c r="Z363" t="s">
        <v>7062</v>
      </c>
      <c r="AA363" t="s">
        <v>7063</v>
      </c>
      <c r="AB363" t="s">
        <v>7064</v>
      </c>
      <c r="AC363" t="s">
        <v>7065</v>
      </c>
      <c r="AD363" t="s">
        <v>7066</v>
      </c>
      <c r="AE363" t="s">
        <v>7067</v>
      </c>
      <c r="AF363" t="s">
        <v>74</v>
      </c>
      <c r="AG363">
        <v>74</v>
      </c>
      <c r="AH363">
        <v>5</v>
      </c>
      <c r="AI363">
        <v>5</v>
      </c>
      <c r="AJ363">
        <v>0</v>
      </c>
      <c r="AK363">
        <v>3</v>
      </c>
      <c r="AL363" t="s">
        <v>3333</v>
      </c>
      <c r="AM363" t="s">
        <v>1553</v>
      </c>
      <c r="AN363" t="s">
        <v>1554</v>
      </c>
      <c r="AO363" t="s">
        <v>3334</v>
      </c>
      <c r="AP363" t="s">
        <v>3335</v>
      </c>
      <c r="AQ363" t="s">
        <v>74</v>
      </c>
      <c r="AR363" t="s">
        <v>3321</v>
      </c>
      <c r="AS363" t="s">
        <v>3336</v>
      </c>
      <c r="AT363" t="s">
        <v>74</v>
      </c>
      <c r="AU363">
        <v>2017</v>
      </c>
      <c r="AV363" t="s">
        <v>74</v>
      </c>
      <c r="AW363">
        <v>684</v>
      </c>
      <c r="AX363" t="s">
        <v>74</v>
      </c>
      <c r="AY363" t="s">
        <v>74</v>
      </c>
      <c r="AZ363" t="s">
        <v>74</v>
      </c>
      <c r="BA363" t="s">
        <v>74</v>
      </c>
      <c r="BB363">
        <v>19</v>
      </c>
      <c r="BC363">
        <v>56</v>
      </c>
      <c r="BD363" t="s">
        <v>74</v>
      </c>
      <c r="BE363" t="s">
        <v>7068</v>
      </c>
      <c r="BF363" t="str">
        <f>HYPERLINK("http://dx.doi.org/10.3897/zookeys.684.13249","http://dx.doi.org/10.3897/zookeys.684.13249")</f>
        <v>http://dx.doi.org/10.3897/zookeys.684.13249</v>
      </c>
      <c r="BG363" t="s">
        <v>74</v>
      </c>
      <c r="BH363" t="s">
        <v>74</v>
      </c>
      <c r="BI363">
        <v>38</v>
      </c>
      <c r="BJ363" t="s">
        <v>643</v>
      </c>
      <c r="BK363" t="s">
        <v>101</v>
      </c>
      <c r="BL363" t="s">
        <v>643</v>
      </c>
      <c r="BM363" t="s">
        <v>7069</v>
      </c>
      <c r="BN363">
        <v>28769732</v>
      </c>
      <c r="BO363" t="s">
        <v>7070</v>
      </c>
      <c r="BP363" t="s">
        <v>74</v>
      </c>
      <c r="BQ363" t="s">
        <v>74</v>
      </c>
      <c r="BR363" t="s">
        <v>105</v>
      </c>
      <c r="BS363" t="s">
        <v>7071</v>
      </c>
      <c r="BT363" t="str">
        <f>HYPERLINK("https%3A%2F%2Fwww.webofscience.com%2Fwos%2Fwoscc%2Ffull-record%2FWOS:000405418300002","View Full Record in Web of Science")</f>
        <v>View Full Record in Web of Science</v>
      </c>
    </row>
    <row r="364" spans="1:72" x14ac:dyDescent="0.15">
      <c r="A364" t="s">
        <v>72</v>
      </c>
      <c r="B364" t="s">
        <v>7072</v>
      </c>
      <c r="C364" t="s">
        <v>74</v>
      </c>
      <c r="D364" t="s">
        <v>74</v>
      </c>
      <c r="E364" t="s">
        <v>74</v>
      </c>
      <c r="F364" t="s">
        <v>7073</v>
      </c>
      <c r="G364" t="s">
        <v>74</v>
      </c>
      <c r="H364" t="s">
        <v>74</v>
      </c>
      <c r="I364" t="s">
        <v>7074</v>
      </c>
      <c r="J364" t="s">
        <v>3321</v>
      </c>
      <c r="K364" t="s">
        <v>74</v>
      </c>
      <c r="L364" t="s">
        <v>74</v>
      </c>
      <c r="M364" t="s">
        <v>78</v>
      </c>
      <c r="N364" t="s">
        <v>7075</v>
      </c>
      <c r="O364" t="s">
        <v>74</v>
      </c>
      <c r="P364" t="s">
        <v>74</v>
      </c>
      <c r="Q364" t="s">
        <v>74</v>
      </c>
      <c r="R364" t="s">
        <v>74</v>
      </c>
      <c r="S364" t="s">
        <v>74</v>
      </c>
      <c r="T364" t="s">
        <v>74</v>
      </c>
      <c r="U364" t="s">
        <v>74</v>
      </c>
      <c r="V364" t="s">
        <v>74</v>
      </c>
      <c r="W364" t="s">
        <v>7076</v>
      </c>
      <c r="X364" t="s">
        <v>7077</v>
      </c>
      <c r="Y364" t="s">
        <v>7078</v>
      </c>
      <c r="Z364" t="s">
        <v>7079</v>
      </c>
      <c r="AA364" t="s">
        <v>74</v>
      </c>
      <c r="AB364" t="s">
        <v>74</v>
      </c>
      <c r="AC364" t="s">
        <v>7080</v>
      </c>
      <c r="AD364" t="s">
        <v>7081</v>
      </c>
      <c r="AE364" t="s">
        <v>7082</v>
      </c>
      <c r="AF364" t="s">
        <v>74</v>
      </c>
      <c r="AG364">
        <v>1</v>
      </c>
      <c r="AH364">
        <v>0</v>
      </c>
      <c r="AI364">
        <v>0</v>
      </c>
      <c r="AJ364">
        <v>0</v>
      </c>
      <c r="AK364">
        <v>1</v>
      </c>
      <c r="AL364" t="s">
        <v>3333</v>
      </c>
      <c r="AM364" t="s">
        <v>1553</v>
      </c>
      <c r="AN364" t="s">
        <v>1554</v>
      </c>
      <c r="AO364" t="s">
        <v>3334</v>
      </c>
      <c r="AP364" t="s">
        <v>3335</v>
      </c>
      <c r="AQ364" t="s">
        <v>74</v>
      </c>
      <c r="AR364" t="s">
        <v>3321</v>
      </c>
      <c r="AS364" t="s">
        <v>3336</v>
      </c>
      <c r="AT364" t="s">
        <v>74</v>
      </c>
      <c r="AU364">
        <v>2017</v>
      </c>
      <c r="AV364" t="s">
        <v>74</v>
      </c>
      <c r="AW364">
        <v>683</v>
      </c>
      <c r="AX364" t="s">
        <v>74</v>
      </c>
      <c r="AY364" t="s">
        <v>74</v>
      </c>
      <c r="AZ364" t="s">
        <v>74</v>
      </c>
      <c r="BA364" t="s">
        <v>74</v>
      </c>
      <c r="BB364">
        <v>151</v>
      </c>
      <c r="BC364">
        <v>151</v>
      </c>
      <c r="BD364" t="s">
        <v>74</v>
      </c>
      <c r="BE364" t="s">
        <v>7083</v>
      </c>
      <c r="BF364" t="str">
        <f>HYPERLINK("http://dx.doi.org/10.3897/zookeys.683.14669","http://dx.doi.org/10.3897/zookeys.683.14669")</f>
        <v>http://dx.doi.org/10.3897/zookeys.683.14669</v>
      </c>
      <c r="BG364" t="s">
        <v>74</v>
      </c>
      <c r="BH364" t="s">
        <v>74</v>
      </c>
      <c r="BI364">
        <v>1</v>
      </c>
      <c r="BJ364" t="s">
        <v>643</v>
      </c>
      <c r="BK364" t="s">
        <v>101</v>
      </c>
      <c r="BL364" t="s">
        <v>643</v>
      </c>
      <c r="BM364" t="s">
        <v>7084</v>
      </c>
      <c r="BN364">
        <v>28824282</v>
      </c>
      <c r="BO364" t="s">
        <v>150</v>
      </c>
      <c r="BP364" t="s">
        <v>74</v>
      </c>
      <c r="BQ364" t="s">
        <v>74</v>
      </c>
      <c r="BR364" t="s">
        <v>105</v>
      </c>
      <c r="BS364" t="s">
        <v>7085</v>
      </c>
      <c r="BT364" t="str">
        <f>HYPERLINK("https%3A%2F%2Fwww.webofscience.com%2Fwos%2Fwoscc%2Ffull-record%2FWOS:000405418000002","View Full Record in Web of Science")</f>
        <v>View Full Record in Web of Science</v>
      </c>
    </row>
    <row r="365" spans="1:72" x14ac:dyDescent="0.15">
      <c r="A365" t="s">
        <v>1823</v>
      </c>
      <c r="B365" t="s">
        <v>7086</v>
      </c>
      <c r="C365" t="s">
        <v>74</v>
      </c>
      <c r="D365" t="s">
        <v>7087</v>
      </c>
      <c r="E365" t="s">
        <v>74</v>
      </c>
      <c r="F365" t="s">
        <v>7088</v>
      </c>
      <c r="G365" t="s">
        <v>74</v>
      </c>
      <c r="H365" t="s">
        <v>74</v>
      </c>
      <c r="I365" t="s">
        <v>7089</v>
      </c>
      <c r="J365" t="s">
        <v>7090</v>
      </c>
      <c r="K365" t="s">
        <v>7091</v>
      </c>
      <c r="L365" t="s">
        <v>74</v>
      </c>
      <c r="M365" t="s">
        <v>78</v>
      </c>
      <c r="N365" t="s">
        <v>1829</v>
      </c>
      <c r="O365" t="s">
        <v>7092</v>
      </c>
      <c r="P365" t="s">
        <v>7093</v>
      </c>
      <c r="Q365" t="s">
        <v>7094</v>
      </c>
      <c r="R365" t="s">
        <v>74</v>
      </c>
      <c r="S365" t="s">
        <v>7095</v>
      </c>
      <c r="T365" t="s">
        <v>74</v>
      </c>
      <c r="U365" t="s">
        <v>74</v>
      </c>
      <c r="V365" t="s">
        <v>7096</v>
      </c>
      <c r="W365" t="s">
        <v>7097</v>
      </c>
      <c r="X365" t="s">
        <v>7098</v>
      </c>
      <c r="Y365" t="s">
        <v>7099</v>
      </c>
      <c r="Z365" t="s">
        <v>7100</v>
      </c>
      <c r="AA365" t="s">
        <v>7101</v>
      </c>
      <c r="AB365" t="s">
        <v>7102</v>
      </c>
      <c r="AC365" t="s">
        <v>7103</v>
      </c>
      <c r="AD365" t="s">
        <v>7103</v>
      </c>
      <c r="AE365" t="s">
        <v>7104</v>
      </c>
      <c r="AF365" t="s">
        <v>74</v>
      </c>
      <c r="AG365">
        <v>4</v>
      </c>
      <c r="AH365">
        <v>0</v>
      </c>
      <c r="AI365">
        <v>0</v>
      </c>
      <c r="AJ365">
        <v>1</v>
      </c>
      <c r="AK365">
        <v>4</v>
      </c>
      <c r="AL365" t="s">
        <v>7105</v>
      </c>
      <c r="AM365" t="s">
        <v>7106</v>
      </c>
      <c r="AN365" t="s">
        <v>7107</v>
      </c>
      <c r="AO365" t="s">
        <v>7108</v>
      </c>
      <c r="AP365" t="s">
        <v>74</v>
      </c>
      <c r="AQ365" t="s">
        <v>7109</v>
      </c>
      <c r="AR365" t="s">
        <v>7110</v>
      </c>
      <c r="AS365" t="s">
        <v>74</v>
      </c>
      <c r="AT365" t="s">
        <v>74</v>
      </c>
      <c r="AU365">
        <v>2017</v>
      </c>
      <c r="AV365">
        <v>1810</v>
      </c>
      <c r="AW365" t="s">
        <v>74</v>
      </c>
      <c r="AX365" t="s">
        <v>74</v>
      </c>
      <c r="AY365" t="s">
        <v>74</v>
      </c>
      <c r="AZ365" t="s">
        <v>74</v>
      </c>
      <c r="BA365" t="s">
        <v>74</v>
      </c>
      <c r="BB365" t="s">
        <v>74</v>
      </c>
      <c r="BC365" t="s">
        <v>74</v>
      </c>
      <c r="BD365">
        <v>60001</v>
      </c>
      <c r="BE365" t="s">
        <v>7111</v>
      </c>
      <c r="BF365" t="str">
        <f>HYPERLINK("http://dx.doi.org/10.1063/1.4975517","http://dx.doi.org/10.1063/1.4975517")</f>
        <v>http://dx.doi.org/10.1063/1.4975517</v>
      </c>
      <c r="BG365" t="s">
        <v>74</v>
      </c>
      <c r="BH365" t="s">
        <v>74</v>
      </c>
      <c r="BI365">
        <v>4</v>
      </c>
      <c r="BJ365" t="s">
        <v>981</v>
      </c>
      <c r="BK365" t="s">
        <v>1844</v>
      </c>
      <c r="BL365" t="s">
        <v>982</v>
      </c>
      <c r="BM365" t="s">
        <v>7112</v>
      </c>
      <c r="BN365" t="s">
        <v>74</v>
      </c>
      <c r="BO365" t="s">
        <v>672</v>
      </c>
      <c r="BP365" t="s">
        <v>74</v>
      </c>
      <c r="BQ365" t="s">
        <v>74</v>
      </c>
      <c r="BR365" t="s">
        <v>105</v>
      </c>
      <c r="BS365" t="s">
        <v>7113</v>
      </c>
      <c r="BT365" t="str">
        <f>HYPERLINK("https%3A%2F%2Fwww.webofscience.com%2Fwos%2Fwoscc%2Ffull-record%2FWOS:000405218500021","View Full Record in Web of Science")</f>
        <v>View Full Record in Web of Science</v>
      </c>
    </row>
    <row r="366" spans="1:72" x14ac:dyDescent="0.15">
      <c r="A366" t="s">
        <v>1823</v>
      </c>
      <c r="B366" t="s">
        <v>7114</v>
      </c>
      <c r="C366" t="s">
        <v>74</v>
      </c>
      <c r="D366" t="s">
        <v>7087</v>
      </c>
      <c r="E366" t="s">
        <v>74</v>
      </c>
      <c r="F366" t="s">
        <v>7115</v>
      </c>
      <c r="G366" t="s">
        <v>74</v>
      </c>
      <c r="H366" t="s">
        <v>74</v>
      </c>
      <c r="I366" t="s">
        <v>7116</v>
      </c>
      <c r="J366" t="s">
        <v>7090</v>
      </c>
      <c r="K366" t="s">
        <v>7091</v>
      </c>
      <c r="L366" t="s">
        <v>74</v>
      </c>
      <c r="M366" t="s">
        <v>78</v>
      </c>
      <c r="N366" t="s">
        <v>1829</v>
      </c>
      <c r="O366" t="s">
        <v>7092</v>
      </c>
      <c r="P366" t="s">
        <v>7093</v>
      </c>
      <c r="Q366" t="s">
        <v>7094</v>
      </c>
      <c r="R366" t="s">
        <v>74</v>
      </c>
      <c r="S366" t="s">
        <v>7095</v>
      </c>
      <c r="T366" t="s">
        <v>74</v>
      </c>
      <c r="U366" t="s">
        <v>7117</v>
      </c>
      <c r="V366" t="s">
        <v>7118</v>
      </c>
      <c r="W366" t="s">
        <v>7119</v>
      </c>
      <c r="X366" t="s">
        <v>7120</v>
      </c>
      <c r="Y366" t="s">
        <v>7121</v>
      </c>
      <c r="Z366" t="s">
        <v>7122</v>
      </c>
      <c r="AA366" t="s">
        <v>7123</v>
      </c>
      <c r="AB366" t="s">
        <v>7124</v>
      </c>
      <c r="AC366" t="s">
        <v>7125</v>
      </c>
      <c r="AD366" t="s">
        <v>7126</v>
      </c>
      <c r="AE366" t="s">
        <v>7127</v>
      </c>
      <c r="AF366" t="s">
        <v>74</v>
      </c>
      <c r="AG366">
        <v>9</v>
      </c>
      <c r="AH366">
        <v>1</v>
      </c>
      <c r="AI366">
        <v>1</v>
      </c>
      <c r="AJ366">
        <v>0</v>
      </c>
      <c r="AK366">
        <v>4</v>
      </c>
      <c r="AL366" t="s">
        <v>7105</v>
      </c>
      <c r="AM366" t="s">
        <v>7106</v>
      </c>
      <c r="AN366" t="s">
        <v>7107</v>
      </c>
      <c r="AO366" t="s">
        <v>7108</v>
      </c>
      <c r="AP366" t="s">
        <v>74</v>
      </c>
      <c r="AQ366" t="s">
        <v>7109</v>
      </c>
      <c r="AR366" t="s">
        <v>7110</v>
      </c>
      <c r="AS366" t="s">
        <v>74</v>
      </c>
      <c r="AT366" t="s">
        <v>74</v>
      </c>
      <c r="AU366">
        <v>2017</v>
      </c>
      <c r="AV366">
        <v>1810</v>
      </c>
      <c r="AW366" t="s">
        <v>74</v>
      </c>
      <c r="AX366" t="s">
        <v>74</v>
      </c>
      <c r="AY366" t="s">
        <v>74</v>
      </c>
      <c r="AZ366" t="s">
        <v>74</v>
      </c>
      <c r="BA366" t="s">
        <v>74</v>
      </c>
      <c r="BB366" t="s">
        <v>74</v>
      </c>
      <c r="BC366" t="s">
        <v>74</v>
      </c>
      <c r="BD366">
        <v>100005</v>
      </c>
      <c r="BE366" t="s">
        <v>7128</v>
      </c>
      <c r="BF366" t="str">
        <f>HYPERLINK("http://dx.doi.org/10.1063/1.4975560","http://dx.doi.org/10.1063/1.4975560")</f>
        <v>http://dx.doi.org/10.1063/1.4975560</v>
      </c>
      <c r="BG366" t="s">
        <v>74</v>
      </c>
      <c r="BH366" t="s">
        <v>74</v>
      </c>
      <c r="BI366">
        <v>4</v>
      </c>
      <c r="BJ366" t="s">
        <v>981</v>
      </c>
      <c r="BK366" t="s">
        <v>1844</v>
      </c>
      <c r="BL366" t="s">
        <v>982</v>
      </c>
      <c r="BM366" t="s">
        <v>7112</v>
      </c>
      <c r="BN366" t="s">
        <v>74</v>
      </c>
      <c r="BO366" t="s">
        <v>672</v>
      </c>
      <c r="BP366" t="s">
        <v>74</v>
      </c>
      <c r="BQ366" t="s">
        <v>74</v>
      </c>
      <c r="BR366" t="s">
        <v>105</v>
      </c>
      <c r="BS366" t="s">
        <v>7129</v>
      </c>
      <c r="BT366" t="str">
        <f>HYPERLINK("https%3A%2F%2Fwww.webofscience.com%2Fwos%2Fwoscc%2Ffull-record%2FWOS:000405218500064","View Full Record in Web of Science")</f>
        <v>View Full Record in Web of Science</v>
      </c>
    </row>
    <row r="367" spans="1:72" x14ac:dyDescent="0.15">
      <c r="A367" t="s">
        <v>1823</v>
      </c>
      <c r="B367" t="s">
        <v>7130</v>
      </c>
      <c r="C367" t="s">
        <v>74</v>
      </c>
      <c r="D367" t="s">
        <v>7087</v>
      </c>
      <c r="E367" t="s">
        <v>74</v>
      </c>
      <c r="F367" t="s">
        <v>7131</v>
      </c>
      <c r="G367" t="s">
        <v>74</v>
      </c>
      <c r="H367" t="s">
        <v>74</v>
      </c>
      <c r="I367" t="s">
        <v>7132</v>
      </c>
      <c r="J367" t="s">
        <v>7090</v>
      </c>
      <c r="K367" t="s">
        <v>7091</v>
      </c>
      <c r="L367" t="s">
        <v>74</v>
      </c>
      <c r="M367" t="s">
        <v>78</v>
      </c>
      <c r="N367" t="s">
        <v>1829</v>
      </c>
      <c r="O367" t="s">
        <v>7092</v>
      </c>
      <c r="P367" t="s">
        <v>7093</v>
      </c>
      <c r="Q367" t="s">
        <v>7094</v>
      </c>
      <c r="R367" t="s">
        <v>74</v>
      </c>
      <c r="S367" t="s">
        <v>7095</v>
      </c>
      <c r="T367" t="s">
        <v>74</v>
      </c>
      <c r="U367" t="s">
        <v>7133</v>
      </c>
      <c r="V367" t="s">
        <v>7134</v>
      </c>
      <c r="W367" t="s">
        <v>7135</v>
      </c>
      <c r="X367" t="s">
        <v>7136</v>
      </c>
      <c r="Y367" t="s">
        <v>7137</v>
      </c>
      <c r="Z367" t="s">
        <v>7138</v>
      </c>
      <c r="AA367" t="s">
        <v>7139</v>
      </c>
      <c r="AB367" t="s">
        <v>7140</v>
      </c>
      <c r="AC367" t="s">
        <v>7141</v>
      </c>
      <c r="AD367" t="s">
        <v>7141</v>
      </c>
      <c r="AE367" t="s">
        <v>7142</v>
      </c>
      <c r="AF367" t="s">
        <v>74</v>
      </c>
      <c r="AG367">
        <v>10</v>
      </c>
      <c r="AH367">
        <v>2</v>
      </c>
      <c r="AI367">
        <v>2</v>
      </c>
      <c r="AJ367">
        <v>0</v>
      </c>
      <c r="AK367">
        <v>4</v>
      </c>
      <c r="AL367" t="s">
        <v>7105</v>
      </c>
      <c r="AM367" t="s">
        <v>7106</v>
      </c>
      <c r="AN367" t="s">
        <v>7107</v>
      </c>
      <c r="AO367" t="s">
        <v>7108</v>
      </c>
      <c r="AP367" t="s">
        <v>74</v>
      </c>
      <c r="AQ367" t="s">
        <v>7109</v>
      </c>
      <c r="AR367" t="s">
        <v>7110</v>
      </c>
      <c r="AS367" t="s">
        <v>74</v>
      </c>
      <c r="AT367" t="s">
        <v>74</v>
      </c>
      <c r="AU367">
        <v>2017</v>
      </c>
      <c r="AV367">
        <v>1810</v>
      </c>
      <c r="AW367" t="s">
        <v>74</v>
      </c>
      <c r="AX367" t="s">
        <v>74</v>
      </c>
      <c r="AY367" t="s">
        <v>74</v>
      </c>
      <c r="AZ367" t="s">
        <v>74</v>
      </c>
      <c r="BA367" t="s">
        <v>74</v>
      </c>
      <c r="BB367" t="s">
        <v>74</v>
      </c>
      <c r="BC367" t="s">
        <v>74</v>
      </c>
      <c r="BD367">
        <v>110012</v>
      </c>
      <c r="BE367" t="s">
        <v>7143</v>
      </c>
      <c r="BF367" t="str">
        <f>HYPERLINK("http://dx.doi.org/10.1063/1.4975574","http://dx.doi.org/10.1063/1.4975574")</f>
        <v>http://dx.doi.org/10.1063/1.4975574</v>
      </c>
      <c r="BG367" t="s">
        <v>74</v>
      </c>
      <c r="BH367" t="s">
        <v>74</v>
      </c>
      <c r="BI367">
        <v>4</v>
      </c>
      <c r="BJ367" t="s">
        <v>981</v>
      </c>
      <c r="BK367" t="s">
        <v>1844</v>
      </c>
      <c r="BL367" t="s">
        <v>982</v>
      </c>
      <c r="BM367" t="s">
        <v>7112</v>
      </c>
      <c r="BN367" t="s">
        <v>74</v>
      </c>
      <c r="BO367" t="s">
        <v>1803</v>
      </c>
      <c r="BP367" t="s">
        <v>74</v>
      </c>
      <c r="BQ367" t="s">
        <v>74</v>
      </c>
      <c r="BR367" t="s">
        <v>105</v>
      </c>
      <c r="BS367" t="s">
        <v>7144</v>
      </c>
      <c r="BT367" t="str">
        <f>HYPERLINK("https%3A%2F%2Fwww.webofscience.com%2Fwos%2Fwoscc%2Ffull-record%2FWOS:000405218500078","View Full Record in Web of Science")</f>
        <v>View Full Record in Web of Science</v>
      </c>
    </row>
    <row r="368" spans="1:72" x14ac:dyDescent="0.15">
      <c r="A368" t="s">
        <v>72</v>
      </c>
      <c r="B368" t="s">
        <v>7145</v>
      </c>
      <c r="C368" t="s">
        <v>74</v>
      </c>
      <c r="D368" t="s">
        <v>74</v>
      </c>
      <c r="E368" t="s">
        <v>74</v>
      </c>
      <c r="F368" t="s">
        <v>7146</v>
      </c>
      <c r="G368" t="s">
        <v>74</v>
      </c>
      <c r="H368" t="s">
        <v>74</v>
      </c>
      <c r="I368" t="s">
        <v>7147</v>
      </c>
      <c r="J368" t="s">
        <v>7148</v>
      </c>
      <c r="K368" t="s">
        <v>74</v>
      </c>
      <c r="L368" t="s">
        <v>74</v>
      </c>
      <c r="M368" t="s">
        <v>4517</v>
      </c>
      <c r="N368" t="s">
        <v>79</v>
      </c>
      <c r="O368" t="s">
        <v>74</v>
      </c>
      <c r="P368" t="s">
        <v>74</v>
      </c>
      <c r="Q368" t="s">
        <v>74</v>
      </c>
      <c r="R368" t="s">
        <v>74</v>
      </c>
      <c r="S368" t="s">
        <v>74</v>
      </c>
      <c r="T368" t="s">
        <v>7149</v>
      </c>
      <c r="U368" t="s">
        <v>7150</v>
      </c>
      <c r="V368" t="s">
        <v>7151</v>
      </c>
      <c r="W368" t="s">
        <v>7152</v>
      </c>
      <c r="X368" t="s">
        <v>7153</v>
      </c>
      <c r="Y368" t="s">
        <v>7154</v>
      </c>
      <c r="Z368" t="s">
        <v>7155</v>
      </c>
      <c r="AA368" t="s">
        <v>7156</v>
      </c>
      <c r="AB368" t="s">
        <v>74</v>
      </c>
      <c r="AC368" t="s">
        <v>74</v>
      </c>
      <c r="AD368" t="s">
        <v>74</v>
      </c>
      <c r="AE368" t="s">
        <v>74</v>
      </c>
      <c r="AF368" t="s">
        <v>74</v>
      </c>
      <c r="AG368">
        <v>34</v>
      </c>
      <c r="AH368">
        <v>1</v>
      </c>
      <c r="AI368">
        <v>1</v>
      </c>
      <c r="AJ368">
        <v>0</v>
      </c>
      <c r="AK368">
        <v>6</v>
      </c>
      <c r="AL368" t="s">
        <v>7157</v>
      </c>
      <c r="AM368" t="s">
        <v>7158</v>
      </c>
      <c r="AN368" t="s">
        <v>7159</v>
      </c>
      <c r="AO368" t="s">
        <v>7160</v>
      </c>
      <c r="AP368" t="s">
        <v>74</v>
      </c>
      <c r="AQ368" t="s">
        <v>74</v>
      </c>
      <c r="AR368" t="s">
        <v>7161</v>
      </c>
      <c r="AS368" t="s">
        <v>7162</v>
      </c>
      <c r="AT368" t="s">
        <v>7163</v>
      </c>
      <c r="AU368">
        <v>2017</v>
      </c>
      <c r="AV368">
        <v>20</v>
      </c>
      <c r="AW368">
        <v>1</v>
      </c>
      <c r="AX368" t="s">
        <v>74</v>
      </c>
      <c r="AY368" t="s">
        <v>74</v>
      </c>
      <c r="AZ368" t="s">
        <v>74</v>
      </c>
      <c r="BA368" t="s">
        <v>74</v>
      </c>
      <c r="BB368">
        <v>101</v>
      </c>
      <c r="BC368">
        <v>114</v>
      </c>
      <c r="BD368" t="s">
        <v>74</v>
      </c>
      <c r="BE368" t="s">
        <v>7164</v>
      </c>
      <c r="BF368" t="str">
        <f>HYPERLINK("http://dx.doi.org/10.4072/rbp.2017.1.08","http://dx.doi.org/10.4072/rbp.2017.1.08")</f>
        <v>http://dx.doi.org/10.4072/rbp.2017.1.08</v>
      </c>
      <c r="BG368" t="s">
        <v>74</v>
      </c>
      <c r="BH368" t="s">
        <v>74</v>
      </c>
      <c r="BI368">
        <v>14</v>
      </c>
      <c r="BJ368" t="s">
        <v>2699</v>
      </c>
      <c r="BK368" t="s">
        <v>101</v>
      </c>
      <c r="BL368" t="s">
        <v>2699</v>
      </c>
      <c r="BM368" t="s">
        <v>7165</v>
      </c>
      <c r="BN368" t="s">
        <v>74</v>
      </c>
      <c r="BO368" t="s">
        <v>672</v>
      </c>
      <c r="BP368" t="s">
        <v>74</v>
      </c>
      <c r="BQ368" t="s">
        <v>74</v>
      </c>
      <c r="BR368" t="s">
        <v>105</v>
      </c>
      <c r="BS368" t="s">
        <v>7166</v>
      </c>
      <c r="BT368" t="str">
        <f>HYPERLINK("https%3A%2F%2Fwww.webofscience.com%2Fwos%2Fwoscc%2Ffull-record%2FWOS:000404422200008","View Full Record in Web of Science")</f>
        <v>View Full Record in Web of Science</v>
      </c>
    </row>
    <row r="369" spans="1:72" x14ac:dyDescent="0.15">
      <c r="A369" t="s">
        <v>72</v>
      </c>
      <c r="B369" t="s">
        <v>7167</v>
      </c>
      <c r="C369" t="s">
        <v>74</v>
      </c>
      <c r="D369" t="s">
        <v>74</v>
      </c>
      <c r="E369" t="s">
        <v>74</v>
      </c>
      <c r="F369" t="s">
        <v>7168</v>
      </c>
      <c r="G369" t="s">
        <v>74</v>
      </c>
      <c r="H369" t="s">
        <v>74</v>
      </c>
      <c r="I369" t="s">
        <v>7169</v>
      </c>
      <c r="J369" t="s">
        <v>7170</v>
      </c>
      <c r="K369" t="s">
        <v>74</v>
      </c>
      <c r="L369" t="s">
        <v>74</v>
      </c>
      <c r="M369" t="s">
        <v>78</v>
      </c>
      <c r="N369" t="s">
        <v>79</v>
      </c>
      <c r="O369" t="s">
        <v>74</v>
      </c>
      <c r="P369" t="s">
        <v>74</v>
      </c>
      <c r="Q369" t="s">
        <v>74</v>
      </c>
      <c r="R369" t="s">
        <v>74</v>
      </c>
      <c r="S369" t="s">
        <v>74</v>
      </c>
      <c r="T369" t="s">
        <v>7171</v>
      </c>
      <c r="U369" t="s">
        <v>7172</v>
      </c>
      <c r="V369" t="s">
        <v>7173</v>
      </c>
      <c r="W369" t="s">
        <v>7174</v>
      </c>
      <c r="X369" t="s">
        <v>456</v>
      </c>
      <c r="Y369" t="s">
        <v>7175</v>
      </c>
      <c r="Z369" t="s">
        <v>7176</v>
      </c>
      <c r="AA369" t="s">
        <v>74</v>
      </c>
      <c r="AB369" t="s">
        <v>74</v>
      </c>
      <c r="AC369" t="s">
        <v>7177</v>
      </c>
      <c r="AD369" t="s">
        <v>7178</v>
      </c>
      <c r="AE369" t="s">
        <v>7179</v>
      </c>
      <c r="AF369" t="s">
        <v>74</v>
      </c>
      <c r="AG369">
        <v>37</v>
      </c>
      <c r="AH369">
        <v>3</v>
      </c>
      <c r="AI369">
        <v>3</v>
      </c>
      <c r="AJ369">
        <v>0</v>
      </c>
      <c r="AK369">
        <v>12</v>
      </c>
      <c r="AL369" t="s">
        <v>6503</v>
      </c>
      <c r="AM369" t="s">
        <v>6504</v>
      </c>
      <c r="AN369" t="s">
        <v>6505</v>
      </c>
      <c r="AO369" t="s">
        <v>7180</v>
      </c>
      <c r="AP369" t="s">
        <v>74</v>
      </c>
      <c r="AQ369" t="s">
        <v>74</v>
      </c>
      <c r="AR369" t="s">
        <v>7181</v>
      </c>
      <c r="AS369" t="s">
        <v>7182</v>
      </c>
      <c r="AT369" t="s">
        <v>74</v>
      </c>
      <c r="AU369">
        <v>2017</v>
      </c>
      <c r="AV369">
        <v>3</v>
      </c>
      <c r="AW369">
        <v>2</v>
      </c>
      <c r="AX369" t="s">
        <v>74</v>
      </c>
      <c r="AY369" t="s">
        <v>74</v>
      </c>
      <c r="AZ369" t="s">
        <v>74</v>
      </c>
      <c r="BA369" t="s">
        <v>74</v>
      </c>
      <c r="BB369">
        <v>142</v>
      </c>
      <c r="BC369">
        <v>162</v>
      </c>
      <c r="BD369" t="s">
        <v>74</v>
      </c>
      <c r="BE369" t="s">
        <v>7183</v>
      </c>
      <c r="BF369" t="str">
        <f>HYPERLINK("http://dx.doi.org/10.3934/geosci.2017.2.142","http://dx.doi.org/10.3934/geosci.2017.2.142")</f>
        <v>http://dx.doi.org/10.3934/geosci.2017.2.142</v>
      </c>
      <c r="BG369" t="s">
        <v>74</v>
      </c>
      <c r="BH369" t="s">
        <v>74</v>
      </c>
      <c r="BI369">
        <v>21</v>
      </c>
      <c r="BJ369" t="s">
        <v>669</v>
      </c>
      <c r="BK369" t="s">
        <v>2057</v>
      </c>
      <c r="BL369" t="s">
        <v>670</v>
      </c>
      <c r="BM369" t="s">
        <v>7184</v>
      </c>
      <c r="BN369" t="s">
        <v>74</v>
      </c>
      <c r="BO369" t="s">
        <v>941</v>
      </c>
      <c r="BP369" t="s">
        <v>74</v>
      </c>
      <c r="BQ369" t="s">
        <v>74</v>
      </c>
      <c r="BR369" t="s">
        <v>105</v>
      </c>
      <c r="BS369" t="s">
        <v>7185</v>
      </c>
      <c r="BT369" t="str">
        <f>HYPERLINK("https%3A%2F%2Fwww.webofscience.com%2Fwos%2Fwoscc%2Ffull-record%2FWOS:000404166600001","View Full Record in Web of Science")</f>
        <v>View Full Record in Web of Science</v>
      </c>
    </row>
    <row r="370" spans="1:72" x14ac:dyDescent="0.15">
      <c r="A370" t="s">
        <v>72</v>
      </c>
      <c r="B370" t="s">
        <v>7186</v>
      </c>
      <c r="C370" t="s">
        <v>74</v>
      </c>
      <c r="D370" t="s">
        <v>74</v>
      </c>
      <c r="E370" t="s">
        <v>74</v>
      </c>
      <c r="F370" t="s">
        <v>7187</v>
      </c>
      <c r="G370" t="s">
        <v>74</v>
      </c>
      <c r="H370" t="s">
        <v>74</v>
      </c>
      <c r="I370" t="s">
        <v>7188</v>
      </c>
      <c r="J370" t="s">
        <v>7189</v>
      </c>
      <c r="K370" t="s">
        <v>74</v>
      </c>
      <c r="L370" t="s">
        <v>74</v>
      </c>
      <c r="M370" t="s">
        <v>78</v>
      </c>
      <c r="N370" t="s">
        <v>2034</v>
      </c>
      <c r="O370" t="s">
        <v>74</v>
      </c>
      <c r="P370" t="s">
        <v>74</v>
      </c>
      <c r="Q370" t="s">
        <v>74</v>
      </c>
      <c r="R370" t="s">
        <v>74</v>
      </c>
      <c r="S370" t="s">
        <v>74</v>
      </c>
      <c r="T370" t="s">
        <v>7190</v>
      </c>
      <c r="U370" t="s">
        <v>7191</v>
      </c>
      <c r="V370" t="s">
        <v>7192</v>
      </c>
      <c r="W370" t="s">
        <v>7193</v>
      </c>
      <c r="X370" t="s">
        <v>7194</v>
      </c>
      <c r="Y370" t="s">
        <v>7195</v>
      </c>
      <c r="Z370" t="s">
        <v>7196</v>
      </c>
      <c r="AA370" t="s">
        <v>7197</v>
      </c>
      <c r="AB370" t="s">
        <v>7198</v>
      </c>
      <c r="AC370" t="s">
        <v>7199</v>
      </c>
      <c r="AD370" t="s">
        <v>7200</v>
      </c>
      <c r="AE370" t="s">
        <v>7201</v>
      </c>
      <c r="AF370" t="s">
        <v>74</v>
      </c>
      <c r="AG370">
        <v>280</v>
      </c>
      <c r="AH370">
        <v>158</v>
      </c>
      <c r="AI370">
        <v>164</v>
      </c>
      <c r="AJ370">
        <v>4</v>
      </c>
      <c r="AK370">
        <v>68</v>
      </c>
      <c r="AL370" t="s">
        <v>7202</v>
      </c>
      <c r="AM370" t="s">
        <v>7203</v>
      </c>
      <c r="AN370" t="s">
        <v>7204</v>
      </c>
      <c r="AO370" t="s">
        <v>7205</v>
      </c>
      <c r="AP370" t="s">
        <v>7206</v>
      </c>
      <c r="AQ370" t="s">
        <v>74</v>
      </c>
      <c r="AR370" t="s">
        <v>7207</v>
      </c>
      <c r="AS370" t="s">
        <v>7208</v>
      </c>
      <c r="AT370" t="s">
        <v>74</v>
      </c>
      <c r="AU370">
        <v>2017</v>
      </c>
      <c r="AV370">
        <v>77</v>
      </c>
      <c r="AW370">
        <v>2</v>
      </c>
      <c r="AX370" t="s">
        <v>74</v>
      </c>
      <c r="AY370" t="s">
        <v>74</v>
      </c>
      <c r="AZ370" t="s">
        <v>74</v>
      </c>
      <c r="BA370" t="s">
        <v>74</v>
      </c>
      <c r="BB370">
        <v>227</v>
      </c>
      <c r="BC370">
        <v>256</v>
      </c>
      <c r="BD370" t="s">
        <v>74</v>
      </c>
      <c r="BE370" t="s">
        <v>7209</v>
      </c>
      <c r="BF370" t="str">
        <f>HYPERLINK("http://dx.doi.org/10.1016/j.chemer.2017.01.007","http://dx.doi.org/10.1016/j.chemer.2017.01.007")</f>
        <v>http://dx.doi.org/10.1016/j.chemer.2017.01.007</v>
      </c>
      <c r="BG370" t="s">
        <v>74</v>
      </c>
      <c r="BH370" t="s">
        <v>74</v>
      </c>
      <c r="BI370">
        <v>30</v>
      </c>
      <c r="BJ370" t="s">
        <v>299</v>
      </c>
      <c r="BK370" t="s">
        <v>101</v>
      </c>
      <c r="BL370" t="s">
        <v>299</v>
      </c>
      <c r="BM370" t="s">
        <v>7210</v>
      </c>
      <c r="BN370">
        <v>31007270</v>
      </c>
      <c r="BO370" t="s">
        <v>1695</v>
      </c>
      <c r="BP370" t="s">
        <v>74</v>
      </c>
      <c r="BQ370" t="s">
        <v>74</v>
      </c>
      <c r="BR370" t="s">
        <v>105</v>
      </c>
      <c r="BS370" t="s">
        <v>7211</v>
      </c>
      <c r="BT370" t="str">
        <f>HYPERLINK("https%3A%2F%2Fwww.webofscience.com%2Fwos%2Fwoscc%2Ffull-record%2FWOS:000404203400001","View Full Record in Web of Science")</f>
        <v>View Full Record in Web of Science</v>
      </c>
    </row>
    <row r="371" spans="1:72" x14ac:dyDescent="0.15">
      <c r="A371" t="s">
        <v>72</v>
      </c>
      <c r="B371" t="s">
        <v>7212</v>
      </c>
      <c r="C371" t="s">
        <v>74</v>
      </c>
      <c r="D371" t="s">
        <v>74</v>
      </c>
      <c r="E371" t="s">
        <v>74</v>
      </c>
      <c r="F371" t="s">
        <v>7213</v>
      </c>
      <c r="G371" t="s">
        <v>74</v>
      </c>
      <c r="H371" t="s">
        <v>74</v>
      </c>
      <c r="I371" t="s">
        <v>7214</v>
      </c>
      <c r="J371" t="s">
        <v>5544</v>
      </c>
      <c r="K371" t="s">
        <v>74</v>
      </c>
      <c r="L371" t="s">
        <v>74</v>
      </c>
      <c r="M371" t="s">
        <v>78</v>
      </c>
      <c r="N371" t="s">
        <v>79</v>
      </c>
      <c r="O371" t="s">
        <v>74</v>
      </c>
      <c r="P371" t="s">
        <v>74</v>
      </c>
      <c r="Q371" t="s">
        <v>74</v>
      </c>
      <c r="R371" t="s">
        <v>74</v>
      </c>
      <c r="S371" t="s">
        <v>74</v>
      </c>
      <c r="T371" t="s">
        <v>7215</v>
      </c>
      <c r="U371" t="s">
        <v>7216</v>
      </c>
      <c r="V371" t="s">
        <v>7217</v>
      </c>
      <c r="W371" t="s">
        <v>7218</v>
      </c>
      <c r="X371" t="s">
        <v>7219</v>
      </c>
      <c r="Y371" t="s">
        <v>7220</v>
      </c>
      <c r="Z371" t="s">
        <v>7221</v>
      </c>
      <c r="AA371" t="s">
        <v>7222</v>
      </c>
      <c r="AB371" t="s">
        <v>7223</v>
      </c>
      <c r="AC371" t="s">
        <v>74</v>
      </c>
      <c r="AD371" t="s">
        <v>74</v>
      </c>
      <c r="AE371" t="s">
        <v>74</v>
      </c>
      <c r="AF371" t="s">
        <v>74</v>
      </c>
      <c r="AG371">
        <v>41</v>
      </c>
      <c r="AH371">
        <v>21</v>
      </c>
      <c r="AI371">
        <v>24</v>
      </c>
      <c r="AJ371">
        <v>0</v>
      </c>
      <c r="AK371">
        <v>7</v>
      </c>
      <c r="AL371" t="s">
        <v>5554</v>
      </c>
      <c r="AM371" t="s">
        <v>5555</v>
      </c>
      <c r="AN371" t="s">
        <v>5556</v>
      </c>
      <c r="AO371" t="s">
        <v>5557</v>
      </c>
      <c r="AP371" t="s">
        <v>5558</v>
      </c>
      <c r="AQ371" t="s">
        <v>74</v>
      </c>
      <c r="AR371" t="s">
        <v>5559</v>
      </c>
      <c r="AS371" t="s">
        <v>5560</v>
      </c>
      <c r="AT371" t="s">
        <v>74</v>
      </c>
      <c r="AU371">
        <v>2017</v>
      </c>
      <c r="AV371">
        <v>32</v>
      </c>
      <c r="AW371" t="s">
        <v>74</v>
      </c>
      <c r="AX371" t="s">
        <v>74</v>
      </c>
      <c r="AY371" t="s">
        <v>74</v>
      </c>
      <c r="AZ371" t="s">
        <v>74</v>
      </c>
      <c r="BA371" t="s">
        <v>74</v>
      </c>
      <c r="BB371">
        <v>515</v>
      </c>
      <c r="BC371">
        <v>524</v>
      </c>
      <c r="BD371" t="s">
        <v>74</v>
      </c>
      <c r="BE371" t="s">
        <v>7224</v>
      </c>
      <c r="BF371" t="str">
        <f>HYPERLINK("http://dx.doi.org/10.3354/esr00832","http://dx.doi.org/10.3354/esr00832")</f>
        <v>http://dx.doi.org/10.3354/esr00832</v>
      </c>
      <c r="BG371" t="s">
        <v>74</v>
      </c>
      <c r="BH371" t="s">
        <v>74</v>
      </c>
      <c r="BI371">
        <v>10</v>
      </c>
      <c r="BJ371" t="s">
        <v>1562</v>
      </c>
      <c r="BK371" t="s">
        <v>101</v>
      </c>
      <c r="BL371" t="s">
        <v>1563</v>
      </c>
      <c r="BM371" t="s">
        <v>7225</v>
      </c>
      <c r="BN371" t="s">
        <v>74</v>
      </c>
      <c r="BO371" t="s">
        <v>892</v>
      </c>
      <c r="BP371" t="s">
        <v>74</v>
      </c>
      <c r="BQ371" t="s">
        <v>74</v>
      </c>
      <c r="BR371" t="s">
        <v>105</v>
      </c>
      <c r="BS371" t="s">
        <v>7226</v>
      </c>
      <c r="BT371" t="str">
        <f>HYPERLINK("https%3A%2F%2Fwww.webofscience.com%2Fwos%2Fwoscc%2Ffull-record%2FWOS:000404125100005","View Full Record in Web of Science")</f>
        <v>View Full Record in Web of Science</v>
      </c>
    </row>
    <row r="372" spans="1:72" x14ac:dyDescent="0.15">
      <c r="A372" t="s">
        <v>72</v>
      </c>
      <c r="B372" t="s">
        <v>7227</v>
      </c>
      <c r="C372" t="s">
        <v>74</v>
      </c>
      <c r="D372" t="s">
        <v>74</v>
      </c>
      <c r="E372" t="s">
        <v>74</v>
      </c>
      <c r="F372" t="s">
        <v>7228</v>
      </c>
      <c r="G372" t="s">
        <v>74</v>
      </c>
      <c r="H372" t="s">
        <v>74</v>
      </c>
      <c r="I372" t="s">
        <v>7229</v>
      </c>
      <c r="J372" t="s">
        <v>6326</v>
      </c>
      <c r="K372" t="s">
        <v>74</v>
      </c>
      <c r="L372" t="s">
        <v>74</v>
      </c>
      <c r="M372" t="s">
        <v>78</v>
      </c>
      <c r="N372" t="s">
        <v>79</v>
      </c>
      <c r="O372" t="s">
        <v>74</v>
      </c>
      <c r="P372" t="s">
        <v>74</v>
      </c>
      <c r="Q372" t="s">
        <v>74</v>
      </c>
      <c r="R372" t="s">
        <v>74</v>
      </c>
      <c r="S372" t="s">
        <v>74</v>
      </c>
      <c r="T372" t="s">
        <v>7230</v>
      </c>
      <c r="U372" t="s">
        <v>7231</v>
      </c>
      <c r="V372" t="s">
        <v>7232</v>
      </c>
      <c r="W372" t="s">
        <v>7233</v>
      </c>
      <c r="X372" t="s">
        <v>7234</v>
      </c>
      <c r="Y372" t="s">
        <v>7235</v>
      </c>
      <c r="Z372" t="s">
        <v>7236</v>
      </c>
      <c r="AA372" t="s">
        <v>7237</v>
      </c>
      <c r="AB372" t="s">
        <v>7238</v>
      </c>
      <c r="AC372" t="s">
        <v>7239</v>
      </c>
      <c r="AD372" t="s">
        <v>7239</v>
      </c>
      <c r="AE372" t="s">
        <v>7240</v>
      </c>
      <c r="AF372" t="s">
        <v>74</v>
      </c>
      <c r="AG372">
        <v>28</v>
      </c>
      <c r="AH372">
        <v>3</v>
      </c>
      <c r="AI372">
        <v>3</v>
      </c>
      <c r="AJ372">
        <v>1</v>
      </c>
      <c r="AK372">
        <v>13</v>
      </c>
      <c r="AL372" t="s">
        <v>7241</v>
      </c>
      <c r="AM372" t="s">
        <v>5439</v>
      </c>
      <c r="AN372" t="s">
        <v>6340</v>
      </c>
      <c r="AO372" t="s">
        <v>6341</v>
      </c>
      <c r="AP372" t="s">
        <v>74</v>
      </c>
      <c r="AQ372" t="s">
        <v>74</v>
      </c>
      <c r="AR372" t="s">
        <v>6326</v>
      </c>
      <c r="AS372" t="s">
        <v>6342</v>
      </c>
      <c r="AT372" t="s">
        <v>74</v>
      </c>
      <c r="AU372">
        <v>2017</v>
      </c>
      <c r="AV372">
        <v>19</v>
      </c>
      <c r="AW372">
        <v>5</v>
      </c>
      <c r="AX372" t="s">
        <v>74</v>
      </c>
      <c r="AY372" t="s">
        <v>74</v>
      </c>
      <c r="AZ372" t="s">
        <v>74</v>
      </c>
      <c r="BA372" t="s">
        <v>74</v>
      </c>
      <c r="BB372">
        <v>533</v>
      </c>
      <c r="BC372">
        <v>542</v>
      </c>
      <c r="BD372" t="s">
        <v>74</v>
      </c>
      <c r="BE372" t="s">
        <v>7242</v>
      </c>
      <c r="BF372" t="str">
        <f>HYPERLINK("http://dx.doi.org/10.1163/15685411-00003066","http://dx.doi.org/10.1163/15685411-00003066")</f>
        <v>http://dx.doi.org/10.1163/15685411-00003066</v>
      </c>
      <c r="BG372" t="s">
        <v>74</v>
      </c>
      <c r="BH372" t="s">
        <v>74</v>
      </c>
      <c r="BI372">
        <v>10</v>
      </c>
      <c r="BJ372" t="s">
        <v>643</v>
      </c>
      <c r="BK372" t="s">
        <v>101</v>
      </c>
      <c r="BL372" t="s">
        <v>643</v>
      </c>
      <c r="BM372" t="s">
        <v>7243</v>
      </c>
      <c r="BN372" t="s">
        <v>74</v>
      </c>
      <c r="BO372" t="s">
        <v>74</v>
      </c>
      <c r="BP372" t="s">
        <v>74</v>
      </c>
      <c r="BQ372" t="s">
        <v>74</v>
      </c>
      <c r="BR372" t="s">
        <v>105</v>
      </c>
      <c r="BS372" t="s">
        <v>7244</v>
      </c>
      <c r="BT372" t="str">
        <f>HYPERLINK("https%3A%2F%2Fwww.webofscience.com%2Fwos%2Fwoscc%2Ffull-record%2FWOS:000403158000004","View Full Record in Web of Science")</f>
        <v>View Full Record in Web of Science</v>
      </c>
    </row>
    <row r="373" spans="1:72" x14ac:dyDescent="0.15">
      <c r="A373" t="s">
        <v>72</v>
      </c>
      <c r="B373" t="s">
        <v>7245</v>
      </c>
      <c r="C373" t="s">
        <v>74</v>
      </c>
      <c r="D373" t="s">
        <v>74</v>
      </c>
      <c r="E373" t="s">
        <v>74</v>
      </c>
      <c r="F373" t="s">
        <v>7246</v>
      </c>
      <c r="G373" t="s">
        <v>74</v>
      </c>
      <c r="H373" t="s">
        <v>74</v>
      </c>
      <c r="I373" t="s">
        <v>7247</v>
      </c>
      <c r="J373" t="s">
        <v>7248</v>
      </c>
      <c r="K373" t="s">
        <v>74</v>
      </c>
      <c r="L373" t="s">
        <v>74</v>
      </c>
      <c r="M373" t="s">
        <v>78</v>
      </c>
      <c r="N373" t="s">
        <v>79</v>
      </c>
      <c r="O373" t="s">
        <v>74</v>
      </c>
      <c r="P373" t="s">
        <v>74</v>
      </c>
      <c r="Q373" t="s">
        <v>74</v>
      </c>
      <c r="R373" t="s">
        <v>74</v>
      </c>
      <c r="S373" t="s">
        <v>74</v>
      </c>
      <c r="T373" t="s">
        <v>7249</v>
      </c>
      <c r="U373" t="s">
        <v>7250</v>
      </c>
      <c r="V373" t="s">
        <v>7251</v>
      </c>
      <c r="W373" t="s">
        <v>7252</v>
      </c>
      <c r="X373" t="s">
        <v>7253</v>
      </c>
      <c r="Y373" t="s">
        <v>7254</v>
      </c>
      <c r="Z373" t="s">
        <v>7255</v>
      </c>
      <c r="AA373" t="s">
        <v>74</v>
      </c>
      <c r="AB373" t="s">
        <v>74</v>
      </c>
      <c r="AC373" t="s">
        <v>7256</v>
      </c>
      <c r="AD373" t="s">
        <v>7257</v>
      </c>
      <c r="AE373" t="s">
        <v>7258</v>
      </c>
      <c r="AF373" t="s">
        <v>74</v>
      </c>
      <c r="AG373">
        <v>18</v>
      </c>
      <c r="AH373">
        <v>2</v>
      </c>
      <c r="AI373">
        <v>2</v>
      </c>
      <c r="AJ373">
        <v>0</v>
      </c>
      <c r="AK373">
        <v>11</v>
      </c>
      <c r="AL373" t="s">
        <v>1967</v>
      </c>
      <c r="AM373" t="s">
        <v>1910</v>
      </c>
      <c r="AN373" t="s">
        <v>1968</v>
      </c>
      <c r="AO373" t="s">
        <v>7259</v>
      </c>
      <c r="AP373" t="s">
        <v>7260</v>
      </c>
      <c r="AQ373" t="s">
        <v>74</v>
      </c>
      <c r="AR373" t="s">
        <v>7261</v>
      </c>
      <c r="AS373" t="s">
        <v>7262</v>
      </c>
      <c r="AT373" t="s">
        <v>74</v>
      </c>
      <c r="AU373">
        <v>2017</v>
      </c>
      <c r="AV373">
        <v>40</v>
      </c>
      <c r="AW373">
        <v>1</v>
      </c>
      <c r="AX373" t="s">
        <v>74</v>
      </c>
      <c r="AY373" t="s">
        <v>74</v>
      </c>
      <c r="AZ373" t="s">
        <v>74</v>
      </c>
      <c r="BA373" t="s">
        <v>74</v>
      </c>
      <c r="BB373">
        <v>22</v>
      </c>
      <c r="BC373">
        <v>29</v>
      </c>
      <c r="BD373" t="s">
        <v>74</v>
      </c>
      <c r="BE373" t="s">
        <v>7263</v>
      </c>
      <c r="BF373" t="str">
        <f>HYPERLINK("http://dx.doi.org/10.1080/00779962.2016.1260420","http://dx.doi.org/10.1080/00779962.2016.1260420")</f>
        <v>http://dx.doi.org/10.1080/00779962.2016.1260420</v>
      </c>
      <c r="BG373" t="s">
        <v>74</v>
      </c>
      <c r="BH373" t="s">
        <v>74</v>
      </c>
      <c r="BI373">
        <v>8</v>
      </c>
      <c r="BJ373" t="s">
        <v>7264</v>
      </c>
      <c r="BK373" t="s">
        <v>101</v>
      </c>
      <c r="BL373" t="s">
        <v>7264</v>
      </c>
      <c r="BM373" t="s">
        <v>7265</v>
      </c>
      <c r="BN373" t="s">
        <v>74</v>
      </c>
      <c r="BO373" t="s">
        <v>74</v>
      </c>
      <c r="BP373" t="s">
        <v>74</v>
      </c>
      <c r="BQ373" t="s">
        <v>74</v>
      </c>
      <c r="BR373" t="s">
        <v>105</v>
      </c>
      <c r="BS373" t="s">
        <v>7266</v>
      </c>
      <c r="BT373" t="str">
        <f>HYPERLINK("https%3A%2F%2Fwww.webofscience.com%2Fwos%2Fwoscc%2Ffull-record%2FWOS:000403713700004","View Full Record in Web of Science")</f>
        <v>View Full Record in Web of Science</v>
      </c>
    </row>
    <row r="374" spans="1:72" x14ac:dyDescent="0.15">
      <c r="A374" t="s">
        <v>1823</v>
      </c>
      <c r="B374" t="s">
        <v>7267</v>
      </c>
      <c r="C374" t="s">
        <v>74</v>
      </c>
      <c r="D374" t="s">
        <v>7268</v>
      </c>
      <c r="E374" t="s">
        <v>74</v>
      </c>
      <c r="F374" t="s">
        <v>7269</v>
      </c>
      <c r="G374" t="s">
        <v>74</v>
      </c>
      <c r="H374" t="s">
        <v>74</v>
      </c>
      <c r="I374" t="s">
        <v>7270</v>
      </c>
      <c r="J374" t="s">
        <v>7271</v>
      </c>
      <c r="K374" t="s">
        <v>4734</v>
      </c>
      <c r="L374" t="s">
        <v>74</v>
      </c>
      <c r="M374" t="s">
        <v>78</v>
      </c>
      <c r="N374" t="s">
        <v>1829</v>
      </c>
      <c r="O374" t="s">
        <v>7272</v>
      </c>
      <c r="P374" t="s">
        <v>7273</v>
      </c>
      <c r="Q374" t="s">
        <v>7274</v>
      </c>
      <c r="R374" t="s">
        <v>74</v>
      </c>
      <c r="S374" t="s">
        <v>74</v>
      </c>
      <c r="T374" t="s">
        <v>74</v>
      </c>
      <c r="U374" t="s">
        <v>74</v>
      </c>
      <c r="V374" t="s">
        <v>7275</v>
      </c>
      <c r="W374" t="s">
        <v>7276</v>
      </c>
      <c r="X374" t="s">
        <v>7277</v>
      </c>
      <c r="Y374" t="s">
        <v>7278</v>
      </c>
      <c r="Z374" t="s">
        <v>7279</v>
      </c>
      <c r="AA374" t="s">
        <v>7280</v>
      </c>
      <c r="AB374" t="s">
        <v>7281</v>
      </c>
      <c r="AC374" t="s">
        <v>74</v>
      </c>
      <c r="AD374" t="s">
        <v>74</v>
      </c>
      <c r="AE374" t="s">
        <v>74</v>
      </c>
      <c r="AF374" t="s">
        <v>74</v>
      </c>
      <c r="AG374">
        <v>2</v>
      </c>
      <c r="AH374">
        <v>1</v>
      </c>
      <c r="AI374">
        <v>1</v>
      </c>
      <c r="AJ374">
        <v>0</v>
      </c>
      <c r="AK374">
        <v>0</v>
      </c>
      <c r="AL374" t="s">
        <v>4304</v>
      </c>
      <c r="AM374" t="s">
        <v>4305</v>
      </c>
      <c r="AN374" t="s">
        <v>4306</v>
      </c>
      <c r="AO374" t="s">
        <v>4743</v>
      </c>
      <c r="AP374" t="s">
        <v>4744</v>
      </c>
      <c r="AQ374" t="s">
        <v>74</v>
      </c>
      <c r="AR374" t="s">
        <v>4745</v>
      </c>
      <c r="AS374" t="s">
        <v>74</v>
      </c>
      <c r="AT374" t="s">
        <v>74</v>
      </c>
      <c r="AU374">
        <v>2017</v>
      </c>
      <c r="AV374">
        <v>798</v>
      </c>
      <c r="AW374" t="s">
        <v>74</v>
      </c>
      <c r="AX374" t="s">
        <v>74</v>
      </c>
      <c r="AY374" t="s">
        <v>74</v>
      </c>
      <c r="AZ374" t="s">
        <v>74</v>
      </c>
      <c r="BA374" t="s">
        <v>74</v>
      </c>
      <c r="BB374" t="s">
        <v>74</v>
      </c>
      <c r="BC374" t="s">
        <v>74</v>
      </c>
      <c r="BD374">
        <v>12217</v>
      </c>
      <c r="BE374" t="s">
        <v>7282</v>
      </c>
      <c r="BF374" t="str">
        <f>HYPERLINK("http://dx.doi.org/10.1088/1742-6596/798/1/012217","http://dx.doi.org/10.1088/1742-6596/798/1/012217")</f>
        <v>http://dx.doi.org/10.1088/1742-6596/798/1/012217</v>
      </c>
      <c r="BG374" t="s">
        <v>74</v>
      </c>
      <c r="BH374" t="s">
        <v>74</v>
      </c>
      <c r="BI374">
        <v>4</v>
      </c>
      <c r="BJ374" t="s">
        <v>7283</v>
      </c>
      <c r="BK374" t="s">
        <v>1844</v>
      </c>
      <c r="BL374" t="s">
        <v>7284</v>
      </c>
      <c r="BM374" t="s">
        <v>7285</v>
      </c>
      <c r="BN374" t="s">
        <v>74</v>
      </c>
      <c r="BO374" t="s">
        <v>725</v>
      </c>
      <c r="BP374" t="s">
        <v>74</v>
      </c>
      <c r="BQ374" t="s">
        <v>74</v>
      </c>
      <c r="BR374" t="s">
        <v>105</v>
      </c>
      <c r="BS374" t="s">
        <v>7286</v>
      </c>
      <c r="BT374" t="str">
        <f>HYPERLINK("https%3A%2F%2Fwww.webofscience.com%2Fwos%2Fwoscc%2Ffull-record%2FWOS:000403476900216","View Full Record in Web of Science")</f>
        <v>View Full Record in Web of Science</v>
      </c>
    </row>
    <row r="375" spans="1:72" x14ac:dyDescent="0.15">
      <c r="A375" t="s">
        <v>1823</v>
      </c>
      <c r="B375" t="s">
        <v>7287</v>
      </c>
      <c r="C375" t="s">
        <v>74</v>
      </c>
      <c r="D375" t="s">
        <v>74</v>
      </c>
      <c r="E375" t="s">
        <v>1825</v>
      </c>
      <c r="F375" t="s">
        <v>7288</v>
      </c>
      <c r="G375" t="s">
        <v>74</v>
      </c>
      <c r="H375" t="s">
        <v>74</v>
      </c>
      <c r="I375" t="s">
        <v>7289</v>
      </c>
      <c r="J375" t="s">
        <v>7290</v>
      </c>
      <c r="K375" t="s">
        <v>7291</v>
      </c>
      <c r="L375" t="s">
        <v>74</v>
      </c>
      <c r="M375" t="s">
        <v>78</v>
      </c>
      <c r="N375" t="s">
        <v>1829</v>
      </c>
      <c r="O375" t="s">
        <v>7292</v>
      </c>
      <c r="P375" t="s">
        <v>7293</v>
      </c>
      <c r="Q375" t="s">
        <v>7294</v>
      </c>
      <c r="R375" t="s">
        <v>74</v>
      </c>
      <c r="S375" t="s">
        <v>74</v>
      </c>
      <c r="T375" t="s">
        <v>7295</v>
      </c>
      <c r="U375" t="s">
        <v>74</v>
      </c>
      <c r="V375" t="s">
        <v>7296</v>
      </c>
      <c r="W375" t="s">
        <v>7297</v>
      </c>
      <c r="X375" t="s">
        <v>7298</v>
      </c>
      <c r="Y375" t="s">
        <v>7299</v>
      </c>
      <c r="Z375" t="s">
        <v>7300</v>
      </c>
      <c r="AA375" t="s">
        <v>7301</v>
      </c>
      <c r="AB375" t="s">
        <v>7302</v>
      </c>
      <c r="AC375" t="s">
        <v>7303</v>
      </c>
      <c r="AD375" t="s">
        <v>7304</v>
      </c>
      <c r="AE375" t="s">
        <v>7305</v>
      </c>
      <c r="AF375" t="s">
        <v>74</v>
      </c>
      <c r="AG375">
        <v>10</v>
      </c>
      <c r="AH375">
        <v>0</v>
      </c>
      <c r="AI375">
        <v>0</v>
      </c>
      <c r="AJ375">
        <v>1</v>
      </c>
      <c r="AK375">
        <v>9</v>
      </c>
      <c r="AL375" t="s">
        <v>1825</v>
      </c>
      <c r="AM375" t="s">
        <v>187</v>
      </c>
      <c r="AN375" t="s">
        <v>1842</v>
      </c>
      <c r="AO375" t="s">
        <v>7306</v>
      </c>
      <c r="AP375" t="s">
        <v>74</v>
      </c>
      <c r="AQ375" t="s">
        <v>7307</v>
      </c>
      <c r="AR375" t="s">
        <v>7308</v>
      </c>
      <c r="AS375" t="s">
        <v>74</v>
      </c>
      <c r="AT375" t="s">
        <v>74</v>
      </c>
      <c r="AU375">
        <v>2017</v>
      </c>
      <c r="AV375" t="s">
        <v>74</v>
      </c>
      <c r="AW375" t="s">
        <v>74</v>
      </c>
      <c r="AX375" t="s">
        <v>74</v>
      </c>
      <c r="AY375" t="s">
        <v>74</v>
      </c>
      <c r="AZ375" t="s">
        <v>74</v>
      </c>
      <c r="BA375" t="s">
        <v>74</v>
      </c>
      <c r="BB375">
        <v>503</v>
      </c>
      <c r="BC375">
        <v>508</v>
      </c>
      <c r="BD375" t="s">
        <v>74</v>
      </c>
      <c r="BE375" t="s">
        <v>74</v>
      </c>
      <c r="BF375" t="s">
        <v>74</v>
      </c>
      <c r="BG375" t="s">
        <v>74</v>
      </c>
      <c r="BH375" t="s">
        <v>74</v>
      </c>
      <c r="BI375">
        <v>6</v>
      </c>
      <c r="BJ375" t="s">
        <v>3910</v>
      </c>
      <c r="BK375" t="s">
        <v>1844</v>
      </c>
      <c r="BL375" t="s">
        <v>3911</v>
      </c>
      <c r="BM375" t="s">
        <v>7309</v>
      </c>
      <c r="BN375" t="s">
        <v>74</v>
      </c>
      <c r="BO375" t="s">
        <v>74</v>
      </c>
      <c r="BP375" t="s">
        <v>74</v>
      </c>
      <c r="BQ375" t="s">
        <v>74</v>
      </c>
      <c r="BR375" t="s">
        <v>105</v>
      </c>
      <c r="BS375" t="s">
        <v>7310</v>
      </c>
      <c r="BT375" t="str">
        <f>HYPERLINK("https%3A%2F%2Fwww.webofscience.com%2Fwos%2Fwoscc%2Ffull-record%2FWOS:000403399400098","View Full Record in Web of Science")</f>
        <v>View Full Record in Web of Science</v>
      </c>
    </row>
    <row r="376" spans="1:72" x14ac:dyDescent="0.15">
      <c r="A376" t="s">
        <v>72</v>
      </c>
      <c r="B376" t="s">
        <v>7311</v>
      </c>
      <c r="C376" t="s">
        <v>74</v>
      </c>
      <c r="D376" t="s">
        <v>74</v>
      </c>
      <c r="E376" t="s">
        <v>74</v>
      </c>
      <c r="F376" t="s">
        <v>7312</v>
      </c>
      <c r="G376" t="s">
        <v>74</v>
      </c>
      <c r="H376" t="s">
        <v>74</v>
      </c>
      <c r="I376" t="s">
        <v>7313</v>
      </c>
      <c r="J376" t="s">
        <v>7314</v>
      </c>
      <c r="K376" t="s">
        <v>74</v>
      </c>
      <c r="L376" t="s">
        <v>74</v>
      </c>
      <c r="M376" t="s">
        <v>78</v>
      </c>
      <c r="N376" t="s">
        <v>79</v>
      </c>
      <c r="O376" t="s">
        <v>74</v>
      </c>
      <c r="P376" t="s">
        <v>74</v>
      </c>
      <c r="Q376" t="s">
        <v>74</v>
      </c>
      <c r="R376" t="s">
        <v>74</v>
      </c>
      <c r="S376" t="s">
        <v>74</v>
      </c>
      <c r="T376" t="s">
        <v>7315</v>
      </c>
      <c r="U376" t="s">
        <v>7316</v>
      </c>
      <c r="V376" t="s">
        <v>7317</v>
      </c>
      <c r="W376" t="s">
        <v>7318</v>
      </c>
      <c r="X376" t="s">
        <v>7319</v>
      </c>
      <c r="Y376" t="s">
        <v>7320</v>
      </c>
      <c r="Z376" t="s">
        <v>7321</v>
      </c>
      <c r="AA376" t="s">
        <v>7322</v>
      </c>
      <c r="AB376" t="s">
        <v>7323</v>
      </c>
      <c r="AC376" t="s">
        <v>7324</v>
      </c>
      <c r="AD376" t="s">
        <v>7324</v>
      </c>
      <c r="AE376" t="s">
        <v>7325</v>
      </c>
      <c r="AF376" t="s">
        <v>74</v>
      </c>
      <c r="AG376">
        <v>75</v>
      </c>
      <c r="AH376">
        <v>26</v>
      </c>
      <c r="AI376">
        <v>26</v>
      </c>
      <c r="AJ376">
        <v>0</v>
      </c>
      <c r="AK376">
        <v>18</v>
      </c>
      <c r="AL376" t="s">
        <v>7326</v>
      </c>
      <c r="AM376" t="s">
        <v>5439</v>
      </c>
      <c r="AN376" t="s">
        <v>7327</v>
      </c>
      <c r="AO376" t="s">
        <v>7328</v>
      </c>
      <c r="AP376" t="s">
        <v>7329</v>
      </c>
      <c r="AQ376" t="s">
        <v>74</v>
      </c>
      <c r="AR376" t="s">
        <v>7330</v>
      </c>
      <c r="AS376" t="s">
        <v>7331</v>
      </c>
      <c r="AT376" t="s">
        <v>74</v>
      </c>
      <c r="AU376">
        <v>2017</v>
      </c>
      <c r="AV376">
        <v>86</v>
      </c>
      <c r="AW376">
        <v>2</v>
      </c>
      <c r="AX376" t="s">
        <v>74</v>
      </c>
      <c r="AY376" t="s">
        <v>74</v>
      </c>
      <c r="AZ376" t="s">
        <v>74</v>
      </c>
      <c r="BA376" t="s">
        <v>74</v>
      </c>
      <c r="BB376">
        <v>97</v>
      </c>
      <c r="BC376">
        <v>110</v>
      </c>
      <c r="BD376" t="s">
        <v>74</v>
      </c>
      <c r="BE376" t="s">
        <v>74</v>
      </c>
      <c r="BF376" t="s">
        <v>74</v>
      </c>
      <c r="BG376" t="s">
        <v>74</v>
      </c>
      <c r="BH376" t="s">
        <v>74</v>
      </c>
      <c r="BI376">
        <v>14</v>
      </c>
      <c r="BJ376" t="s">
        <v>643</v>
      </c>
      <c r="BK376" t="s">
        <v>101</v>
      </c>
      <c r="BL376" t="s">
        <v>643</v>
      </c>
      <c r="BM376" t="s">
        <v>7332</v>
      </c>
      <c r="BN376" t="s">
        <v>74</v>
      </c>
      <c r="BO376" t="s">
        <v>74</v>
      </c>
      <c r="BP376" t="s">
        <v>74</v>
      </c>
      <c r="BQ376" t="s">
        <v>74</v>
      </c>
      <c r="BR376" t="s">
        <v>105</v>
      </c>
      <c r="BS376" t="s">
        <v>7333</v>
      </c>
      <c r="BT376" t="str">
        <f>HYPERLINK("https%3A%2F%2Fwww.webofscience.com%2Fwos%2Fwoscc%2Ffull-record%2FWOS:000403606800001","View Full Record in Web of Science")</f>
        <v>View Full Record in Web of Science</v>
      </c>
    </row>
    <row r="377" spans="1:72" x14ac:dyDescent="0.15">
      <c r="A377" t="s">
        <v>72</v>
      </c>
      <c r="B377" t="s">
        <v>7072</v>
      </c>
      <c r="C377" t="s">
        <v>74</v>
      </c>
      <c r="D377" t="s">
        <v>74</v>
      </c>
      <c r="E377" t="s">
        <v>74</v>
      </c>
      <c r="F377" t="s">
        <v>7073</v>
      </c>
      <c r="G377" t="s">
        <v>74</v>
      </c>
      <c r="H377" t="s">
        <v>74</v>
      </c>
      <c r="I377" t="s">
        <v>7074</v>
      </c>
      <c r="J377" t="s">
        <v>3321</v>
      </c>
      <c r="K377" t="s">
        <v>74</v>
      </c>
      <c r="L377" t="s">
        <v>74</v>
      </c>
      <c r="M377" t="s">
        <v>78</v>
      </c>
      <c r="N377" t="s">
        <v>79</v>
      </c>
      <c r="O377" t="s">
        <v>74</v>
      </c>
      <c r="P377" t="s">
        <v>74</v>
      </c>
      <c r="Q377" t="s">
        <v>74</v>
      </c>
      <c r="R377" t="s">
        <v>74</v>
      </c>
      <c r="S377" t="s">
        <v>74</v>
      </c>
      <c r="T377" t="s">
        <v>7334</v>
      </c>
      <c r="U377" t="s">
        <v>7335</v>
      </c>
      <c r="V377" t="s">
        <v>7336</v>
      </c>
      <c r="W377" t="s">
        <v>7337</v>
      </c>
      <c r="X377" t="s">
        <v>7077</v>
      </c>
      <c r="Y377" t="s">
        <v>7078</v>
      </c>
      <c r="Z377" t="s">
        <v>7079</v>
      </c>
      <c r="AA377" t="s">
        <v>7338</v>
      </c>
      <c r="AB377" t="s">
        <v>7339</v>
      </c>
      <c r="AC377" t="s">
        <v>7340</v>
      </c>
      <c r="AD377" t="s">
        <v>7341</v>
      </c>
      <c r="AE377" t="s">
        <v>7342</v>
      </c>
      <c r="AF377" t="s">
        <v>74</v>
      </c>
      <c r="AG377">
        <v>19</v>
      </c>
      <c r="AH377">
        <v>8</v>
      </c>
      <c r="AI377">
        <v>8</v>
      </c>
      <c r="AJ377">
        <v>0</v>
      </c>
      <c r="AK377">
        <v>3</v>
      </c>
      <c r="AL377" t="s">
        <v>1552</v>
      </c>
      <c r="AM377" t="s">
        <v>1553</v>
      </c>
      <c r="AN377" t="s">
        <v>1554</v>
      </c>
      <c r="AO377" t="s">
        <v>3334</v>
      </c>
      <c r="AP377" t="s">
        <v>3335</v>
      </c>
      <c r="AQ377" t="s">
        <v>74</v>
      </c>
      <c r="AR377" t="s">
        <v>3321</v>
      </c>
      <c r="AS377" t="s">
        <v>3336</v>
      </c>
      <c r="AT377" t="s">
        <v>74</v>
      </c>
      <c r="AU377">
        <v>2017</v>
      </c>
      <c r="AV377" t="s">
        <v>74</v>
      </c>
      <c r="AW377">
        <v>680</v>
      </c>
      <c r="AX377" t="s">
        <v>74</v>
      </c>
      <c r="AY377" t="s">
        <v>74</v>
      </c>
      <c r="AZ377" t="s">
        <v>74</v>
      </c>
      <c r="BA377" t="s">
        <v>74</v>
      </c>
      <c r="BB377">
        <v>13</v>
      </c>
      <c r="BC377">
        <v>31</v>
      </c>
      <c r="BD377" t="s">
        <v>74</v>
      </c>
      <c r="BE377" t="s">
        <v>7343</v>
      </c>
      <c r="BF377" t="str">
        <f>HYPERLINK("http://dx.doi.org/10.3897/zookeys.680.12048","http://dx.doi.org/10.3897/zookeys.680.12048")</f>
        <v>http://dx.doi.org/10.3897/zookeys.680.12048</v>
      </c>
      <c r="BG377" t="s">
        <v>74</v>
      </c>
      <c r="BH377" t="s">
        <v>74</v>
      </c>
      <c r="BI377">
        <v>19</v>
      </c>
      <c r="BJ377" t="s">
        <v>643</v>
      </c>
      <c r="BK377" t="s">
        <v>101</v>
      </c>
      <c r="BL377" t="s">
        <v>643</v>
      </c>
      <c r="BM377" t="s">
        <v>7344</v>
      </c>
      <c r="BN377">
        <v>28769714</v>
      </c>
      <c r="BO377" t="s">
        <v>3339</v>
      </c>
      <c r="BP377" t="s">
        <v>74</v>
      </c>
      <c r="BQ377" t="s">
        <v>74</v>
      </c>
      <c r="BR377" t="s">
        <v>105</v>
      </c>
      <c r="BS377" t="s">
        <v>7345</v>
      </c>
      <c r="BT377" t="str">
        <f>HYPERLINK("https%3A%2F%2Fwww.webofscience.com%2Fwos%2Fwoscc%2Ffull-record%2FWOS:000403393500002","View Full Record in Web of Science")</f>
        <v>View Full Record in Web of Science</v>
      </c>
    </row>
    <row r="378" spans="1:72" x14ac:dyDescent="0.15">
      <c r="A378" t="s">
        <v>1921</v>
      </c>
      <c r="B378" t="s">
        <v>7346</v>
      </c>
      <c r="C378" t="s">
        <v>74</v>
      </c>
      <c r="D378" t="s">
        <v>7347</v>
      </c>
      <c r="E378" t="s">
        <v>74</v>
      </c>
      <c r="F378" t="s">
        <v>7348</v>
      </c>
      <c r="G378" t="s">
        <v>74</v>
      </c>
      <c r="H378" t="s">
        <v>74</v>
      </c>
      <c r="I378" t="s">
        <v>7349</v>
      </c>
      <c r="J378" t="s">
        <v>7350</v>
      </c>
      <c r="K378" t="s">
        <v>7351</v>
      </c>
      <c r="L378" t="s">
        <v>74</v>
      </c>
      <c r="M378" t="s">
        <v>78</v>
      </c>
      <c r="N378" t="s">
        <v>2067</v>
      </c>
      <c r="O378" t="s">
        <v>74</v>
      </c>
      <c r="P378" t="s">
        <v>74</v>
      </c>
      <c r="Q378" t="s">
        <v>74</v>
      </c>
      <c r="R378" t="s">
        <v>74</v>
      </c>
      <c r="S378" t="s">
        <v>74</v>
      </c>
      <c r="T378" t="s">
        <v>74</v>
      </c>
      <c r="U378" t="s">
        <v>74</v>
      </c>
      <c r="V378" t="s">
        <v>7352</v>
      </c>
      <c r="W378" t="s">
        <v>7353</v>
      </c>
      <c r="X378" t="s">
        <v>3860</v>
      </c>
      <c r="Y378" t="s">
        <v>7354</v>
      </c>
      <c r="Z378" t="s">
        <v>7355</v>
      </c>
      <c r="AA378" t="s">
        <v>74</v>
      </c>
      <c r="AB378" t="s">
        <v>74</v>
      </c>
      <c r="AC378" t="s">
        <v>74</v>
      </c>
      <c r="AD378" t="s">
        <v>74</v>
      </c>
      <c r="AE378" t="s">
        <v>74</v>
      </c>
      <c r="AF378" t="s">
        <v>74</v>
      </c>
      <c r="AG378">
        <v>52</v>
      </c>
      <c r="AH378">
        <v>0</v>
      </c>
      <c r="AI378">
        <v>0</v>
      </c>
      <c r="AJ378">
        <v>0</v>
      </c>
      <c r="AK378">
        <v>2</v>
      </c>
      <c r="AL378" t="s">
        <v>7356</v>
      </c>
      <c r="AM378" t="s">
        <v>3498</v>
      </c>
      <c r="AN378" t="s">
        <v>3499</v>
      </c>
      <c r="AO378" t="s">
        <v>7357</v>
      </c>
      <c r="AP378" t="s">
        <v>74</v>
      </c>
      <c r="AQ378" t="s">
        <v>7358</v>
      </c>
      <c r="AR378" t="s">
        <v>7359</v>
      </c>
      <c r="AS378" t="s">
        <v>74</v>
      </c>
      <c r="AT378" t="s">
        <v>74</v>
      </c>
      <c r="AU378">
        <v>2017</v>
      </c>
      <c r="AV378">
        <v>7</v>
      </c>
      <c r="AW378" t="s">
        <v>74</v>
      </c>
      <c r="AX378" t="s">
        <v>74</v>
      </c>
      <c r="AY378" t="s">
        <v>74</v>
      </c>
      <c r="AZ378" t="s">
        <v>74</v>
      </c>
      <c r="BA378" t="s">
        <v>74</v>
      </c>
      <c r="BB378">
        <v>309</v>
      </c>
      <c r="BC378">
        <v>324</v>
      </c>
      <c r="BD378" t="s">
        <v>74</v>
      </c>
      <c r="BE378" t="s">
        <v>7360</v>
      </c>
      <c r="BF378" t="str">
        <f>HYPERLINK("http://dx.doi.org/10.1007/978-3-319-41139-2_17","http://dx.doi.org/10.1007/978-3-319-41139-2_17")</f>
        <v>http://dx.doi.org/10.1007/978-3-319-41139-2_17</v>
      </c>
      <c r="BG378" t="s">
        <v>7361</v>
      </c>
      <c r="BH378" t="s">
        <v>74</v>
      </c>
      <c r="BI378">
        <v>16</v>
      </c>
      <c r="BJ378" t="s">
        <v>7362</v>
      </c>
      <c r="BK378" t="s">
        <v>3409</v>
      </c>
      <c r="BL378" t="s">
        <v>7363</v>
      </c>
      <c r="BM378" t="s">
        <v>7364</v>
      </c>
      <c r="BN378" t="s">
        <v>74</v>
      </c>
      <c r="BO378" t="s">
        <v>74</v>
      </c>
      <c r="BP378" t="s">
        <v>74</v>
      </c>
      <c r="BQ378" t="s">
        <v>74</v>
      </c>
      <c r="BR378" t="s">
        <v>105</v>
      </c>
      <c r="BS378" t="s">
        <v>7365</v>
      </c>
      <c r="BT378" t="str">
        <f>HYPERLINK("https%3A%2F%2Fwww.webofscience.com%2Fwos%2Fwoscc%2Ffull-record%2FWOS:000401898100018","View Full Record in Web of Science")</f>
        <v>View Full Record in Web of Science</v>
      </c>
    </row>
    <row r="379" spans="1:72" x14ac:dyDescent="0.15">
      <c r="A379" t="s">
        <v>72</v>
      </c>
      <c r="B379" t="s">
        <v>7366</v>
      </c>
      <c r="C379" t="s">
        <v>74</v>
      </c>
      <c r="D379" t="s">
        <v>74</v>
      </c>
      <c r="E379" t="s">
        <v>74</v>
      </c>
      <c r="F379" t="s">
        <v>7367</v>
      </c>
      <c r="G379" t="s">
        <v>74</v>
      </c>
      <c r="H379" t="s">
        <v>74</v>
      </c>
      <c r="I379" t="s">
        <v>7368</v>
      </c>
      <c r="J379" t="s">
        <v>7369</v>
      </c>
      <c r="K379" t="s">
        <v>74</v>
      </c>
      <c r="L379" t="s">
        <v>74</v>
      </c>
      <c r="M379" t="s">
        <v>78</v>
      </c>
      <c r="N379" t="s">
        <v>79</v>
      </c>
      <c r="O379" t="s">
        <v>74</v>
      </c>
      <c r="P379" t="s">
        <v>74</v>
      </c>
      <c r="Q379" t="s">
        <v>74</v>
      </c>
      <c r="R379" t="s">
        <v>74</v>
      </c>
      <c r="S379" t="s">
        <v>74</v>
      </c>
      <c r="T379" t="s">
        <v>7370</v>
      </c>
      <c r="U379" t="s">
        <v>74</v>
      </c>
      <c r="V379" t="s">
        <v>7371</v>
      </c>
      <c r="W379" t="s">
        <v>74</v>
      </c>
      <c r="X379" t="s">
        <v>74</v>
      </c>
      <c r="Y379" t="s">
        <v>74</v>
      </c>
      <c r="Z379" t="s">
        <v>7372</v>
      </c>
      <c r="AA379" t="s">
        <v>74</v>
      </c>
      <c r="AB379" t="s">
        <v>74</v>
      </c>
      <c r="AC379" t="s">
        <v>74</v>
      </c>
      <c r="AD379" t="s">
        <v>74</v>
      </c>
      <c r="AE379" t="s">
        <v>74</v>
      </c>
      <c r="AF379" t="s">
        <v>74</v>
      </c>
      <c r="AG379">
        <v>9</v>
      </c>
      <c r="AH379">
        <v>1</v>
      </c>
      <c r="AI379">
        <v>1</v>
      </c>
      <c r="AJ379">
        <v>0</v>
      </c>
      <c r="AK379">
        <v>3</v>
      </c>
      <c r="AL379" t="s">
        <v>1967</v>
      </c>
      <c r="AM379" t="s">
        <v>1910</v>
      </c>
      <c r="AN379" t="s">
        <v>1968</v>
      </c>
      <c r="AO379" t="s">
        <v>7373</v>
      </c>
      <c r="AP379" t="s">
        <v>7374</v>
      </c>
      <c r="AQ379" t="s">
        <v>74</v>
      </c>
      <c r="AR379" t="s">
        <v>7375</v>
      </c>
      <c r="AS379" t="s">
        <v>7376</v>
      </c>
      <c r="AT379" t="s">
        <v>74</v>
      </c>
      <c r="AU379">
        <v>2017</v>
      </c>
      <c r="AV379">
        <v>47</v>
      </c>
      <c r="AW379">
        <v>2</v>
      </c>
      <c r="AX379" t="s">
        <v>74</v>
      </c>
      <c r="AY379" t="s">
        <v>74</v>
      </c>
      <c r="AZ379" t="s">
        <v>270</v>
      </c>
      <c r="BA379" t="s">
        <v>74</v>
      </c>
      <c r="BB379">
        <v>205</v>
      </c>
      <c r="BC379">
        <v>210</v>
      </c>
      <c r="BD379" t="s">
        <v>74</v>
      </c>
      <c r="BE379" t="s">
        <v>7377</v>
      </c>
      <c r="BF379" t="str">
        <f>HYPERLINK("http://dx.doi.org/10.1080/03036758.2017.1305973","http://dx.doi.org/10.1080/03036758.2017.1305973")</f>
        <v>http://dx.doi.org/10.1080/03036758.2017.1305973</v>
      </c>
      <c r="BG379" t="s">
        <v>74</v>
      </c>
      <c r="BH379" t="s">
        <v>74</v>
      </c>
      <c r="BI379">
        <v>6</v>
      </c>
      <c r="BJ379" t="s">
        <v>100</v>
      </c>
      <c r="BK379" t="s">
        <v>101</v>
      </c>
      <c r="BL379" t="s">
        <v>102</v>
      </c>
      <c r="BM379" t="s">
        <v>7378</v>
      </c>
      <c r="BN379" t="s">
        <v>74</v>
      </c>
      <c r="BO379" t="s">
        <v>74</v>
      </c>
      <c r="BP379" t="s">
        <v>74</v>
      </c>
      <c r="BQ379" t="s">
        <v>74</v>
      </c>
      <c r="BR379" t="s">
        <v>105</v>
      </c>
      <c r="BS379" t="s">
        <v>7379</v>
      </c>
      <c r="BT379" t="str">
        <f>HYPERLINK("https%3A%2F%2Fwww.webofscience.com%2Fwos%2Fwoscc%2Ffull-record%2FWOS:000402105000011","View Full Record in Web of Science")</f>
        <v>View Full Record in Web of Science</v>
      </c>
    </row>
    <row r="380" spans="1:72" x14ac:dyDescent="0.15">
      <c r="A380" t="s">
        <v>72</v>
      </c>
      <c r="B380" t="s">
        <v>7380</v>
      </c>
      <c r="C380" t="s">
        <v>74</v>
      </c>
      <c r="D380" t="s">
        <v>74</v>
      </c>
      <c r="E380" t="s">
        <v>74</v>
      </c>
      <c r="F380" t="s">
        <v>7381</v>
      </c>
      <c r="G380" t="s">
        <v>74</v>
      </c>
      <c r="H380" t="s">
        <v>74</v>
      </c>
      <c r="I380" t="s">
        <v>7382</v>
      </c>
      <c r="J380" t="s">
        <v>6624</v>
      </c>
      <c r="K380" t="s">
        <v>74</v>
      </c>
      <c r="L380" t="s">
        <v>74</v>
      </c>
      <c r="M380" t="s">
        <v>78</v>
      </c>
      <c r="N380" t="s">
        <v>79</v>
      </c>
      <c r="O380" t="s">
        <v>74</v>
      </c>
      <c r="P380" t="s">
        <v>74</v>
      </c>
      <c r="Q380" t="s">
        <v>74</v>
      </c>
      <c r="R380" t="s">
        <v>74</v>
      </c>
      <c r="S380" t="s">
        <v>74</v>
      </c>
      <c r="T380" t="s">
        <v>74</v>
      </c>
      <c r="U380" t="s">
        <v>7383</v>
      </c>
      <c r="V380" t="s">
        <v>7384</v>
      </c>
      <c r="W380" t="s">
        <v>7385</v>
      </c>
      <c r="X380" t="s">
        <v>7386</v>
      </c>
      <c r="Y380" t="s">
        <v>7387</v>
      </c>
      <c r="Z380" t="s">
        <v>7388</v>
      </c>
      <c r="AA380" t="s">
        <v>74</v>
      </c>
      <c r="AB380" t="s">
        <v>74</v>
      </c>
      <c r="AC380" t="s">
        <v>7389</v>
      </c>
      <c r="AD380" t="s">
        <v>7390</v>
      </c>
      <c r="AE380" t="s">
        <v>7391</v>
      </c>
      <c r="AF380" t="s">
        <v>74</v>
      </c>
      <c r="AG380">
        <v>54</v>
      </c>
      <c r="AH380">
        <v>7</v>
      </c>
      <c r="AI380">
        <v>7</v>
      </c>
      <c r="AJ380">
        <v>2</v>
      </c>
      <c r="AK380">
        <v>29</v>
      </c>
      <c r="AL380" t="s">
        <v>6635</v>
      </c>
      <c r="AM380" t="s">
        <v>93</v>
      </c>
      <c r="AN380" t="s">
        <v>6636</v>
      </c>
      <c r="AO380" t="s">
        <v>6637</v>
      </c>
      <c r="AP380" t="s">
        <v>6638</v>
      </c>
      <c r="AQ380" t="s">
        <v>74</v>
      </c>
      <c r="AR380" t="s">
        <v>6639</v>
      </c>
      <c r="AS380" t="s">
        <v>6640</v>
      </c>
      <c r="AT380" t="s">
        <v>74</v>
      </c>
      <c r="AU380">
        <v>2017</v>
      </c>
      <c r="AV380">
        <v>2017</v>
      </c>
      <c r="AW380" t="s">
        <v>74</v>
      </c>
      <c r="AX380" t="s">
        <v>74</v>
      </c>
      <c r="AY380" t="s">
        <v>74</v>
      </c>
      <c r="AZ380" t="s">
        <v>74</v>
      </c>
      <c r="BA380" t="s">
        <v>74</v>
      </c>
      <c r="BB380" t="s">
        <v>74</v>
      </c>
      <c r="BC380" t="s">
        <v>74</v>
      </c>
      <c r="BD380">
        <v>6408029</v>
      </c>
      <c r="BE380" t="s">
        <v>7392</v>
      </c>
      <c r="BF380" t="str">
        <f>HYPERLINK("http://dx.doi.org/10.1155/2017/6408029","http://dx.doi.org/10.1155/2017/6408029")</f>
        <v>http://dx.doi.org/10.1155/2017/6408029</v>
      </c>
      <c r="BG380" t="s">
        <v>74</v>
      </c>
      <c r="BH380" t="s">
        <v>74</v>
      </c>
      <c r="BI380">
        <v>12</v>
      </c>
      <c r="BJ380" t="s">
        <v>747</v>
      </c>
      <c r="BK380" t="s">
        <v>101</v>
      </c>
      <c r="BL380" t="s">
        <v>747</v>
      </c>
      <c r="BM380" t="s">
        <v>7393</v>
      </c>
      <c r="BN380" t="s">
        <v>74</v>
      </c>
      <c r="BO380" t="s">
        <v>892</v>
      </c>
      <c r="BP380" t="s">
        <v>74</v>
      </c>
      <c r="BQ380" t="s">
        <v>74</v>
      </c>
      <c r="BR380" t="s">
        <v>105</v>
      </c>
      <c r="BS380" t="s">
        <v>7394</v>
      </c>
      <c r="BT380" t="str">
        <f>HYPERLINK("https%3A%2F%2Fwww.webofscience.com%2Fwos%2Fwoscc%2Ffull-record%2FWOS:000401417400001","View Full Record in Web of Science")</f>
        <v>View Full Record in Web of Science</v>
      </c>
    </row>
    <row r="381" spans="1:72" x14ac:dyDescent="0.15">
      <c r="A381" t="s">
        <v>72</v>
      </c>
      <c r="B381" t="s">
        <v>7395</v>
      </c>
      <c r="C381" t="s">
        <v>74</v>
      </c>
      <c r="D381" t="s">
        <v>74</v>
      </c>
      <c r="E381" t="s">
        <v>74</v>
      </c>
      <c r="F381" t="s">
        <v>7396</v>
      </c>
      <c r="G381" t="s">
        <v>74</v>
      </c>
      <c r="H381" t="s">
        <v>74</v>
      </c>
      <c r="I381" t="s">
        <v>7397</v>
      </c>
      <c r="J381" t="s">
        <v>7189</v>
      </c>
      <c r="K381" t="s">
        <v>74</v>
      </c>
      <c r="L381" t="s">
        <v>74</v>
      </c>
      <c r="M381" t="s">
        <v>78</v>
      </c>
      <c r="N381" t="s">
        <v>79</v>
      </c>
      <c r="O381" t="s">
        <v>74</v>
      </c>
      <c r="P381" t="s">
        <v>74</v>
      </c>
      <c r="Q381" t="s">
        <v>74</v>
      </c>
      <c r="R381" t="s">
        <v>74</v>
      </c>
      <c r="S381" t="s">
        <v>74</v>
      </c>
      <c r="T381" t="s">
        <v>7398</v>
      </c>
      <c r="U381" t="s">
        <v>7399</v>
      </c>
      <c r="V381" t="s">
        <v>7400</v>
      </c>
      <c r="W381" t="s">
        <v>7401</v>
      </c>
      <c r="X381" t="s">
        <v>7402</v>
      </c>
      <c r="Y381" t="s">
        <v>7403</v>
      </c>
      <c r="Z381" t="s">
        <v>7404</v>
      </c>
      <c r="AA381" t="s">
        <v>74</v>
      </c>
      <c r="AB381" t="s">
        <v>74</v>
      </c>
      <c r="AC381" t="s">
        <v>7405</v>
      </c>
      <c r="AD381" t="s">
        <v>7406</v>
      </c>
      <c r="AE381" t="s">
        <v>7407</v>
      </c>
      <c r="AF381" t="s">
        <v>74</v>
      </c>
      <c r="AG381">
        <v>95</v>
      </c>
      <c r="AH381">
        <v>7</v>
      </c>
      <c r="AI381">
        <v>7</v>
      </c>
      <c r="AJ381">
        <v>0</v>
      </c>
      <c r="AK381">
        <v>10</v>
      </c>
      <c r="AL381" t="s">
        <v>7202</v>
      </c>
      <c r="AM381" t="s">
        <v>7203</v>
      </c>
      <c r="AN381" t="s">
        <v>7204</v>
      </c>
      <c r="AO381" t="s">
        <v>7205</v>
      </c>
      <c r="AP381" t="s">
        <v>7206</v>
      </c>
      <c r="AQ381" t="s">
        <v>74</v>
      </c>
      <c r="AR381" t="s">
        <v>7207</v>
      </c>
      <c r="AS381" t="s">
        <v>7208</v>
      </c>
      <c r="AT381" t="s">
        <v>74</v>
      </c>
      <c r="AU381">
        <v>2017</v>
      </c>
      <c r="AV381">
        <v>77</v>
      </c>
      <c r="AW381">
        <v>1</v>
      </c>
      <c r="AX381" t="s">
        <v>74</v>
      </c>
      <c r="AY381" t="s">
        <v>74</v>
      </c>
      <c r="AZ381" t="s">
        <v>74</v>
      </c>
      <c r="BA381" t="s">
        <v>74</v>
      </c>
      <c r="BB381">
        <v>105</v>
      </c>
      <c r="BC381">
        <v>119</v>
      </c>
      <c r="BD381" t="s">
        <v>74</v>
      </c>
      <c r="BE381" t="s">
        <v>7408</v>
      </c>
      <c r="BF381" t="str">
        <f>HYPERLINK("http://dx.doi.org/10.1016/j.chemer.2017.01.004","http://dx.doi.org/10.1016/j.chemer.2017.01.004")</f>
        <v>http://dx.doi.org/10.1016/j.chemer.2017.01.004</v>
      </c>
      <c r="BG381" t="s">
        <v>74</v>
      </c>
      <c r="BH381" t="s">
        <v>74</v>
      </c>
      <c r="BI381">
        <v>15</v>
      </c>
      <c r="BJ381" t="s">
        <v>299</v>
      </c>
      <c r="BK381" t="s">
        <v>101</v>
      </c>
      <c r="BL381" t="s">
        <v>299</v>
      </c>
      <c r="BM381" t="s">
        <v>7409</v>
      </c>
      <c r="BN381" t="s">
        <v>74</v>
      </c>
      <c r="BO381" t="s">
        <v>301</v>
      </c>
      <c r="BP381" t="s">
        <v>74</v>
      </c>
      <c r="BQ381" t="s">
        <v>74</v>
      </c>
      <c r="BR381" t="s">
        <v>105</v>
      </c>
      <c r="BS381" t="s">
        <v>7410</v>
      </c>
      <c r="BT381" t="str">
        <f>HYPERLINK("https%3A%2F%2Fwww.webofscience.com%2Fwos%2Fwoscc%2Ffull-record%2FWOS:000401042700007","View Full Record in Web of Science")</f>
        <v>View Full Record in Web of Science</v>
      </c>
    </row>
    <row r="382" spans="1:72" x14ac:dyDescent="0.15">
      <c r="A382" t="s">
        <v>72</v>
      </c>
      <c r="B382" t="s">
        <v>7411</v>
      </c>
      <c r="C382" t="s">
        <v>74</v>
      </c>
      <c r="D382" t="s">
        <v>74</v>
      </c>
      <c r="E382" t="s">
        <v>74</v>
      </c>
      <c r="F382" t="s">
        <v>7412</v>
      </c>
      <c r="G382" t="s">
        <v>74</v>
      </c>
      <c r="H382" t="s">
        <v>74</v>
      </c>
      <c r="I382" t="s">
        <v>7413</v>
      </c>
      <c r="J382" t="s">
        <v>7414</v>
      </c>
      <c r="K382" t="s">
        <v>74</v>
      </c>
      <c r="L382" t="s">
        <v>74</v>
      </c>
      <c r="M382" t="s">
        <v>78</v>
      </c>
      <c r="N382" t="s">
        <v>79</v>
      </c>
      <c r="O382" t="s">
        <v>74</v>
      </c>
      <c r="P382" t="s">
        <v>74</v>
      </c>
      <c r="Q382" t="s">
        <v>74</v>
      </c>
      <c r="R382" t="s">
        <v>74</v>
      </c>
      <c r="S382" t="s">
        <v>74</v>
      </c>
      <c r="T382" t="s">
        <v>7415</v>
      </c>
      <c r="U382" t="s">
        <v>7416</v>
      </c>
      <c r="V382" t="s">
        <v>7417</v>
      </c>
      <c r="W382" t="s">
        <v>7418</v>
      </c>
      <c r="X382" t="s">
        <v>7419</v>
      </c>
      <c r="Y382" t="s">
        <v>7420</v>
      </c>
      <c r="Z382" t="s">
        <v>7421</v>
      </c>
      <c r="AA382" t="s">
        <v>74</v>
      </c>
      <c r="AB382" t="s">
        <v>7422</v>
      </c>
      <c r="AC382" t="s">
        <v>7423</v>
      </c>
      <c r="AD382" t="s">
        <v>7424</v>
      </c>
      <c r="AE382" t="s">
        <v>7425</v>
      </c>
      <c r="AF382" t="s">
        <v>74</v>
      </c>
      <c r="AG382">
        <v>32</v>
      </c>
      <c r="AH382">
        <v>16</v>
      </c>
      <c r="AI382">
        <v>18</v>
      </c>
      <c r="AJ382">
        <v>0</v>
      </c>
      <c r="AK382">
        <v>9</v>
      </c>
      <c r="AL382" t="s">
        <v>7426</v>
      </c>
      <c r="AM382" t="s">
        <v>7427</v>
      </c>
      <c r="AN382" t="s">
        <v>7428</v>
      </c>
      <c r="AO382" t="s">
        <v>7429</v>
      </c>
      <c r="AP382" t="s">
        <v>74</v>
      </c>
      <c r="AQ382" t="s">
        <v>74</v>
      </c>
      <c r="AR382" t="s">
        <v>7430</v>
      </c>
      <c r="AS382" t="s">
        <v>7431</v>
      </c>
      <c r="AT382" t="s">
        <v>74</v>
      </c>
      <c r="AU382">
        <v>2017</v>
      </c>
      <c r="AV382">
        <v>14</v>
      </c>
      <c r="AW382">
        <v>6</v>
      </c>
      <c r="AX382" t="s">
        <v>74</v>
      </c>
      <c r="AY382" t="s">
        <v>74</v>
      </c>
      <c r="AZ382" t="s">
        <v>74</v>
      </c>
      <c r="BA382" t="s">
        <v>74</v>
      </c>
      <c r="BB382">
        <v>560</v>
      </c>
      <c r="BC382">
        <v>569</v>
      </c>
      <c r="BD382" t="s">
        <v>74</v>
      </c>
      <c r="BE382" t="s">
        <v>7432</v>
      </c>
      <c r="BF382" t="str">
        <f>HYPERLINK("http://dx.doi.org/10.7150/ijms.18702","http://dx.doi.org/10.7150/ijms.18702")</f>
        <v>http://dx.doi.org/10.7150/ijms.18702</v>
      </c>
      <c r="BG382" t="s">
        <v>74</v>
      </c>
      <c r="BH382" t="s">
        <v>74</v>
      </c>
      <c r="BI382">
        <v>10</v>
      </c>
      <c r="BJ382" t="s">
        <v>2056</v>
      </c>
      <c r="BK382" t="s">
        <v>101</v>
      </c>
      <c r="BL382" t="s">
        <v>2058</v>
      </c>
      <c r="BM382" t="s">
        <v>7433</v>
      </c>
      <c r="BN382">
        <v>28638272</v>
      </c>
      <c r="BO382" t="s">
        <v>790</v>
      </c>
      <c r="BP382" t="s">
        <v>74</v>
      </c>
      <c r="BQ382" t="s">
        <v>74</v>
      </c>
      <c r="BR382" t="s">
        <v>105</v>
      </c>
      <c r="BS382" t="s">
        <v>7434</v>
      </c>
      <c r="BT382" t="str">
        <f>HYPERLINK("https%3A%2F%2Fwww.webofscience.com%2Fwos%2Fwoscc%2Ffull-record%2FWOS:000401121900007","View Full Record in Web of Science")</f>
        <v>View Full Record in Web of Science</v>
      </c>
    </row>
    <row r="383" spans="1:72" x14ac:dyDescent="0.15">
      <c r="A383" t="s">
        <v>72</v>
      </c>
      <c r="B383" t="s">
        <v>7435</v>
      </c>
      <c r="C383" t="s">
        <v>74</v>
      </c>
      <c r="D383" t="s">
        <v>74</v>
      </c>
      <c r="E383" t="s">
        <v>74</v>
      </c>
      <c r="F383" t="s">
        <v>7436</v>
      </c>
      <c r="G383" t="s">
        <v>74</v>
      </c>
      <c r="H383" t="s">
        <v>74</v>
      </c>
      <c r="I383" t="s">
        <v>7437</v>
      </c>
      <c r="J383" t="s">
        <v>7438</v>
      </c>
      <c r="K383" t="s">
        <v>74</v>
      </c>
      <c r="L383" t="s">
        <v>74</v>
      </c>
      <c r="M383" t="s">
        <v>78</v>
      </c>
      <c r="N383" t="s">
        <v>79</v>
      </c>
      <c r="O383" t="s">
        <v>74</v>
      </c>
      <c r="P383" t="s">
        <v>74</v>
      </c>
      <c r="Q383" t="s">
        <v>74</v>
      </c>
      <c r="R383" t="s">
        <v>74</v>
      </c>
      <c r="S383" t="s">
        <v>74</v>
      </c>
      <c r="T383" t="s">
        <v>7439</v>
      </c>
      <c r="U383" t="s">
        <v>7440</v>
      </c>
      <c r="V383" t="s">
        <v>7441</v>
      </c>
      <c r="W383" t="s">
        <v>7442</v>
      </c>
      <c r="X383" t="s">
        <v>7443</v>
      </c>
      <c r="Y383" t="s">
        <v>7444</v>
      </c>
      <c r="Z383" t="s">
        <v>7445</v>
      </c>
      <c r="AA383" t="s">
        <v>7446</v>
      </c>
      <c r="AB383" t="s">
        <v>74</v>
      </c>
      <c r="AC383" t="s">
        <v>7447</v>
      </c>
      <c r="AD383" t="s">
        <v>2045</v>
      </c>
      <c r="AE383" t="s">
        <v>7448</v>
      </c>
      <c r="AF383" t="s">
        <v>74</v>
      </c>
      <c r="AG383">
        <v>33</v>
      </c>
      <c r="AH383">
        <v>1</v>
      </c>
      <c r="AI383">
        <v>1</v>
      </c>
      <c r="AJ383">
        <v>0</v>
      </c>
      <c r="AK383">
        <v>4</v>
      </c>
      <c r="AL383" t="s">
        <v>7449</v>
      </c>
      <c r="AM383" t="s">
        <v>187</v>
      </c>
      <c r="AN383" t="s">
        <v>7450</v>
      </c>
      <c r="AO383" t="s">
        <v>7451</v>
      </c>
      <c r="AP383" t="s">
        <v>7452</v>
      </c>
      <c r="AQ383" t="s">
        <v>74</v>
      </c>
      <c r="AR383" t="s">
        <v>7453</v>
      </c>
      <c r="AS383" t="s">
        <v>7454</v>
      </c>
      <c r="AT383" t="s">
        <v>2136</v>
      </c>
      <c r="AU383">
        <v>2017</v>
      </c>
      <c r="AV383">
        <v>43</v>
      </c>
      <c r="AW383">
        <v>1</v>
      </c>
      <c r="AX383" t="s">
        <v>74</v>
      </c>
      <c r="AY383" t="s">
        <v>74</v>
      </c>
      <c r="AZ383" t="s">
        <v>74</v>
      </c>
      <c r="BA383" t="s">
        <v>74</v>
      </c>
      <c r="BB383">
        <v>12</v>
      </c>
      <c r="BC383">
        <v>24</v>
      </c>
      <c r="BD383" t="s">
        <v>74</v>
      </c>
      <c r="BE383" t="s">
        <v>7455</v>
      </c>
      <c r="BF383" t="str">
        <f>HYPERLINK("http://dx.doi.org/10.1134/S1063074017010035","http://dx.doi.org/10.1134/S1063074017010035")</f>
        <v>http://dx.doi.org/10.1134/S1063074017010035</v>
      </c>
      <c r="BG383" t="s">
        <v>74</v>
      </c>
      <c r="BH383" t="s">
        <v>74</v>
      </c>
      <c r="BI383">
        <v>13</v>
      </c>
      <c r="BJ383" t="s">
        <v>2474</v>
      </c>
      <c r="BK383" t="s">
        <v>101</v>
      </c>
      <c r="BL383" t="s">
        <v>2474</v>
      </c>
      <c r="BM383" t="s">
        <v>7456</v>
      </c>
      <c r="BN383" t="s">
        <v>74</v>
      </c>
      <c r="BO383" t="s">
        <v>74</v>
      </c>
      <c r="BP383" t="s">
        <v>74</v>
      </c>
      <c r="BQ383" t="s">
        <v>74</v>
      </c>
      <c r="BR383" t="s">
        <v>105</v>
      </c>
      <c r="BS383" t="s">
        <v>7457</v>
      </c>
      <c r="BT383" t="str">
        <f>HYPERLINK("https%3A%2F%2Fwww.webofscience.com%2Fwos%2Fwoscc%2Ffull-record%2FWOS:000400385600002","View Full Record in Web of Science")</f>
        <v>View Full Record in Web of Science</v>
      </c>
    </row>
    <row r="384" spans="1:72" x14ac:dyDescent="0.15">
      <c r="A384" t="s">
        <v>72</v>
      </c>
      <c r="B384" t="s">
        <v>7458</v>
      </c>
      <c r="C384" t="s">
        <v>74</v>
      </c>
      <c r="D384" t="s">
        <v>74</v>
      </c>
      <c r="E384" t="s">
        <v>74</v>
      </c>
      <c r="F384" t="s">
        <v>7459</v>
      </c>
      <c r="G384" t="s">
        <v>74</v>
      </c>
      <c r="H384" t="s">
        <v>74</v>
      </c>
      <c r="I384" t="s">
        <v>7460</v>
      </c>
      <c r="J384" t="s">
        <v>7438</v>
      </c>
      <c r="K384" t="s">
        <v>74</v>
      </c>
      <c r="L384" t="s">
        <v>74</v>
      </c>
      <c r="M384" t="s">
        <v>78</v>
      </c>
      <c r="N384" t="s">
        <v>79</v>
      </c>
      <c r="O384" t="s">
        <v>74</v>
      </c>
      <c r="P384" t="s">
        <v>74</v>
      </c>
      <c r="Q384" t="s">
        <v>74</v>
      </c>
      <c r="R384" t="s">
        <v>74</v>
      </c>
      <c r="S384" t="s">
        <v>74</v>
      </c>
      <c r="T384" t="s">
        <v>7461</v>
      </c>
      <c r="U384" t="s">
        <v>7462</v>
      </c>
      <c r="V384" t="s">
        <v>7463</v>
      </c>
      <c r="W384" t="s">
        <v>7464</v>
      </c>
      <c r="X384" t="s">
        <v>7465</v>
      </c>
      <c r="Y384" t="s">
        <v>7466</v>
      </c>
      <c r="Z384" t="s">
        <v>7467</v>
      </c>
      <c r="AA384" t="s">
        <v>7468</v>
      </c>
      <c r="AB384" t="s">
        <v>7469</v>
      </c>
      <c r="AC384" t="s">
        <v>7470</v>
      </c>
      <c r="AD384" t="s">
        <v>7471</v>
      </c>
      <c r="AE384" t="s">
        <v>7472</v>
      </c>
      <c r="AF384" t="s">
        <v>74</v>
      </c>
      <c r="AG384">
        <v>41</v>
      </c>
      <c r="AH384">
        <v>5</v>
      </c>
      <c r="AI384">
        <v>5</v>
      </c>
      <c r="AJ384">
        <v>0</v>
      </c>
      <c r="AK384">
        <v>9</v>
      </c>
      <c r="AL384" t="s">
        <v>7449</v>
      </c>
      <c r="AM384" t="s">
        <v>187</v>
      </c>
      <c r="AN384" t="s">
        <v>7450</v>
      </c>
      <c r="AO384" t="s">
        <v>7451</v>
      </c>
      <c r="AP384" t="s">
        <v>7452</v>
      </c>
      <c r="AQ384" t="s">
        <v>74</v>
      </c>
      <c r="AR384" t="s">
        <v>7453</v>
      </c>
      <c r="AS384" t="s">
        <v>7454</v>
      </c>
      <c r="AT384" t="s">
        <v>2136</v>
      </c>
      <c r="AU384">
        <v>2017</v>
      </c>
      <c r="AV384">
        <v>43</v>
      </c>
      <c r="AW384">
        <v>1</v>
      </c>
      <c r="AX384" t="s">
        <v>74</v>
      </c>
      <c r="AY384" t="s">
        <v>74</v>
      </c>
      <c r="AZ384" t="s">
        <v>74</v>
      </c>
      <c r="BA384" t="s">
        <v>74</v>
      </c>
      <c r="BB384">
        <v>25</v>
      </c>
      <c r="BC384">
        <v>33</v>
      </c>
      <c r="BD384" t="s">
        <v>74</v>
      </c>
      <c r="BE384" t="s">
        <v>7473</v>
      </c>
      <c r="BF384" t="str">
        <f>HYPERLINK("http://dx.doi.org/10.1134/S1063074017010072","http://dx.doi.org/10.1134/S1063074017010072")</f>
        <v>http://dx.doi.org/10.1134/S1063074017010072</v>
      </c>
      <c r="BG384" t="s">
        <v>74</v>
      </c>
      <c r="BH384" t="s">
        <v>74</v>
      </c>
      <c r="BI384">
        <v>9</v>
      </c>
      <c r="BJ384" t="s">
        <v>2474</v>
      </c>
      <c r="BK384" t="s">
        <v>101</v>
      </c>
      <c r="BL384" t="s">
        <v>2474</v>
      </c>
      <c r="BM384" t="s">
        <v>7456</v>
      </c>
      <c r="BN384" t="s">
        <v>74</v>
      </c>
      <c r="BO384" t="s">
        <v>74</v>
      </c>
      <c r="BP384" t="s">
        <v>74</v>
      </c>
      <c r="BQ384" t="s">
        <v>74</v>
      </c>
      <c r="BR384" t="s">
        <v>105</v>
      </c>
      <c r="BS384" t="s">
        <v>7474</v>
      </c>
      <c r="BT384" t="str">
        <f>HYPERLINK("https%3A%2F%2Fwww.webofscience.com%2Fwos%2Fwoscc%2Ffull-record%2FWOS:000400385600003","View Full Record in Web of Science")</f>
        <v>View Full Record in Web of Science</v>
      </c>
    </row>
    <row r="385" spans="1:72" x14ac:dyDescent="0.15">
      <c r="A385" t="s">
        <v>72</v>
      </c>
      <c r="B385" t="s">
        <v>7475</v>
      </c>
      <c r="C385" t="s">
        <v>74</v>
      </c>
      <c r="D385" t="s">
        <v>74</v>
      </c>
      <c r="E385" t="s">
        <v>74</v>
      </c>
      <c r="F385" t="s">
        <v>7476</v>
      </c>
      <c r="G385" t="s">
        <v>74</v>
      </c>
      <c r="H385" t="s">
        <v>74</v>
      </c>
      <c r="I385" t="s">
        <v>7477</v>
      </c>
      <c r="J385" t="s">
        <v>7478</v>
      </c>
      <c r="K385" t="s">
        <v>74</v>
      </c>
      <c r="L385" t="s">
        <v>74</v>
      </c>
      <c r="M385" t="s">
        <v>78</v>
      </c>
      <c r="N385" t="s">
        <v>79</v>
      </c>
      <c r="O385" t="s">
        <v>74</v>
      </c>
      <c r="P385" t="s">
        <v>74</v>
      </c>
      <c r="Q385" t="s">
        <v>74</v>
      </c>
      <c r="R385" t="s">
        <v>74</v>
      </c>
      <c r="S385" t="s">
        <v>74</v>
      </c>
      <c r="T385" t="s">
        <v>7479</v>
      </c>
      <c r="U385" t="s">
        <v>7480</v>
      </c>
      <c r="V385" t="s">
        <v>7481</v>
      </c>
      <c r="W385" t="s">
        <v>7482</v>
      </c>
      <c r="X385" t="s">
        <v>7483</v>
      </c>
      <c r="Y385" t="s">
        <v>7484</v>
      </c>
      <c r="Z385" t="s">
        <v>7485</v>
      </c>
      <c r="AA385" t="s">
        <v>7486</v>
      </c>
      <c r="AB385" t="s">
        <v>7487</v>
      </c>
      <c r="AC385" t="s">
        <v>7488</v>
      </c>
      <c r="AD385" t="s">
        <v>7489</v>
      </c>
      <c r="AE385" t="s">
        <v>7490</v>
      </c>
      <c r="AF385" t="s">
        <v>74</v>
      </c>
      <c r="AG385">
        <v>34</v>
      </c>
      <c r="AH385">
        <v>0</v>
      </c>
      <c r="AI385">
        <v>0</v>
      </c>
      <c r="AJ385">
        <v>0</v>
      </c>
      <c r="AK385">
        <v>0</v>
      </c>
      <c r="AL385" t="s">
        <v>7491</v>
      </c>
      <c r="AM385" t="s">
        <v>7492</v>
      </c>
      <c r="AN385" t="s">
        <v>7493</v>
      </c>
      <c r="AO385" t="s">
        <v>7494</v>
      </c>
      <c r="AP385" t="s">
        <v>74</v>
      </c>
      <c r="AQ385" t="s">
        <v>74</v>
      </c>
      <c r="AR385" t="s">
        <v>7495</v>
      </c>
      <c r="AS385" t="s">
        <v>7496</v>
      </c>
      <c r="AT385" t="s">
        <v>2136</v>
      </c>
      <c r="AU385">
        <v>2017</v>
      </c>
      <c r="AV385">
        <v>21</v>
      </c>
      <c r="AW385">
        <v>1</v>
      </c>
      <c r="AX385" t="s">
        <v>74</v>
      </c>
      <c r="AY385" t="s">
        <v>74</v>
      </c>
      <c r="AZ385" t="s">
        <v>74</v>
      </c>
      <c r="BA385" t="s">
        <v>74</v>
      </c>
      <c r="BB385">
        <v>58</v>
      </c>
      <c r="BC385">
        <v>66</v>
      </c>
      <c r="BD385" t="s">
        <v>74</v>
      </c>
      <c r="BE385" t="s">
        <v>74</v>
      </c>
      <c r="BF385" t="s">
        <v>74</v>
      </c>
      <c r="BG385" t="s">
        <v>74</v>
      </c>
      <c r="BH385" t="s">
        <v>74</v>
      </c>
      <c r="BI385">
        <v>9</v>
      </c>
      <c r="BJ385" t="s">
        <v>299</v>
      </c>
      <c r="BK385" t="s">
        <v>2057</v>
      </c>
      <c r="BL385" t="s">
        <v>299</v>
      </c>
      <c r="BM385" t="s">
        <v>7497</v>
      </c>
      <c r="BN385" t="s">
        <v>74</v>
      </c>
      <c r="BO385" t="s">
        <v>74</v>
      </c>
      <c r="BP385" t="s">
        <v>74</v>
      </c>
      <c r="BQ385" t="s">
        <v>74</v>
      </c>
      <c r="BR385" t="s">
        <v>105</v>
      </c>
      <c r="BS385" t="s">
        <v>7498</v>
      </c>
      <c r="BT385" t="str">
        <f>HYPERLINK("https%3A%2F%2Fwww.webofscience.com%2Fwos%2Fwoscc%2Ffull-record%2FWOS:000400044900009","View Full Record in Web of Science")</f>
        <v>View Full Record in Web of Science</v>
      </c>
    </row>
    <row r="386" spans="1:72" x14ac:dyDescent="0.15">
      <c r="A386" t="s">
        <v>72</v>
      </c>
      <c r="B386" t="s">
        <v>7499</v>
      </c>
      <c r="C386" t="s">
        <v>74</v>
      </c>
      <c r="D386" t="s">
        <v>74</v>
      </c>
      <c r="E386" t="s">
        <v>74</v>
      </c>
      <c r="F386" t="s">
        <v>7500</v>
      </c>
      <c r="G386" t="s">
        <v>74</v>
      </c>
      <c r="H386" t="s">
        <v>74</v>
      </c>
      <c r="I386" t="s">
        <v>7501</v>
      </c>
      <c r="J386" t="s">
        <v>7502</v>
      </c>
      <c r="K386" t="s">
        <v>74</v>
      </c>
      <c r="L386" t="s">
        <v>74</v>
      </c>
      <c r="M386" t="s">
        <v>78</v>
      </c>
      <c r="N386" t="s">
        <v>79</v>
      </c>
      <c r="O386" t="s">
        <v>74</v>
      </c>
      <c r="P386" t="s">
        <v>74</v>
      </c>
      <c r="Q386" t="s">
        <v>74</v>
      </c>
      <c r="R386" t="s">
        <v>74</v>
      </c>
      <c r="S386" t="s">
        <v>74</v>
      </c>
      <c r="T386" t="s">
        <v>74</v>
      </c>
      <c r="U386" t="s">
        <v>7503</v>
      </c>
      <c r="V386" t="s">
        <v>7504</v>
      </c>
      <c r="W386" t="s">
        <v>7505</v>
      </c>
      <c r="X386" t="s">
        <v>7506</v>
      </c>
      <c r="Y386" t="s">
        <v>7507</v>
      </c>
      <c r="Z386" t="s">
        <v>7508</v>
      </c>
      <c r="AA386" t="s">
        <v>7509</v>
      </c>
      <c r="AB386" t="s">
        <v>7510</v>
      </c>
      <c r="AC386" t="s">
        <v>7511</v>
      </c>
      <c r="AD386" t="s">
        <v>7512</v>
      </c>
      <c r="AE386" t="s">
        <v>7513</v>
      </c>
      <c r="AF386" t="s">
        <v>74</v>
      </c>
      <c r="AG386">
        <v>42</v>
      </c>
      <c r="AH386">
        <v>60</v>
      </c>
      <c r="AI386">
        <v>64</v>
      </c>
      <c r="AJ386">
        <v>0</v>
      </c>
      <c r="AK386">
        <v>21</v>
      </c>
      <c r="AL386" t="s">
        <v>7514</v>
      </c>
      <c r="AM386" t="s">
        <v>1581</v>
      </c>
      <c r="AN386" t="s">
        <v>7515</v>
      </c>
      <c r="AO386" t="s">
        <v>7516</v>
      </c>
      <c r="AP386" t="s">
        <v>74</v>
      </c>
      <c r="AQ386" t="s">
        <v>74</v>
      </c>
      <c r="AR386" t="s">
        <v>7517</v>
      </c>
      <c r="AS386" t="s">
        <v>7518</v>
      </c>
      <c r="AT386" t="s">
        <v>74</v>
      </c>
      <c r="AU386">
        <v>2017</v>
      </c>
      <c r="AV386">
        <v>7</v>
      </c>
      <c r="AW386">
        <v>34</v>
      </c>
      <c r="AX386" t="s">
        <v>74</v>
      </c>
      <c r="AY386" t="s">
        <v>74</v>
      </c>
      <c r="AZ386" t="s">
        <v>74</v>
      </c>
      <c r="BA386" t="s">
        <v>74</v>
      </c>
      <c r="BB386">
        <v>20716</v>
      </c>
      <c r="BC386">
        <v>20723</v>
      </c>
      <c r="BD386" t="s">
        <v>74</v>
      </c>
      <c r="BE386" t="s">
        <v>7519</v>
      </c>
      <c r="BF386" t="str">
        <f>HYPERLINK("http://dx.doi.org/10.1039/c6ra28687a","http://dx.doi.org/10.1039/c6ra28687a")</f>
        <v>http://dx.doi.org/10.1039/c6ra28687a</v>
      </c>
      <c r="BG386" t="s">
        <v>74</v>
      </c>
      <c r="BH386" t="s">
        <v>74</v>
      </c>
      <c r="BI386">
        <v>8</v>
      </c>
      <c r="BJ386" t="s">
        <v>1395</v>
      </c>
      <c r="BK386" t="s">
        <v>101</v>
      </c>
      <c r="BL386" t="s">
        <v>1396</v>
      </c>
      <c r="BM386" t="s">
        <v>7520</v>
      </c>
      <c r="BN386" t="s">
        <v>74</v>
      </c>
      <c r="BO386" t="s">
        <v>941</v>
      </c>
      <c r="BP386" t="s">
        <v>74</v>
      </c>
      <c r="BQ386" t="s">
        <v>74</v>
      </c>
      <c r="BR386" t="s">
        <v>105</v>
      </c>
      <c r="BS386" t="s">
        <v>7521</v>
      </c>
      <c r="BT386" t="str">
        <f>HYPERLINK("https%3A%2F%2Fwww.webofscience.com%2Fwos%2Fwoscc%2Ffull-record%2FWOS:000399722300002","View Full Record in Web of Science")</f>
        <v>View Full Record in Web of Science</v>
      </c>
    </row>
    <row r="387" spans="1:72" x14ac:dyDescent="0.15">
      <c r="A387" t="s">
        <v>72</v>
      </c>
      <c r="B387" t="s">
        <v>7522</v>
      </c>
      <c r="C387" t="s">
        <v>74</v>
      </c>
      <c r="D387" t="s">
        <v>74</v>
      </c>
      <c r="E387" t="s">
        <v>74</v>
      </c>
      <c r="F387" t="s">
        <v>7523</v>
      </c>
      <c r="G387" t="s">
        <v>74</v>
      </c>
      <c r="H387" t="s">
        <v>74</v>
      </c>
      <c r="I387" t="s">
        <v>7524</v>
      </c>
      <c r="J387" t="s">
        <v>6964</v>
      </c>
      <c r="K387" t="s">
        <v>74</v>
      </c>
      <c r="L387" t="s">
        <v>74</v>
      </c>
      <c r="M387" t="s">
        <v>78</v>
      </c>
      <c r="N387" t="s">
        <v>79</v>
      </c>
      <c r="O387" t="s">
        <v>74</v>
      </c>
      <c r="P387" t="s">
        <v>74</v>
      </c>
      <c r="Q387" t="s">
        <v>74</v>
      </c>
      <c r="R387" t="s">
        <v>74</v>
      </c>
      <c r="S387" t="s">
        <v>74</v>
      </c>
      <c r="T387" t="s">
        <v>7525</v>
      </c>
      <c r="U387" t="s">
        <v>7526</v>
      </c>
      <c r="V387" t="s">
        <v>7527</v>
      </c>
      <c r="W387" t="s">
        <v>7528</v>
      </c>
      <c r="X387" t="s">
        <v>7529</v>
      </c>
      <c r="Y387" t="s">
        <v>7530</v>
      </c>
      <c r="Z387" t="s">
        <v>7531</v>
      </c>
      <c r="AA387" t="s">
        <v>74</v>
      </c>
      <c r="AB387" t="s">
        <v>74</v>
      </c>
      <c r="AC387" t="s">
        <v>7532</v>
      </c>
      <c r="AD387" t="s">
        <v>7533</v>
      </c>
      <c r="AE387" t="s">
        <v>7534</v>
      </c>
      <c r="AF387" t="s">
        <v>74</v>
      </c>
      <c r="AG387">
        <v>60</v>
      </c>
      <c r="AH387">
        <v>17</v>
      </c>
      <c r="AI387">
        <v>19</v>
      </c>
      <c r="AJ387">
        <v>1</v>
      </c>
      <c r="AK387">
        <v>6</v>
      </c>
      <c r="AL387" t="s">
        <v>1967</v>
      </c>
      <c r="AM387" t="s">
        <v>1910</v>
      </c>
      <c r="AN387" t="s">
        <v>1968</v>
      </c>
      <c r="AO387" t="s">
        <v>74</v>
      </c>
      <c r="AP387" t="s">
        <v>6977</v>
      </c>
      <c r="AQ387" t="s">
        <v>74</v>
      </c>
      <c r="AR387" t="s">
        <v>6978</v>
      </c>
      <c r="AS387" t="s">
        <v>6979</v>
      </c>
      <c r="AT387" t="s">
        <v>74</v>
      </c>
      <c r="AU387">
        <v>2017</v>
      </c>
      <c r="AV387">
        <v>69</v>
      </c>
      <c r="AW387" t="s">
        <v>74</v>
      </c>
      <c r="AX387" t="s">
        <v>74</v>
      </c>
      <c r="AY387" t="s">
        <v>74</v>
      </c>
      <c r="AZ387" t="s">
        <v>74</v>
      </c>
      <c r="BA387" t="s">
        <v>74</v>
      </c>
      <c r="BB387" t="s">
        <v>74</v>
      </c>
      <c r="BC387" t="s">
        <v>74</v>
      </c>
      <c r="BD387">
        <v>1317202</v>
      </c>
      <c r="BE387" t="s">
        <v>7535</v>
      </c>
      <c r="BF387" t="str">
        <f>HYPERLINK("http://dx.doi.org/10.1080/16000870.2017.1317202","http://dx.doi.org/10.1080/16000870.2017.1317202")</f>
        <v>http://dx.doi.org/10.1080/16000870.2017.1317202</v>
      </c>
      <c r="BG387" t="s">
        <v>74</v>
      </c>
      <c r="BH387" t="s">
        <v>74</v>
      </c>
      <c r="BI387">
        <v>24</v>
      </c>
      <c r="BJ387" t="s">
        <v>6981</v>
      </c>
      <c r="BK387" t="s">
        <v>101</v>
      </c>
      <c r="BL387" t="s">
        <v>6981</v>
      </c>
      <c r="BM387" t="s">
        <v>7536</v>
      </c>
      <c r="BN387" t="s">
        <v>74</v>
      </c>
      <c r="BO387" t="s">
        <v>941</v>
      </c>
      <c r="BP387" t="s">
        <v>74</v>
      </c>
      <c r="BQ387" t="s">
        <v>74</v>
      </c>
      <c r="BR387" t="s">
        <v>105</v>
      </c>
      <c r="BS387" t="s">
        <v>7537</v>
      </c>
      <c r="BT387" t="str">
        <f>HYPERLINK("https%3A%2F%2Fwww.webofscience.com%2Fwos%2Fwoscc%2Ffull-record%2FWOS:000399983600001","View Full Record in Web of Science")</f>
        <v>View Full Record in Web of Science</v>
      </c>
    </row>
    <row r="388" spans="1:72" x14ac:dyDescent="0.15">
      <c r="A388" t="s">
        <v>72</v>
      </c>
      <c r="B388" t="s">
        <v>7538</v>
      </c>
      <c r="C388" t="s">
        <v>74</v>
      </c>
      <c r="D388" t="s">
        <v>74</v>
      </c>
      <c r="E388" t="s">
        <v>74</v>
      </c>
      <c r="F388" t="s">
        <v>7539</v>
      </c>
      <c r="G388" t="s">
        <v>74</v>
      </c>
      <c r="H388" t="s">
        <v>74</v>
      </c>
      <c r="I388" t="s">
        <v>7540</v>
      </c>
      <c r="J388" t="s">
        <v>7541</v>
      </c>
      <c r="K388" t="s">
        <v>74</v>
      </c>
      <c r="L388" t="s">
        <v>74</v>
      </c>
      <c r="M388" t="s">
        <v>5225</v>
      </c>
      <c r="N388" t="s">
        <v>79</v>
      </c>
      <c r="O388" t="s">
        <v>74</v>
      </c>
      <c r="P388" t="s">
        <v>74</v>
      </c>
      <c r="Q388" t="s">
        <v>74</v>
      </c>
      <c r="R388" t="s">
        <v>74</v>
      </c>
      <c r="S388" t="s">
        <v>74</v>
      </c>
      <c r="T388" t="s">
        <v>7542</v>
      </c>
      <c r="U388" t="s">
        <v>7543</v>
      </c>
      <c r="V388" t="s">
        <v>7544</v>
      </c>
      <c r="W388" t="s">
        <v>7545</v>
      </c>
      <c r="X388" t="s">
        <v>7546</v>
      </c>
      <c r="Y388" t="s">
        <v>7547</v>
      </c>
      <c r="Z388" t="s">
        <v>7548</v>
      </c>
      <c r="AA388" t="s">
        <v>74</v>
      </c>
      <c r="AB388" t="s">
        <v>74</v>
      </c>
      <c r="AC388" t="s">
        <v>74</v>
      </c>
      <c r="AD388" t="s">
        <v>74</v>
      </c>
      <c r="AE388" t="s">
        <v>74</v>
      </c>
      <c r="AF388" t="s">
        <v>74</v>
      </c>
      <c r="AG388">
        <v>67</v>
      </c>
      <c r="AH388">
        <v>3</v>
      </c>
      <c r="AI388">
        <v>5</v>
      </c>
      <c r="AJ388">
        <v>0</v>
      </c>
      <c r="AK388">
        <v>4</v>
      </c>
      <c r="AL388" t="s">
        <v>3235</v>
      </c>
      <c r="AM388" t="s">
        <v>3236</v>
      </c>
      <c r="AN388" t="s">
        <v>3237</v>
      </c>
      <c r="AO388" t="s">
        <v>7549</v>
      </c>
      <c r="AP388" t="s">
        <v>7550</v>
      </c>
      <c r="AQ388" t="s">
        <v>74</v>
      </c>
      <c r="AR388" t="s">
        <v>7551</v>
      </c>
      <c r="AS388" t="s">
        <v>7552</v>
      </c>
      <c r="AT388" t="s">
        <v>74</v>
      </c>
      <c r="AU388">
        <v>2017</v>
      </c>
      <c r="AV388">
        <v>33</v>
      </c>
      <c r="AW388">
        <v>3</v>
      </c>
      <c r="AX388" t="s">
        <v>74</v>
      </c>
      <c r="AY388" t="s">
        <v>74</v>
      </c>
      <c r="AZ388" t="s">
        <v>74</v>
      </c>
      <c r="BA388" t="s">
        <v>74</v>
      </c>
      <c r="BB388">
        <v>978</v>
      </c>
      <c r="BC388">
        <v>992</v>
      </c>
      <c r="BD388" t="s">
        <v>74</v>
      </c>
      <c r="BE388" t="s">
        <v>74</v>
      </c>
      <c r="BF388" t="s">
        <v>74</v>
      </c>
      <c r="BG388" t="s">
        <v>74</v>
      </c>
      <c r="BH388" t="s">
        <v>74</v>
      </c>
      <c r="BI388">
        <v>15</v>
      </c>
      <c r="BJ388" t="s">
        <v>670</v>
      </c>
      <c r="BK388" t="s">
        <v>101</v>
      </c>
      <c r="BL388" t="s">
        <v>670</v>
      </c>
      <c r="BM388" t="s">
        <v>7553</v>
      </c>
      <c r="BN388" t="s">
        <v>74</v>
      </c>
      <c r="BO388" t="s">
        <v>74</v>
      </c>
      <c r="BP388" t="s">
        <v>74</v>
      </c>
      <c r="BQ388" t="s">
        <v>74</v>
      </c>
      <c r="BR388" t="s">
        <v>105</v>
      </c>
      <c r="BS388" t="s">
        <v>7554</v>
      </c>
      <c r="BT388" t="str">
        <f>HYPERLINK("https%3A%2F%2Fwww.webofscience.com%2Fwos%2Fwoscc%2Ffull-record%2FWOS:000399303400022","View Full Record in Web of Science")</f>
        <v>View Full Record in Web of Science</v>
      </c>
    </row>
    <row r="389" spans="1:72" x14ac:dyDescent="0.15">
      <c r="A389" t="s">
        <v>72</v>
      </c>
      <c r="B389" t="s">
        <v>7555</v>
      </c>
      <c r="C389" t="s">
        <v>74</v>
      </c>
      <c r="D389" t="s">
        <v>74</v>
      </c>
      <c r="E389" t="s">
        <v>74</v>
      </c>
      <c r="F389" t="s">
        <v>7556</v>
      </c>
      <c r="G389" t="s">
        <v>74</v>
      </c>
      <c r="H389" t="s">
        <v>74</v>
      </c>
      <c r="I389" t="s">
        <v>7557</v>
      </c>
      <c r="J389" t="s">
        <v>7558</v>
      </c>
      <c r="K389" t="s">
        <v>74</v>
      </c>
      <c r="L389" t="s">
        <v>74</v>
      </c>
      <c r="M389" t="s">
        <v>78</v>
      </c>
      <c r="N389" t="s">
        <v>79</v>
      </c>
      <c r="O389" t="s">
        <v>74</v>
      </c>
      <c r="P389" t="s">
        <v>74</v>
      </c>
      <c r="Q389" t="s">
        <v>74</v>
      </c>
      <c r="R389" t="s">
        <v>74</v>
      </c>
      <c r="S389" t="s">
        <v>74</v>
      </c>
      <c r="T389" t="s">
        <v>7559</v>
      </c>
      <c r="U389" t="s">
        <v>7560</v>
      </c>
      <c r="V389" t="s">
        <v>7561</v>
      </c>
      <c r="W389" t="s">
        <v>7562</v>
      </c>
      <c r="X389" t="s">
        <v>7563</v>
      </c>
      <c r="Y389" t="s">
        <v>7564</v>
      </c>
      <c r="Z389" t="s">
        <v>7565</v>
      </c>
      <c r="AA389" t="s">
        <v>74</v>
      </c>
      <c r="AB389" t="s">
        <v>7566</v>
      </c>
      <c r="AC389" t="s">
        <v>7567</v>
      </c>
      <c r="AD389" t="s">
        <v>7568</v>
      </c>
      <c r="AE389" t="s">
        <v>7569</v>
      </c>
      <c r="AF389" t="s">
        <v>74</v>
      </c>
      <c r="AG389">
        <v>27</v>
      </c>
      <c r="AH389">
        <v>3</v>
      </c>
      <c r="AI389">
        <v>3</v>
      </c>
      <c r="AJ389">
        <v>2</v>
      </c>
      <c r="AK389">
        <v>6</v>
      </c>
      <c r="AL389" t="s">
        <v>1967</v>
      </c>
      <c r="AM389" t="s">
        <v>1910</v>
      </c>
      <c r="AN389" t="s">
        <v>1968</v>
      </c>
      <c r="AO389" t="s">
        <v>7570</v>
      </c>
      <c r="AP389" t="s">
        <v>7571</v>
      </c>
      <c r="AQ389" t="s">
        <v>74</v>
      </c>
      <c r="AR389" t="s">
        <v>7572</v>
      </c>
      <c r="AS389" t="s">
        <v>7573</v>
      </c>
      <c r="AT389" t="s">
        <v>74</v>
      </c>
      <c r="AU389">
        <v>2017</v>
      </c>
      <c r="AV389">
        <v>111</v>
      </c>
      <c r="AW389">
        <v>2</v>
      </c>
      <c r="AX389" t="s">
        <v>74</v>
      </c>
      <c r="AY389" t="s">
        <v>74</v>
      </c>
      <c r="AZ389" t="s">
        <v>74</v>
      </c>
      <c r="BA389" t="s">
        <v>74</v>
      </c>
      <c r="BB389">
        <v>91</v>
      </c>
      <c r="BC389">
        <v>114</v>
      </c>
      <c r="BD389" t="s">
        <v>74</v>
      </c>
      <c r="BE389" t="s">
        <v>7574</v>
      </c>
      <c r="BF389" t="str">
        <f>HYPERLINK("http://dx.doi.org/10.1080/03091929.2017.1287909","http://dx.doi.org/10.1080/03091929.2017.1287909")</f>
        <v>http://dx.doi.org/10.1080/03091929.2017.1287909</v>
      </c>
      <c r="BG389" t="s">
        <v>74</v>
      </c>
      <c r="BH389" t="s">
        <v>74</v>
      </c>
      <c r="BI389">
        <v>24</v>
      </c>
      <c r="BJ389" t="s">
        <v>7575</v>
      </c>
      <c r="BK389" t="s">
        <v>101</v>
      </c>
      <c r="BL389" t="s">
        <v>7575</v>
      </c>
      <c r="BM389" t="s">
        <v>7576</v>
      </c>
      <c r="BN389" t="s">
        <v>74</v>
      </c>
      <c r="BO389" t="s">
        <v>74</v>
      </c>
      <c r="BP389" t="s">
        <v>74</v>
      </c>
      <c r="BQ389" t="s">
        <v>74</v>
      </c>
      <c r="BR389" t="s">
        <v>105</v>
      </c>
      <c r="BS389" t="s">
        <v>7577</v>
      </c>
      <c r="BT389" t="str">
        <f>HYPERLINK("https%3A%2F%2Fwww.webofscience.com%2Fwos%2Fwoscc%2Ffull-record%2FWOS:000399359900001","View Full Record in Web of Science")</f>
        <v>View Full Record in Web of Science</v>
      </c>
    </row>
    <row r="390" spans="1:72" x14ac:dyDescent="0.15">
      <c r="A390" t="s">
        <v>72</v>
      </c>
      <c r="B390" t="s">
        <v>7578</v>
      </c>
      <c r="C390" t="s">
        <v>74</v>
      </c>
      <c r="D390" t="s">
        <v>74</v>
      </c>
      <c r="E390" t="s">
        <v>74</v>
      </c>
      <c r="F390" t="s">
        <v>7579</v>
      </c>
      <c r="G390" t="s">
        <v>74</v>
      </c>
      <c r="H390" t="s">
        <v>74</v>
      </c>
      <c r="I390" t="s">
        <v>7580</v>
      </c>
      <c r="J390" t="s">
        <v>2530</v>
      </c>
      <c r="K390" t="s">
        <v>74</v>
      </c>
      <c r="L390" t="s">
        <v>74</v>
      </c>
      <c r="M390" t="s">
        <v>78</v>
      </c>
      <c r="N390" t="s">
        <v>79</v>
      </c>
      <c r="O390" t="s">
        <v>74</v>
      </c>
      <c r="P390" t="s">
        <v>74</v>
      </c>
      <c r="Q390" t="s">
        <v>74</v>
      </c>
      <c r="R390" t="s">
        <v>74</v>
      </c>
      <c r="S390" t="s">
        <v>74</v>
      </c>
      <c r="T390" t="s">
        <v>74</v>
      </c>
      <c r="U390" t="s">
        <v>7581</v>
      </c>
      <c r="V390" t="s">
        <v>7582</v>
      </c>
      <c r="W390" t="s">
        <v>7583</v>
      </c>
      <c r="X390" t="s">
        <v>7584</v>
      </c>
      <c r="Y390" t="s">
        <v>7585</v>
      </c>
      <c r="Z390" t="s">
        <v>7586</v>
      </c>
      <c r="AA390" t="s">
        <v>74</v>
      </c>
      <c r="AB390" t="s">
        <v>74</v>
      </c>
      <c r="AC390" t="s">
        <v>74</v>
      </c>
      <c r="AD390" t="s">
        <v>74</v>
      </c>
      <c r="AE390" t="s">
        <v>74</v>
      </c>
      <c r="AF390" t="s">
        <v>74</v>
      </c>
      <c r="AG390">
        <v>59</v>
      </c>
      <c r="AH390">
        <v>23</v>
      </c>
      <c r="AI390">
        <v>24</v>
      </c>
      <c r="AJ390">
        <v>0</v>
      </c>
      <c r="AK390">
        <v>25</v>
      </c>
      <c r="AL390" t="s">
        <v>1967</v>
      </c>
      <c r="AM390" t="s">
        <v>1910</v>
      </c>
      <c r="AN390" t="s">
        <v>1968</v>
      </c>
      <c r="AO390" t="s">
        <v>2542</v>
      </c>
      <c r="AP390" t="s">
        <v>2543</v>
      </c>
      <c r="AQ390" t="s">
        <v>74</v>
      </c>
      <c r="AR390" t="s">
        <v>2544</v>
      </c>
      <c r="AS390" t="s">
        <v>2545</v>
      </c>
      <c r="AT390" t="s">
        <v>74</v>
      </c>
      <c r="AU390">
        <v>2017</v>
      </c>
      <c r="AV390">
        <v>38</v>
      </c>
      <c r="AW390">
        <v>13</v>
      </c>
      <c r="AX390" t="s">
        <v>74</v>
      </c>
      <c r="AY390" t="s">
        <v>74</v>
      </c>
      <c r="AZ390" t="s">
        <v>74</v>
      </c>
      <c r="BA390" t="s">
        <v>74</v>
      </c>
      <c r="BB390">
        <v>3763</v>
      </c>
      <c r="BC390">
        <v>3784</v>
      </c>
      <c r="BD390" t="s">
        <v>74</v>
      </c>
      <c r="BE390" t="s">
        <v>7587</v>
      </c>
      <c r="BF390" t="str">
        <f>HYPERLINK("http://dx.doi.org/10.1080/01431161.2017.1308034","http://dx.doi.org/10.1080/01431161.2017.1308034")</f>
        <v>http://dx.doi.org/10.1080/01431161.2017.1308034</v>
      </c>
      <c r="BG390" t="s">
        <v>74</v>
      </c>
      <c r="BH390" t="s">
        <v>74</v>
      </c>
      <c r="BI390">
        <v>22</v>
      </c>
      <c r="BJ390" t="s">
        <v>2547</v>
      </c>
      <c r="BK390" t="s">
        <v>101</v>
      </c>
      <c r="BL390" t="s">
        <v>2547</v>
      </c>
      <c r="BM390" t="s">
        <v>7588</v>
      </c>
      <c r="BN390" t="s">
        <v>74</v>
      </c>
      <c r="BO390" t="s">
        <v>74</v>
      </c>
      <c r="BP390" t="s">
        <v>74</v>
      </c>
      <c r="BQ390" t="s">
        <v>74</v>
      </c>
      <c r="BR390" t="s">
        <v>105</v>
      </c>
      <c r="BS390" t="s">
        <v>7589</v>
      </c>
      <c r="BT390" t="str">
        <f>HYPERLINK("https%3A%2F%2Fwww.webofscience.com%2Fwos%2Fwoscc%2Ffull-record%2FWOS:000399247300001","View Full Record in Web of Science")</f>
        <v>View Full Record in Web of Science</v>
      </c>
    </row>
    <row r="391" spans="1:72" x14ac:dyDescent="0.15">
      <c r="A391" t="s">
        <v>72</v>
      </c>
      <c r="B391" t="s">
        <v>7590</v>
      </c>
      <c r="C391" t="s">
        <v>74</v>
      </c>
      <c r="D391" t="s">
        <v>74</v>
      </c>
      <c r="E391" t="s">
        <v>74</v>
      </c>
      <c r="F391" t="s">
        <v>7591</v>
      </c>
      <c r="G391" t="s">
        <v>74</v>
      </c>
      <c r="H391" t="s">
        <v>74</v>
      </c>
      <c r="I391" t="s">
        <v>7592</v>
      </c>
      <c r="J391" t="s">
        <v>7593</v>
      </c>
      <c r="K391" t="s">
        <v>74</v>
      </c>
      <c r="L391" t="s">
        <v>74</v>
      </c>
      <c r="M391" t="s">
        <v>78</v>
      </c>
      <c r="N391" t="s">
        <v>79</v>
      </c>
      <c r="O391" t="s">
        <v>74</v>
      </c>
      <c r="P391" t="s">
        <v>74</v>
      </c>
      <c r="Q391" t="s">
        <v>74</v>
      </c>
      <c r="R391" t="s">
        <v>74</v>
      </c>
      <c r="S391" t="s">
        <v>74</v>
      </c>
      <c r="T391" t="s">
        <v>7594</v>
      </c>
      <c r="U391" t="s">
        <v>7595</v>
      </c>
      <c r="V391" t="s">
        <v>7596</v>
      </c>
      <c r="W391" t="s">
        <v>7597</v>
      </c>
      <c r="X391" t="s">
        <v>7598</v>
      </c>
      <c r="Y391" t="s">
        <v>7599</v>
      </c>
      <c r="Z391" t="s">
        <v>7600</v>
      </c>
      <c r="AA391" t="s">
        <v>7601</v>
      </c>
      <c r="AB391" t="s">
        <v>74</v>
      </c>
      <c r="AC391" t="s">
        <v>7602</v>
      </c>
      <c r="AD391" t="s">
        <v>7603</v>
      </c>
      <c r="AE391" t="s">
        <v>7604</v>
      </c>
      <c r="AF391" t="s">
        <v>74</v>
      </c>
      <c r="AG391">
        <v>50</v>
      </c>
      <c r="AH391">
        <v>7</v>
      </c>
      <c r="AI391">
        <v>12</v>
      </c>
      <c r="AJ391">
        <v>5</v>
      </c>
      <c r="AK391">
        <v>36</v>
      </c>
      <c r="AL391" t="s">
        <v>2103</v>
      </c>
      <c r="AM391" t="s">
        <v>2104</v>
      </c>
      <c r="AN391" t="s">
        <v>2105</v>
      </c>
      <c r="AO391" t="s">
        <v>7605</v>
      </c>
      <c r="AP391" t="s">
        <v>74</v>
      </c>
      <c r="AQ391" t="s">
        <v>74</v>
      </c>
      <c r="AR391" t="s">
        <v>7606</v>
      </c>
      <c r="AS391" t="s">
        <v>7607</v>
      </c>
      <c r="AT391" t="s">
        <v>74</v>
      </c>
      <c r="AU391">
        <v>2017</v>
      </c>
      <c r="AV391">
        <v>51</v>
      </c>
      <c r="AW391">
        <v>1</v>
      </c>
      <c r="AX391" t="s">
        <v>74</v>
      </c>
      <c r="AY391" t="s">
        <v>74</v>
      </c>
      <c r="AZ391" t="s">
        <v>74</v>
      </c>
      <c r="BA391" t="s">
        <v>74</v>
      </c>
      <c r="BB391">
        <v>3</v>
      </c>
      <c r="BC391">
        <v>30</v>
      </c>
      <c r="BD391" t="s">
        <v>74</v>
      </c>
      <c r="BE391" t="s">
        <v>7608</v>
      </c>
      <c r="BF391" t="str">
        <f>HYPERLINK("http://dx.doi.org/10.1080/08327823.2017.1291067","http://dx.doi.org/10.1080/08327823.2017.1291067")</f>
        <v>http://dx.doi.org/10.1080/08327823.2017.1291067</v>
      </c>
      <c r="BG391" t="s">
        <v>74</v>
      </c>
      <c r="BH391" t="s">
        <v>74</v>
      </c>
      <c r="BI391">
        <v>28</v>
      </c>
      <c r="BJ391" t="s">
        <v>7609</v>
      </c>
      <c r="BK391" t="s">
        <v>101</v>
      </c>
      <c r="BL391" t="s">
        <v>5834</v>
      </c>
      <c r="BM391" t="s">
        <v>7610</v>
      </c>
      <c r="BN391" t="s">
        <v>74</v>
      </c>
      <c r="BO391" t="s">
        <v>74</v>
      </c>
      <c r="BP391" t="s">
        <v>74</v>
      </c>
      <c r="BQ391" t="s">
        <v>74</v>
      </c>
      <c r="BR391" t="s">
        <v>105</v>
      </c>
      <c r="BS391" t="s">
        <v>7611</v>
      </c>
      <c r="BT391" t="str">
        <f>HYPERLINK("https%3A%2F%2Fwww.webofscience.com%2Fwos%2Fwoscc%2Ffull-record%2FWOS:000399572200002","View Full Record in Web of Science")</f>
        <v>View Full Record in Web of Science</v>
      </c>
    </row>
    <row r="392" spans="1:72" x14ac:dyDescent="0.15">
      <c r="A392" t="s">
        <v>72</v>
      </c>
      <c r="B392" t="s">
        <v>7612</v>
      </c>
      <c r="C392" t="s">
        <v>74</v>
      </c>
      <c r="D392" t="s">
        <v>74</v>
      </c>
      <c r="E392" t="s">
        <v>74</v>
      </c>
      <c r="F392" t="s">
        <v>7613</v>
      </c>
      <c r="G392" t="s">
        <v>74</v>
      </c>
      <c r="H392" t="s">
        <v>74</v>
      </c>
      <c r="I392" t="s">
        <v>7614</v>
      </c>
      <c r="J392" t="s">
        <v>7615</v>
      </c>
      <c r="K392" t="s">
        <v>74</v>
      </c>
      <c r="L392" t="s">
        <v>74</v>
      </c>
      <c r="M392" t="s">
        <v>3657</v>
      </c>
      <c r="N392" t="s">
        <v>79</v>
      </c>
      <c r="O392" t="s">
        <v>74</v>
      </c>
      <c r="P392" t="s">
        <v>74</v>
      </c>
      <c r="Q392" t="s">
        <v>74</v>
      </c>
      <c r="R392" t="s">
        <v>74</v>
      </c>
      <c r="S392" t="s">
        <v>74</v>
      </c>
      <c r="T392" t="s">
        <v>7616</v>
      </c>
      <c r="U392" t="s">
        <v>7617</v>
      </c>
      <c r="V392" t="s">
        <v>7618</v>
      </c>
      <c r="W392" t="s">
        <v>7619</v>
      </c>
      <c r="X392" t="s">
        <v>4868</v>
      </c>
      <c r="Y392" t="s">
        <v>7620</v>
      </c>
      <c r="Z392" t="s">
        <v>7621</v>
      </c>
      <c r="AA392" t="s">
        <v>7622</v>
      </c>
      <c r="AB392" t="s">
        <v>7623</v>
      </c>
      <c r="AC392" t="s">
        <v>74</v>
      </c>
      <c r="AD392" t="s">
        <v>74</v>
      </c>
      <c r="AE392" t="s">
        <v>74</v>
      </c>
      <c r="AF392" t="s">
        <v>74</v>
      </c>
      <c r="AG392">
        <v>22</v>
      </c>
      <c r="AH392">
        <v>8</v>
      </c>
      <c r="AI392">
        <v>8</v>
      </c>
      <c r="AJ392">
        <v>1</v>
      </c>
      <c r="AK392">
        <v>5</v>
      </c>
      <c r="AL392" t="s">
        <v>7624</v>
      </c>
      <c r="AM392" t="s">
        <v>7625</v>
      </c>
      <c r="AN392" t="s">
        <v>7626</v>
      </c>
      <c r="AO392" t="s">
        <v>7627</v>
      </c>
      <c r="AP392" t="s">
        <v>74</v>
      </c>
      <c r="AQ392" t="s">
        <v>74</v>
      </c>
      <c r="AR392" t="s">
        <v>7615</v>
      </c>
      <c r="AS392" t="s">
        <v>7628</v>
      </c>
      <c r="AT392" t="s">
        <v>74</v>
      </c>
      <c r="AU392">
        <v>2017</v>
      </c>
      <c r="AV392">
        <v>38</v>
      </c>
      <c r="AW392">
        <v>1</v>
      </c>
      <c r="AX392" t="s">
        <v>74</v>
      </c>
      <c r="AY392" t="s">
        <v>74</v>
      </c>
      <c r="AZ392" t="s">
        <v>74</v>
      </c>
      <c r="BA392" t="s">
        <v>74</v>
      </c>
      <c r="BB392">
        <v>155</v>
      </c>
      <c r="BC392">
        <v>168</v>
      </c>
      <c r="BD392" t="s">
        <v>74</v>
      </c>
      <c r="BE392" t="s">
        <v>7629</v>
      </c>
      <c r="BF392" t="str">
        <f>HYPERLINK("http://dx.doi.org/10.4067/S0717-92002017000100016","http://dx.doi.org/10.4067/S0717-92002017000100016")</f>
        <v>http://dx.doi.org/10.4067/S0717-92002017000100016</v>
      </c>
      <c r="BG392" t="s">
        <v>74</v>
      </c>
      <c r="BH392" t="s">
        <v>74</v>
      </c>
      <c r="BI392">
        <v>14</v>
      </c>
      <c r="BJ392" t="s">
        <v>7630</v>
      </c>
      <c r="BK392" t="s">
        <v>101</v>
      </c>
      <c r="BL392" t="s">
        <v>7631</v>
      </c>
      <c r="BM392" t="s">
        <v>7632</v>
      </c>
      <c r="BN392" t="s">
        <v>74</v>
      </c>
      <c r="BO392" t="s">
        <v>3181</v>
      </c>
      <c r="BP392" t="s">
        <v>74</v>
      </c>
      <c r="BQ392" t="s">
        <v>74</v>
      </c>
      <c r="BR392" t="s">
        <v>105</v>
      </c>
      <c r="BS392" t="s">
        <v>7633</v>
      </c>
      <c r="BT392" t="str">
        <f>HYPERLINK("https%3A%2F%2Fwww.webofscience.com%2Fwos%2Fwoscc%2Ffull-record%2FWOS:000399098900016","View Full Record in Web of Science")</f>
        <v>View Full Record in Web of Science</v>
      </c>
    </row>
    <row r="393" spans="1:72" x14ac:dyDescent="0.15">
      <c r="A393" t="s">
        <v>72</v>
      </c>
      <c r="B393" t="s">
        <v>7634</v>
      </c>
      <c r="C393" t="s">
        <v>74</v>
      </c>
      <c r="D393" t="s">
        <v>74</v>
      </c>
      <c r="E393" t="s">
        <v>74</v>
      </c>
      <c r="F393" t="s">
        <v>7635</v>
      </c>
      <c r="G393" t="s">
        <v>74</v>
      </c>
      <c r="H393" t="s">
        <v>74</v>
      </c>
      <c r="I393" t="s">
        <v>7636</v>
      </c>
      <c r="J393" t="s">
        <v>1979</v>
      </c>
      <c r="K393" t="s">
        <v>74</v>
      </c>
      <c r="L393" t="s">
        <v>74</v>
      </c>
      <c r="M393" t="s">
        <v>78</v>
      </c>
      <c r="N393" t="s">
        <v>1980</v>
      </c>
      <c r="O393" t="s">
        <v>1981</v>
      </c>
      <c r="P393" t="s">
        <v>1982</v>
      </c>
      <c r="Q393" t="s">
        <v>1983</v>
      </c>
      <c r="R393" t="s">
        <v>74</v>
      </c>
      <c r="S393" t="s">
        <v>74</v>
      </c>
      <c r="T393" t="s">
        <v>74</v>
      </c>
      <c r="U393" t="s">
        <v>7637</v>
      </c>
      <c r="V393" t="s">
        <v>7638</v>
      </c>
      <c r="W393" t="s">
        <v>7639</v>
      </c>
      <c r="X393" t="s">
        <v>7640</v>
      </c>
      <c r="Y393" t="s">
        <v>7641</v>
      </c>
      <c r="Z393" t="s">
        <v>7642</v>
      </c>
      <c r="AA393" t="s">
        <v>7643</v>
      </c>
      <c r="AB393" t="s">
        <v>7644</v>
      </c>
      <c r="AC393" t="s">
        <v>7645</v>
      </c>
      <c r="AD393" t="s">
        <v>7646</v>
      </c>
      <c r="AE393" t="s">
        <v>7647</v>
      </c>
      <c r="AF393" t="s">
        <v>74</v>
      </c>
      <c r="AG393">
        <v>130</v>
      </c>
      <c r="AH393">
        <v>31</v>
      </c>
      <c r="AI393">
        <v>31</v>
      </c>
      <c r="AJ393">
        <v>0</v>
      </c>
      <c r="AK393">
        <v>30</v>
      </c>
      <c r="AL393" t="s">
        <v>1995</v>
      </c>
      <c r="AM393" t="s">
        <v>1996</v>
      </c>
      <c r="AN393" t="s">
        <v>1997</v>
      </c>
      <c r="AO393" t="s">
        <v>1998</v>
      </c>
      <c r="AP393" t="s">
        <v>1999</v>
      </c>
      <c r="AQ393" t="s">
        <v>74</v>
      </c>
      <c r="AR393" t="s">
        <v>1979</v>
      </c>
      <c r="AS393" t="s">
        <v>2000</v>
      </c>
      <c r="AT393" t="s">
        <v>74</v>
      </c>
      <c r="AU393">
        <v>2017</v>
      </c>
      <c r="AV393">
        <v>47</v>
      </c>
      <c r="AW393">
        <v>2</v>
      </c>
      <c r="AX393" t="s">
        <v>74</v>
      </c>
      <c r="AY393" t="s">
        <v>74</v>
      </c>
      <c r="AZ393" t="s">
        <v>74</v>
      </c>
      <c r="BA393" t="s">
        <v>74</v>
      </c>
      <c r="BB393" t="s">
        <v>74</v>
      </c>
      <c r="BC393" t="s">
        <v>74</v>
      </c>
      <c r="BD393" t="s">
        <v>7648</v>
      </c>
      <c r="BE393" t="s">
        <v>7649</v>
      </c>
      <c r="BF393" t="str">
        <f>HYPERLINK("http://dx.doi.org/10.4102/abc.v47i2.2143","http://dx.doi.org/10.4102/abc.v47i2.2143")</f>
        <v>http://dx.doi.org/10.4102/abc.v47i2.2143</v>
      </c>
      <c r="BG393" t="s">
        <v>74</v>
      </c>
      <c r="BH393" t="s">
        <v>74</v>
      </c>
      <c r="BI393">
        <v>21</v>
      </c>
      <c r="BJ393" t="s">
        <v>2003</v>
      </c>
      <c r="BK393" t="s">
        <v>2004</v>
      </c>
      <c r="BL393" t="s">
        <v>2003</v>
      </c>
      <c r="BM393" t="s">
        <v>2005</v>
      </c>
      <c r="BN393" t="s">
        <v>74</v>
      </c>
      <c r="BO393" t="s">
        <v>591</v>
      </c>
      <c r="BP393" t="s">
        <v>74</v>
      </c>
      <c r="BQ393" t="s">
        <v>74</v>
      </c>
      <c r="BR393" t="s">
        <v>105</v>
      </c>
      <c r="BS393" t="s">
        <v>7650</v>
      </c>
      <c r="BT393" t="str">
        <f>HYPERLINK("https%3A%2F%2Fwww.webofscience.com%2Fwos%2Fwoscc%2Ffull-record%2FWOS:000398398000007","View Full Record in Web of Science")</f>
        <v>View Full Record in Web of Science</v>
      </c>
    </row>
    <row r="394" spans="1:72" x14ac:dyDescent="0.15">
      <c r="A394" t="s">
        <v>72</v>
      </c>
      <c r="B394" t="s">
        <v>7651</v>
      </c>
      <c r="C394" t="s">
        <v>74</v>
      </c>
      <c r="D394" t="s">
        <v>74</v>
      </c>
      <c r="E394" t="s">
        <v>74</v>
      </c>
      <c r="F394" t="s">
        <v>7652</v>
      </c>
      <c r="G394" t="s">
        <v>74</v>
      </c>
      <c r="H394" t="s">
        <v>74</v>
      </c>
      <c r="I394" t="s">
        <v>7653</v>
      </c>
      <c r="J394" t="s">
        <v>7654</v>
      </c>
      <c r="K394" t="s">
        <v>74</v>
      </c>
      <c r="L394" t="s">
        <v>74</v>
      </c>
      <c r="M394" t="s">
        <v>78</v>
      </c>
      <c r="N394" t="s">
        <v>2034</v>
      </c>
      <c r="O394" t="s">
        <v>74</v>
      </c>
      <c r="P394" t="s">
        <v>74</v>
      </c>
      <c r="Q394" t="s">
        <v>74</v>
      </c>
      <c r="R394" t="s">
        <v>74</v>
      </c>
      <c r="S394" t="s">
        <v>74</v>
      </c>
      <c r="T394" t="s">
        <v>7655</v>
      </c>
      <c r="U394" t="s">
        <v>7656</v>
      </c>
      <c r="V394" t="s">
        <v>7657</v>
      </c>
      <c r="W394" t="s">
        <v>7658</v>
      </c>
      <c r="X394" t="s">
        <v>7659</v>
      </c>
      <c r="Y394" t="s">
        <v>7660</v>
      </c>
      <c r="Z394" t="s">
        <v>7661</v>
      </c>
      <c r="AA394" t="s">
        <v>7662</v>
      </c>
      <c r="AB394" t="s">
        <v>7663</v>
      </c>
      <c r="AC394" t="s">
        <v>7664</v>
      </c>
      <c r="AD394" t="s">
        <v>7665</v>
      </c>
      <c r="AE394" t="s">
        <v>7666</v>
      </c>
      <c r="AF394" t="s">
        <v>74</v>
      </c>
      <c r="AG394">
        <v>105</v>
      </c>
      <c r="AH394">
        <v>15</v>
      </c>
      <c r="AI394">
        <v>16</v>
      </c>
      <c r="AJ394">
        <v>2</v>
      </c>
      <c r="AK394">
        <v>29</v>
      </c>
      <c r="AL394" t="s">
        <v>2276</v>
      </c>
      <c r="AM394" t="s">
        <v>2277</v>
      </c>
      <c r="AN394" t="s">
        <v>2278</v>
      </c>
      <c r="AO394" t="s">
        <v>7667</v>
      </c>
      <c r="AP394" t="s">
        <v>7668</v>
      </c>
      <c r="AQ394" t="s">
        <v>74</v>
      </c>
      <c r="AR394" t="s">
        <v>7669</v>
      </c>
      <c r="AS394" t="s">
        <v>7670</v>
      </c>
      <c r="AT394" t="s">
        <v>74</v>
      </c>
      <c r="AU394">
        <v>2017</v>
      </c>
      <c r="AV394">
        <v>31</v>
      </c>
      <c r="AW394">
        <v>1</v>
      </c>
      <c r="AX394" t="s">
        <v>74</v>
      </c>
      <c r="AY394" t="s">
        <v>74</v>
      </c>
      <c r="AZ394" t="s">
        <v>74</v>
      </c>
      <c r="BA394" t="s">
        <v>74</v>
      </c>
      <c r="BB394">
        <v>37</v>
      </c>
      <c r="BC394">
        <v>64</v>
      </c>
      <c r="BD394" t="s">
        <v>74</v>
      </c>
      <c r="BE394" t="s">
        <v>7671</v>
      </c>
      <c r="BF394" t="str">
        <f>HYPERLINK("http://dx.doi.org/10.1071/IS16020","http://dx.doi.org/10.1071/IS16020")</f>
        <v>http://dx.doi.org/10.1071/IS16020</v>
      </c>
      <c r="BG394" t="s">
        <v>74</v>
      </c>
      <c r="BH394" t="s">
        <v>74</v>
      </c>
      <c r="BI394">
        <v>28</v>
      </c>
      <c r="BJ394" t="s">
        <v>7672</v>
      </c>
      <c r="BK394" t="s">
        <v>101</v>
      </c>
      <c r="BL394" t="s">
        <v>7672</v>
      </c>
      <c r="BM394" t="s">
        <v>7673</v>
      </c>
      <c r="BN394" t="s">
        <v>74</v>
      </c>
      <c r="BO394" t="s">
        <v>378</v>
      </c>
      <c r="BP394" t="s">
        <v>74</v>
      </c>
      <c r="BQ394" t="s">
        <v>74</v>
      </c>
      <c r="BR394" t="s">
        <v>105</v>
      </c>
      <c r="BS394" t="s">
        <v>7674</v>
      </c>
      <c r="BT394" t="str">
        <f>HYPERLINK("https%3A%2F%2Fwww.webofscience.com%2Fwos%2Fwoscc%2Ffull-record%2FWOS:000398469500004","View Full Record in Web of Science")</f>
        <v>View Full Record in Web of Science</v>
      </c>
    </row>
    <row r="395" spans="1:72" x14ac:dyDescent="0.15">
      <c r="A395" t="s">
        <v>72</v>
      </c>
      <c r="B395" t="s">
        <v>7675</v>
      </c>
      <c r="C395" t="s">
        <v>74</v>
      </c>
      <c r="D395" t="s">
        <v>74</v>
      </c>
      <c r="E395" t="s">
        <v>74</v>
      </c>
      <c r="F395" t="s">
        <v>7676</v>
      </c>
      <c r="G395" t="s">
        <v>74</v>
      </c>
      <c r="H395" t="s">
        <v>74</v>
      </c>
      <c r="I395" t="s">
        <v>7677</v>
      </c>
      <c r="J395" t="s">
        <v>7678</v>
      </c>
      <c r="K395" t="s">
        <v>74</v>
      </c>
      <c r="L395" t="s">
        <v>74</v>
      </c>
      <c r="M395" t="s">
        <v>78</v>
      </c>
      <c r="N395" t="s">
        <v>79</v>
      </c>
      <c r="O395" t="s">
        <v>74</v>
      </c>
      <c r="P395" t="s">
        <v>74</v>
      </c>
      <c r="Q395" t="s">
        <v>74</v>
      </c>
      <c r="R395" t="s">
        <v>74</v>
      </c>
      <c r="S395" t="s">
        <v>74</v>
      </c>
      <c r="T395" t="s">
        <v>7679</v>
      </c>
      <c r="U395" t="s">
        <v>74</v>
      </c>
      <c r="V395" t="s">
        <v>7680</v>
      </c>
      <c r="W395" t="s">
        <v>7681</v>
      </c>
      <c r="X395" t="s">
        <v>74</v>
      </c>
      <c r="Y395" t="s">
        <v>7682</v>
      </c>
      <c r="Z395" t="s">
        <v>7683</v>
      </c>
      <c r="AA395" t="s">
        <v>74</v>
      </c>
      <c r="AB395" t="s">
        <v>74</v>
      </c>
      <c r="AC395" t="s">
        <v>74</v>
      </c>
      <c r="AD395" t="s">
        <v>74</v>
      </c>
      <c r="AE395" t="s">
        <v>74</v>
      </c>
      <c r="AF395" t="s">
        <v>74</v>
      </c>
      <c r="AG395">
        <v>33</v>
      </c>
      <c r="AH395">
        <v>0</v>
      </c>
      <c r="AI395">
        <v>0</v>
      </c>
      <c r="AJ395">
        <v>0</v>
      </c>
      <c r="AK395">
        <v>1</v>
      </c>
      <c r="AL395" t="s">
        <v>7684</v>
      </c>
      <c r="AM395" t="s">
        <v>7685</v>
      </c>
      <c r="AN395" t="s">
        <v>7686</v>
      </c>
      <c r="AO395" t="s">
        <v>7687</v>
      </c>
      <c r="AP395" t="s">
        <v>74</v>
      </c>
      <c r="AQ395" t="s">
        <v>74</v>
      </c>
      <c r="AR395" t="s">
        <v>7688</v>
      </c>
      <c r="AS395" t="s">
        <v>7689</v>
      </c>
      <c r="AT395" t="s">
        <v>2024</v>
      </c>
      <c r="AU395">
        <v>2017</v>
      </c>
      <c r="AV395">
        <v>8</v>
      </c>
      <c r="AW395">
        <v>1</v>
      </c>
      <c r="AX395" t="s">
        <v>74</v>
      </c>
      <c r="AY395" t="s">
        <v>74</v>
      </c>
      <c r="AZ395" t="s">
        <v>74</v>
      </c>
      <c r="BA395" t="s">
        <v>74</v>
      </c>
      <c r="BB395">
        <v>1</v>
      </c>
      <c r="BC395">
        <v>11</v>
      </c>
      <c r="BD395" t="s">
        <v>74</v>
      </c>
      <c r="BE395" t="s">
        <v>74</v>
      </c>
      <c r="BF395" t="s">
        <v>74</v>
      </c>
      <c r="BG395" t="s">
        <v>74</v>
      </c>
      <c r="BH395" t="s">
        <v>74</v>
      </c>
      <c r="BI395">
        <v>11</v>
      </c>
      <c r="BJ395" t="s">
        <v>7690</v>
      </c>
      <c r="BK395" t="s">
        <v>2057</v>
      </c>
      <c r="BL395" t="s">
        <v>7690</v>
      </c>
      <c r="BM395" t="s">
        <v>7691</v>
      </c>
      <c r="BN395" t="s">
        <v>74</v>
      </c>
      <c r="BO395" t="s">
        <v>74</v>
      </c>
      <c r="BP395" t="s">
        <v>74</v>
      </c>
      <c r="BQ395" t="s">
        <v>74</v>
      </c>
      <c r="BR395" t="s">
        <v>105</v>
      </c>
      <c r="BS395" t="s">
        <v>7692</v>
      </c>
      <c r="BT395" t="str">
        <f>HYPERLINK("https%3A%2F%2Fwww.webofscience.com%2Fwos%2Fwoscc%2Ffull-record%2FWOS:000398976100001","View Full Record in Web of Science")</f>
        <v>View Full Record in Web of Science</v>
      </c>
    </row>
    <row r="396" spans="1:72" x14ac:dyDescent="0.15">
      <c r="A396" t="s">
        <v>72</v>
      </c>
      <c r="B396" t="s">
        <v>7693</v>
      </c>
      <c r="C396" t="s">
        <v>74</v>
      </c>
      <c r="D396" t="s">
        <v>74</v>
      </c>
      <c r="E396" t="s">
        <v>74</v>
      </c>
      <c r="F396" t="s">
        <v>7694</v>
      </c>
      <c r="G396" t="s">
        <v>74</v>
      </c>
      <c r="H396" t="s">
        <v>74</v>
      </c>
      <c r="I396" t="s">
        <v>7695</v>
      </c>
      <c r="J396" t="s">
        <v>6865</v>
      </c>
      <c r="K396" t="s">
        <v>74</v>
      </c>
      <c r="L396" t="s">
        <v>74</v>
      </c>
      <c r="M396" t="s">
        <v>78</v>
      </c>
      <c r="N396" t="s">
        <v>79</v>
      </c>
      <c r="O396" t="s">
        <v>74</v>
      </c>
      <c r="P396" t="s">
        <v>74</v>
      </c>
      <c r="Q396" t="s">
        <v>74</v>
      </c>
      <c r="R396" t="s">
        <v>74</v>
      </c>
      <c r="S396" t="s">
        <v>74</v>
      </c>
      <c r="T396" t="s">
        <v>7696</v>
      </c>
      <c r="U396" t="s">
        <v>7697</v>
      </c>
      <c r="V396" t="s">
        <v>7698</v>
      </c>
      <c r="W396" t="s">
        <v>7699</v>
      </c>
      <c r="X396" t="s">
        <v>7700</v>
      </c>
      <c r="Y396" t="s">
        <v>7701</v>
      </c>
      <c r="Z396" t="s">
        <v>7702</v>
      </c>
      <c r="AA396" t="s">
        <v>7703</v>
      </c>
      <c r="AB396" t="s">
        <v>7704</v>
      </c>
      <c r="AC396" t="s">
        <v>74</v>
      </c>
      <c r="AD396" t="s">
        <v>74</v>
      </c>
      <c r="AE396" t="s">
        <v>74</v>
      </c>
      <c r="AF396" t="s">
        <v>74</v>
      </c>
      <c r="AG396">
        <v>47</v>
      </c>
      <c r="AH396">
        <v>24</v>
      </c>
      <c r="AI396">
        <v>24</v>
      </c>
      <c r="AJ396">
        <v>1</v>
      </c>
      <c r="AK396">
        <v>23</v>
      </c>
      <c r="AL396" t="s">
        <v>5554</v>
      </c>
      <c r="AM396" t="s">
        <v>5555</v>
      </c>
      <c r="AN396" t="s">
        <v>5556</v>
      </c>
      <c r="AO396" t="s">
        <v>6878</v>
      </c>
      <c r="AP396" t="s">
        <v>6879</v>
      </c>
      <c r="AQ396" t="s">
        <v>74</v>
      </c>
      <c r="AR396" t="s">
        <v>6880</v>
      </c>
      <c r="AS396" t="s">
        <v>6881</v>
      </c>
      <c r="AT396" t="s">
        <v>74</v>
      </c>
      <c r="AU396">
        <v>2017</v>
      </c>
      <c r="AV396">
        <v>9</v>
      </c>
      <c r="AW396" t="s">
        <v>74</v>
      </c>
      <c r="AX396" t="s">
        <v>74</v>
      </c>
      <c r="AY396" t="s">
        <v>74</v>
      </c>
      <c r="AZ396" t="s">
        <v>74</v>
      </c>
      <c r="BA396" t="s">
        <v>74</v>
      </c>
      <c r="BB396">
        <v>145</v>
      </c>
      <c r="BC396">
        <v>153</v>
      </c>
      <c r="BD396" t="s">
        <v>74</v>
      </c>
      <c r="BE396" t="s">
        <v>7705</v>
      </c>
      <c r="BF396" t="str">
        <f>HYPERLINK("http://dx.doi.org/10.3354/aei00219","http://dx.doi.org/10.3354/aei00219")</f>
        <v>http://dx.doi.org/10.3354/aei00219</v>
      </c>
      <c r="BG396" t="s">
        <v>74</v>
      </c>
      <c r="BH396" t="s">
        <v>74</v>
      </c>
      <c r="BI396">
        <v>9</v>
      </c>
      <c r="BJ396" t="s">
        <v>6883</v>
      </c>
      <c r="BK396" t="s">
        <v>101</v>
      </c>
      <c r="BL396" t="s">
        <v>6883</v>
      </c>
      <c r="BM396" t="s">
        <v>7706</v>
      </c>
      <c r="BN396" t="s">
        <v>74</v>
      </c>
      <c r="BO396" t="s">
        <v>7707</v>
      </c>
      <c r="BP396" t="s">
        <v>74</v>
      </c>
      <c r="BQ396" t="s">
        <v>74</v>
      </c>
      <c r="BR396" t="s">
        <v>105</v>
      </c>
      <c r="BS396" t="s">
        <v>7708</v>
      </c>
      <c r="BT396" t="str">
        <f>HYPERLINK("https%3A%2F%2Fwww.webofscience.com%2Fwos%2Fwoscc%2Ffull-record%2FWOS:000397953200005","View Full Record in Web of Science")</f>
        <v>View Full Record in Web of Science</v>
      </c>
    </row>
    <row r="397" spans="1:72" x14ac:dyDescent="0.15">
      <c r="A397" t="s">
        <v>72</v>
      </c>
      <c r="B397" t="s">
        <v>7709</v>
      </c>
      <c r="C397" t="s">
        <v>74</v>
      </c>
      <c r="D397" t="s">
        <v>74</v>
      </c>
      <c r="E397" t="s">
        <v>74</v>
      </c>
      <c r="F397" t="s">
        <v>7710</v>
      </c>
      <c r="G397" t="s">
        <v>74</v>
      </c>
      <c r="H397" t="s">
        <v>74</v>
      </c>
      <c r="I397" t="s">
        <v>7711</v>
      </c>
      <c r="J397" t="s">
        <v>7712</v>
      </c>
      <c r="K397" t="s">
        <v>74</v>
      </c>
      <c r="L397" t="s">
        <v>74</v>
      </c>
      <c r="M397" t="s">
        <v>78</v>
      </c>
      <c r="N397" t="s">
        <v>79</v>
      </c>
      <c r="O397" t="s">
        <v>74</v>
      </c>
      <c r="P397" t="s">
        <v>74</v>
      </c>
      <c r="Q397" t="s">
        <v>74</v>
      </c>
      <c r="R397" t="s">
        <v>74</v>
      </c>
      <c r="S397" t="s">
        <v>74</v>
      </c>
      <c r="T397" t="s">
        <v>74</v>
      </c>
      <c r="U397" t="s">
        <v>7713</v>
      </c>
      <c r="V397" t="s">
        <v>74</v>
      </c>
      <c r="W397" t="s">
        <v>7714</v>
      </c>
      <c r="X397" t="s">
        <v>7715</v>
      </c>
      <c r="Y397" t="s">
        <v>7716</v>
      </c>
      <c r="Z397" t="s">
        <v>2761</v>
      </c>
      <c r="AA397" t="s">
        <v>7717</v>
      </c>
      <c r="AB397" t="s">
        <v>7718</v>
      </c>
      <c r="AC397" t="s">
        <v>74</v>
      </c>
      <c r="AD397" t="s">
        <v>74</v>
      </c>
      <c r="AE397" t="s">
        <v>74</v>
      </c>
      <c r="AF397" t="s">
        <v>74</v>
      </c>
      <c r="AG397">
        <v>22</v>
      </c>
      <c r="AH397">
        <v>1</v>
      </c>
      <c r="AI397">
        <v>1</v>
      </c>
      <c r="AJ397">
        <v>0</v>
      </c>
      <c r="AK397">
        <v>6</v>
      </c>
      <c r="AL397" t="s">
        <v>7719</v>
      </c>
      <c r="AM397" t="s">
        <v>7720</v>
      </c>
      <c r="AN397" t="s">
        <v>7721</v>
      </c>
      <c r="AO397" t="s">
        <v>7722</v>
      </c>
      <c r="AP397" t="s">
        <v>74</v>
      </c>
      <c r="AQ397" t="s">
        <v>74</v>
      </c>
      <c r="AR397" t="s">
        <v>7723</v>
      </c>
      <c r="AS397" t="s">
        <v>7724</v>
      </c>
      <c r="AT397" t="s">
        <v>74</v>
      </c>
      <c r="AU397">
        <v>2017</v>
      </c>
      <c r="AV397">
        <v>43</v>
      </c>
      <c r="AW397">
        <v>1</v>
      </c>
      <c r="AX397" t="s">
        <v>74</v>
      </c>
      <c r="AY397" t="s">
        <v>74</v>
      </c>
      <c r="AZ397" t="s">
        <v>74</v>
      </c>
      <c r="BA397" t="s">
        <v>74</v>
      </c>
      <c r="BB397">
        <v>87</v>
      </c>
      <c r="BC397">
        <v>89</v>
      </c>
      <c r="BD397" t="s">
        <v>74</v>
      </c>
      <c r="BE397" t="s">
        <v>7725</v>
      </c>
      <c r="BF397" t="str">
        <f>HYPERLINK("http://dx.doi.org/10.1578/AM.43.1.2017.87","http://dx.doi.org/10.1578/AM.43.1.2017.87")</f>
        <v>http://dx.doi.org/10.1578/AM.43.1.2017.87</v>
      </c>
      <c r="BG397" t="s">
        <v>74</v>
      </c>
      <c r="BH397" t="s">
        <v>74</v>
      </c>
      <c r="BI397">
        <v>3</v>
      </c>
      <c r="BJ397" t="s">
        <v>7726</v>
      </c>
      <c r="BK397" t="s">
        <v>101</v>
      </c>
      <c r="BL397" t="s">
        <v>7726</v>
      </c>
      <c r="BM397" t="s">
        <v>7727</v>
      </c>
      <c r="BN397" t="s">
        <v>74</v>
      </c>
      <c r="BO397" t="s">
        <v>74</v>
      </c>
      <c r="BP397" t="s">
        <v>74</v>
      </c>
      <c r="BQ397" t="s">
        <v>74</v>
      </c>
      <c r="BR397" t="s">
        <v>105</v>
      </c>
      <c r="BS397" t="s">
        <v>7728</v>
      </c>
      <c r="BT397" t="str">
        <f>HYPERLINK("https%3A%2F%2Fwww.webofscience.com%2Fwos%2Fwoscc%2Ffull-record%2FWOS:000397595000010","View Full Record in Web of Science")</f>
        <v>View Full Record in Web of Science</v>
      </c>
    </row>
    <row r="398" spans="1:72" x14ac:dyDescent="0.15">
      <c r="A398" t="s">
        <v>72</v>
      </c>
      <c r="B398" t="s">
        <v>7729</v>
      </c>
      <c r="C398" t="s">
        <v>74</v>
      </c>
      <c r="D398" t="s">
        <v>74</v>
      </c>
      <c r="E398" t="s">
        <v>74</v>
      </c>
      <c r="F398" t="s">
        <v>7730</v>
      </c>
      <c r="G398" t="s">
        <v>74</v>
      </c>
      <c r="H398" t="s">
        <v>74</v>
      </c>
      <c r="I398" t="s">
        <v>7731</v>
      </c>
      <c r="J398" t="s">
        <v>7712</v>
      </c>
      <c r="K398" t="s">
        <v>74</v>
      </c>
      <c r="L398" t="s">
        <v>74</v>
      </c>
      <c r="M398" t="s">
        <v>78</v>
      </c>
      <c r="N398" t="s">
        <v>79</v>
      </c>
      <c r="O398" t="s">
        <v>74</v>
      </c>
      <c r="P398" t="s">
        <v>74</v>
      </c>
      <c r="Q398" t="s">
        <v>74</v>
      </c>
      <c r="R398" t="s">
        <v>74</v>
      </c>
      <c r="S398" t="s">
        <v>74</v>
      </c>
      <c r="T398" t="s">
        <v>7732</v>
      </c>
      <c r="U398" t="s">
        <v>7733</v>
      </c>
      <c r="V398" t="s">
        <v>7734</v>
      </c>
      <c r="W398" t="s">
        <v>7735</v>
      </c>
      <c r="X398" t="s">
        <v>7736</v>
      </c>
      <c r="Y398" t="s">
        <v>7737</v>
      </c>
      <c r="Z398" t="s">
        <v>7738</v>
      </c>
      <c r="AA398" t="s">
        <v>74</v>
      </c>
      <c r="AB398" t="s">
        <v>74</v>
      </c>
      <c r="AC398" t="s">
        <v>74</v>
      </c>
      <c r="AD398" t="s">
        <v>74</v>
      </c>
      <c r="AE398" t="s">
        <v>74</v>
      </c>
      <c r="AF398" t="s">
        <v>74</v>
      </c>
      <c r="AG398">
        <v>38</v>
      </c>
      <c r="AH398">
        <v>11</v>
      </c>
      <c r="AI398">
        <v>12</v>
      </c>
      <c r="AJ398">
        <v>2</v>
      </c>
      <c r="AK398">
        <v>30</v>
      </c>
      <c r="AL398" t="s">
        <v>7719</v>
      </c>
      <c r="AM398" t="s">
        <v>7720</v>
      </c>
      <c r="AN398" t="s">
        <v>7721</v>
      </c>
      <c r="AO398" t="s">
        <v>7722</v>
      </c>
      <c r="AP398" t="s">
        <v>74</v>
      </c>
      <c r="AQ398" t="s">
        <v>74</v>
      </c>
      <c r="AR398" t="s">
        <v>7723</v>
      </c>
      <c r="AS398" t="s">
        <v>7724</v>
      </c>
      <c r="AT398" t="s">
        <v>74</v>
      </c>
      <c r="AU398">
        <v>2017</v>
      </c>
      <c r="AV398">
        <v>43</v>
      </c>
      <c r="AW398">
        <v>2</v>
      </c>
      <c r="AX398" t="s">
        <v>74</v>
      </c>
      <c r="AY398" t="s">
        <v>74</v>
      </c>
      <c r="AZ398" t="s">
        <v>74</v>
      </c>
      <c r="BA398" t="s">
        <v>74</v>
      </c>
      <c r="BB398">
        <v>117</v>
      </c>
      <c r="BC398">
        <v>126</v>
      </c>
      <c r="BD398" t="s">
        <v>74</v>
      </c>
      <c r="BE398" t="s">
        <v>7739</v>
      </c>
      <c r="BF398" t="str">
        <f>HYPERLINK("http://dx.doi.org/10.1578/AM.43.2.2017.117","http://dx.doi.org/10.1578/AM.43.2.2017.117")</f>
        <v>http://dx.doi.org/10.1578/AM.43.2.2017.117</v>
      </c>
      <c r="BG398" t="s">
        <v>74</v>
      </c>
      <c r="BH398" t="s">
        <v>74</v>
      </c>
      <c r="BI398">
        <v>10</v>
      </c>
      <c r="BJ398" t="s">
        <v>7726</v>
      </c>
      <c r="BK398" t="s">
        <v>101</v>
      </c>
      <c r="BL398" t="s">
        <v>7726</v>
      </c>
      <c r="BM398" t="s">
        <v>7740</v>
      </c>
      <c r="BN398" t="s">
        <v>74</v>
      </c>
      <c r="BO398" t="s">
        <v>378</v>
      </c>
      <c r="BP398" t="s">
        <v>74</v>
      </c>
      <c r="BQ398" t="s">
        <v>74</v>
      </c>
      <c r="BR398" t="s">
        <v>105</v>
      </c>
      <c r="BS398" t="s">
        <v>7741</v>
      </c>
      <c r="BT398" t="str">
        <f>HYPERLINK("https%3A%2F%2Fwww.webofscience.com%2Fwos%2Fwoscc%2Ffull-record%2FWOS:000397597200001","View Full Record in Web of Science")</f>
        <v>View Full Record in Web of Science</v>
      </c>
    </row>
    <row r="399" spans="1:72" x14ac:dyDescent="0.15">
      <c r="A399" t="s">
        <v>72</v>
      </c>
      <c r="B399" t="s">
        <v>7742</v>
      </c>
      <c r="C399" t="s">
        <v>74</v>
      </c>
      <c r="D399" t="s">
        <v>74</v>
      </c>
      <c r="E399" t="s">
        <v>74</v>
      </c>
      <c r="F399" t="s">
        <v>7743</v>
      </c>
      <c r="G399" t="s">
        <v>74</v>
      </c>
      <c r="H399" t="s">
        <v>74</v>
      </c>
      <c r="I399" t="s">
        <v>7744</v>
      </c>
      <c r="J399" t="s">
        <v>7745</v>
      </c>
      <c r="K399" t="s">
        <v>74</v>
      </c>
      <c r="L399" t="s">
        <v>74</v>
      </c>
      <c r="M399" t="s">
        <v>3657</v>
      </c>
      <c r="N399" t="s">
        <v>79</v>
      </c>
      <c r="O399" t="s">
        <v>74</v>
      </c>
      <c r="P399" t="s">
        <v>74</v>
      </c>
      <c r="Q399" t="s">
        <v>74</v>
      </c>
      <c r="R399" t="s">
        <v>74</v>
      </c>
      <c r="S399" t="s">
        <v>74</v>
      </c>
      <c r="T399" t="s">
        <v>74</v>
      </c>
      <c r="U399" t="s">
        <v>74</v>
      </c>
      <c r="V399" t="s">
        <v>7746</v>
      </c>
      <c r="W399" t="s">
        <v>7747</v>
      </c>
      <c r="X399" t="s">
        <v>7748</v>
      </c>
      <c r="Y399" t="s">
        <v>7749</v>
      </c>
      <c r="Z399" t="s">
        <v>7750</v>
      </c>
      <c r="AA399" t="s">
        <v>7751</v>
      </c>
      <c r="AB399" t="s">
        <v>7752</v>
      </c>
      <c r="AC399" t="s">
        <v>74</v>
      </c>
      <c r="AD399" t="s">
        <v>74</v>
      </c>
      <c r="AE399" t="s">
        <v>74</v>
      </c>
      <c r="AF399" t="s">
        <v>74</v>
      </c>
      <c r="AG399">
        <v>0</v>
      </c>
      <c r="AH399">
        <v>1</v>
      </c>
      <c r="AI399">
        <v>1</v>
      </c>
      <c r="AJ399">
        <v>0</v>
      </c>
      <c r="AK399">
        <v>6</v>
      </c>
      <c r="AL399" t="s">
        <v>7753</v>
      </c>
      <c r="AM399" t="s">
        <v>7754</v>
      </c>
      <c r="AN399" t="s">
        <v>7755</v>
      </c>
      <c r="AO399" t="s">
        <v>7756</v>
      </c>
      <c r="AP399" t="s">
        <v>7757</v>
      </c>
      <c r="AQ399" t="s">
        <v>74</v>
      </c>
      <c r="AR399" t="s">
        <v>7758</v>
      </c>
      <c r="AS399" t="s">
        <v>7759</v>
      </c>
      <c r="AT399" t="s">
        <v>2024</v>
      </c>
      <c r="AU399">
        <v>2017</v>
      </c>
      <c r="AV399">
        <v>128</v>
      </c>
      <c r="AW399">
        <v>1</v>
      </c>
      <c r="AX399" t="s">
        <v>74</v>
      </c>
      <c r="AY399" t="s">
        <v>74</v>
      </c>
      <c r="AZ399" t="s">
        <v>74</v>
      </c>
      <c r="BA399" t="s">
        <v>74</v>
      </c>
      <c r="BB399">
        <v>69</v>
      </c>
      <c r="BC399">
        <v>91</v>
      </c>
      <c r="BD399" t="s">
        <v>74</v>
      </c>
      <c r="BE399" t="s">
        <v>7760</v>
      </c>
      <c r="BF399" t="str">
        <f>HYPERLINK("http://dx.doi.org/10.21701/bolgeomin.128.1.004","http://dx.doi.org/10.21701/bolgeomin.128.1.004")</f>
        <v>http://dx.doi.org/10.21701/bolgeomin.128.1.004</v>
      </c>
      <c r="BG399" t="s">
        <v>74</v>
      </c>
      <c r="BH399" t="s">
        <v>74</v>
      </c>
      <c r="BI399">
        <v>23</v>
      </c>
      <c r="BJ399" t="s">
        <v>670</v>
      </c>
      <c r="BK399" t="s">
        <v>2057</v>
      </c>
      <c r="BL399" t="s">
        <v>670</v>
      </c>
      <c r="BM399" t="s">
        <v>7761</v>
      </c>
      <c r="BN399" t="s">
        <v>74</v>
      </c>
      <c r="BO399" t="s">
        <v>591</v>
      </c>
      <c r="BP399" t="s">
        <v>74</v>
      </c>
      <c r="BQ399" t="s">
        <v>74</v>
      </c>
      <c r="BR399" t="s">
        <v>105</v>
      </c>
      <c r="BS399" t="s">
        <v>7762</v>
      </c>
      <c r="BT399" t="str">
        <f>HYPERLINK("https%3A%2F%2Fwww.webofscience.com%2Fwos%2Fwoscc%2Ffull-record%2FWOS:000398257500004","View Full Record in Web of Science")</f>
        <v>View Full Record in Web of Science</v>
      </c>
    </row>
    <row r="400" spans="1:72" x14ac:dyDescent="0.15">
      <c r="A400" t="s">
        <v>72</v>
      </c>
      <c r="B400" t="s">
        <v>7763</v>
      </c>
      <c r="C400" t="s">
        <v>74</v>
      </c>
      <c r="D400" t="s">
        <v>74</v>
      </c>
      <c r="E400" t="s">
        <v>74</v>
      </c>
      <c r="F400" t="s">
        <v>7764</v>
      </c>
      <c r="G400" t="s">
        <v>74</v>
      </c>
      <c r="H400" t="s">
        <v>74</v>
      </c>
      <c r="I400" t="s">
        <v>7765</v>
      </c>
      <c r="J400" t="s">
        <v>7766</v>
      </c>
      <c r="K400" t="s">
        <v>74</v>
      </c>
      <c r="L400" t="s">
        <v>74</v>
      </c>
      <c r="M400" t="s">
        <v>78</v>
      </c>
      <c r="N400" t="s">
        <v>79</v>
      </c>
      <c r="O400" t="s">
        <v>74</v>
      </c>
      <c r="P400" t="s">
        <v>74</v>
      </c>
      <c r="Q400" t="s">
        <v>74</v>
      </c>
      <c r="R400" t="s">
        <v>74</v>
      </c>
      <c r="S400" t="s">
        <v>74</v>
      </c>
      <c r="T400" t="s">
        <v>7767</v>
      </c>
      <c r="U400" t="s">
        <v>7768</v>
      </c>
      <c r="V400" t="s">
        <v>7769</v>
      </c>
      <c r="W400" t="s">
        <v>7770</v>
      </c>
      <c r="X400" t="s">
        <v>7771</v>
      </c>
      <c r="Y400" t="s">
        <v>7772</v>
      </c>
      <c r="Z400" t="s">
        <v>7773</v>
      </c>
      <c r="AA400" t="s">
        <v>74</v>
      </c>
      <c r="AB400" t="s">
        <v>74</v>
      </c>
      <c r="AC400" t="s">
        <v>7774</v>
      </c>
      <c r="AD400" t="s">
        <v>7775</v>
      </c>
      <c r="AE400" t="s">
        <v>7776</v>
      </c>
      <c r="AF400" t="s">
        <v>74</v>
      </c>
      <c r="AG400">
        <v>17</v>
      </c>
      <c r="AH400">
        <v>0</v>
      </c>
      <c r="AI400">
        <v>1</v>
      </c>
      <c r="AJ400">
        <v>2</v>
      </c>
      <c r="AK400">
        <v>17</v>
      </c>
      <c r="AL400" t="s">
        <v>1967</v>
      </c>
      <c r="AM400" t="s">
        <v>1910</v>
      </c>
      <c r="AN400" t="s">
        <v>1968</v>
      </c>
      <c r="AO400" t="s">
        <v>7777</v>
      </c>
      <c r="AP400" t="s">
        <v>7778</v>
      </c>
      <c r="AQ400" t="s">
        <v>74</v>
      </c>
      <c r="AR400" t="s">
        <v>7779</v>
      </c>
      <c r="AS400" t="s">
        <v>7780</v>
      </c>
      <c r="AT400" t="s">
        <v>74</v>
      </c>
      <c r="AU400">
        <v>2017</v>
      </c>
      <c r="AV400">
        <v>8</v>
      </c>
      <c r="AW400">
        <v>6</v>
      </c>
      <c r="AX400" t="s">
        <v>74</v>
      </c>
      <c r="AY400" t="s">
        <v>74</v>
      </c>
      <c r="AZ400" t="s">
        <v>74</v>
      </c>
      <c r="BA400" t="s">
        <v>74</v>
      </c>
      <c r="BB400">
        <v>596</v>
      </c>
      <c r="BC400">
        <v>605</v>
      </c>
      <c r="BD400" t="s">
        <v>74</v>
      </c>
      <c r="BE400" t="s">
        <v>7781</v>
      </c>
      <c r="BF400" t="str">
        <f>HYPERLINK("http://dx.doi.org/10.1080/2150704X.2017.1306136","http://dx.doi.org/10.1080/2150704X.2017.1306136")</f>
        <v>http://dx.doi.org/10.1080/2150704X.2017.1306136</v>
      </c>
      <c r="BG400" t="s">
        <v>74</v>
      </c>
      <c r="BH400" t="s">
        <v>74</v>
      </c>
      <c r="BI400">
        <v>10</v>
      </c>
      <c r="BJ400" t="s">
        <v>2547</v>
      </c>
      <c r="BK400" t="s">
        <v>101</v>
      </c>
      <c r="BL400" t="s">
        <v>2547</v>
      </c>
      <c r="BM400" t="s">
        <v>7782</v>
      </c>
      <c r="BN400" t="s">
        <v>74</v>
      </c>
      <c r="BO400" t="s">
        <v>74</v>
      </c>
      <c r="BP400" t="s">
        <v>74</v>
      </c>
      <c r="BQ400" t="s">
        <v>74</v>
      </c>
      <c r="BR400" t="s">
        <v>105</v>
      </c>
      <c r="BS400" t="s">
        <v>7783</v>
      </c>
      <c r="BT400" t="str">
        <f>HYPERLINK("https%3A%2F%2Fwww.webofscience.com%2Fwos%2Fwoscc%2Ffull-record%2FWOS:000398185100011","View Full Record in Web of Science")</f>
        <v>View Full Record in Web of Science</v>
      </c>
    </row>
    <row r="401" spans="1:72" x14ac:dyDescent="0.15">
      <c r="A401" t="s">
        <v>72</v>
      </c>
      <c r="B401" t="s">
        <v>7784</v>
      </c>
      <c r="C401" t="s">
        <v>74</v>
      </c>
      <c r="D401" t="s">
        <v>74</v>
      </c>
      <c r="E401" t="s">
        <v>74</v>
      </c>
      <c r="F401" t="s">
        <v>7785</v>
      </c>
      <c r="G401" t="s">
        <v>74</v>
      </c>
      <c r="H401" t="s">
        <v>74</v>
      </c>
      <c r="I401" t="s">
        <v>7786</v>
      </c>
      <c r="J401" t="s">
        <v>7787</v>
      </c>
      <c r="K401" t="s">
        <v>74</v>
      </c>
      <c r="L401" t="s">
        <v>74</v>
      </c>
      <c r="M401" t="s">
        <v>78</v>
      </c>
      <c r="N401" t="s">
        <v>79</v>
      </c>
      <c r="O401" t="s">
        <v>74</v>
      </c>
      <c r="P401" t="s">
        <v>74</v>
      </c>
      <c r="Q401" t="s">
        <v>74</v>
      </c>
      <c r="R401" t="s">
        <v>74</v>
      </c>
      <c r="S401" t="s">
        <v>74</v>
      </c>
      <c r="T401" t="s">
        <v>7788</v>
      </c>
      <c r="U401" t="s">
        <v>7789</v>
      </c>
      <c r="V401" t="s">
        <v>7790</v>
      </c>
      <c r="W401" t="s">
        <v>7791</v>
      </c>
      <c r="X401" t="s">
        <v>7792</v>
      </c>
      <c r="Y401" t="s">
        <v>7793</v>
      </c>
      <c r="Z401" t="s">
        <v>7794</v>
      </c>
      <c r="AA401" t="s">
        <v>7795</v>
      </c>
      <c r="AB401" t="s">
        <v>7796</v>
      </c>
      <c r="AC401" t="s">
        <v>7797</v>
      </c>
      <c r="AD401" t="s">
        <v>7798</v>
      </c>
      <c r="AE401" t="s">
        <v>7799</v>
      </c>
      <c r="AF401" t="s">
        <v>74</v>
      </c>
      <c r="AG401">
        <v>106</v>
      </c>
      <c r="AH401">
        <v>19</v>
      </c>
      <c r="AI401">
        <v>24</v>
      </c>
      <c r="AJ401">
        <v>5</v>
      </c>
      <c r="AK401">
        <v>53</v>
      </c>
      <c r="AL401" t="s">
        <v>1610</v>
      </c>
      <c r="AM401" t="s">
        <v>292</v>
      </c>
      <c r="AN401" t="s">
        <v>1611</v>
      </c>
      <c r="AO401" t="s">
        <v>7800</v>
      </c>
      <c r="AP401" t="s">
        <v>7801</v>
      </c>
      <c r="AQ401" t="s">
        <v>74</v>
      </c>
      <c r="AR401" t="s">
        <v>7802</v>
      </c>
      <c r="AS401" t="s">
        <v>7803</v>
      </c>
      <c r="AT401" t="s">
        <v>2136</v>
      </c>
      <c r="AU401">
        <v>2017</v>
      </c>
      <c r="AV401">
        <v>119</v>
      </c>
      <c r="AW401">
        <v>1</v>
      </c>
      <c r="AX401" t="s">
        <v>74</v>
      </c>
      <c r="AY401" t="s">
        <v>74</v>
      </c>
      <c r="AZ401" t="s">
        <v>74</v>
      </c>
      <c r="BA401" t="s">
        <v>74</v>
      </c>
      <c r="BB401">
        <v>27</v>
      </c>
      <c r="BC401">
        <v>38</v>
      </c>
      <c r="BD401" t="s">
        <v>74</v>
      </c>
      <c r="BE401" t="s">
        <v>7804</v>
      </c>
      <c r="BF401" t="str">
        <f>HYPERLINK("http://dx.doi.org/10.1093/aob/mcw201","http://dx.doi.org/10.1093/aob/mcw201")</f>
        <v>http://dx.doi.org/10.1093/aob/mcw201</v>
      </c>
      <c r="BG401" t="s">
        <v>74</v>
      </c>
      <c r="BH401" t="s">
        <v>74</v>
      </c>
      <c r="BI401">
        <v>12</v>
      </c>
      <c r="BJ401" t="s">
        <v>2003</v>
      </c>
      <c r="BK401" t="s">
        <v>101</v>
      </c>
      <c r="BL401" t="s">
        <v>2003</v>
      </c>
      <c r="BM401" t="s">
        <v>7805</v>
      </c>
      <c r="BN401">
        <v>27794516</v>
      </c>
      <c r="BO401" t="s">
        <v>1803</v>
      </c>
      <c r="BP401" t="s">
        <v>74</v>
      </c>
      <c r="BQ401" t="s">
        <v>74</v>
      </c>
      <c r="BR401" t="s">
        <v>105</v>
      </c>
      <c r="BS401" t="s">
        <v>7806</v>
      </c>
      <c r="BT401" t="str">
        <f>HYPERLINK("https%3A%2F%2Fwww.webofscience.com%2Fwos%2Fwoscc%2Ffull-record%2FWOS:000395621900003","View Full Record in Web of Science")</f>
        <v>View Full Record in Web of Science</v>
      </c>
    </row>
    <row r="402" spans="1:72" x14ac:dyDescent="0.15">
      <c r="A402" t="s">
        <v>72</v>
      </c>
      <c r="B402" t="s">
        <v>7807</v>
      </c>
      <c r="C402" t="s">
        <v>74</v>
      </c>
      <c r="D402" t="s">
        <v>74</v>
      </c>
      <c r="E402" t="s">
        <v>74</v>
      </c>
      <c r="F402" t="s">
        <v>7808</v>
      </c>
      <c r="G402" t="s">
        <v>74</v>
      </c>
      <c r="H402" t="s">
        <v>74</v>
      </c>
      <c r="I402" t="s">
        <v>7809</v>
      </c>
      <c r="J402" t="s">
        <v>7810</v>
      </c>
      <c r="K402" t="s">
        <v>74</v>
      </c>
      <c r="L402" t="s">
        <v>74</v>
      </c>
      <c r="M402" t="s">
        <v>78</v>
      </c>
      <c r="N402" t="s">
        <v>79</v>
      </c>
      <c r="O402" t="s">
        <v>74</v>
      </c>
      <c r="P402" t="s">
        <v>74</v>
      </c>
      <c r="Q402" t="s">
        <v>74</v>
      </c>
      <c r="R402" t="s">
        <v>74</v>
      </c>
      <c r="S402" t="s">
        <v>74</v>
      </c>
      <c r="T402" t="s">
        <v>74</v>
      </c>
      <c r="U402" t="s">
        <v>7811</v>
      </c>
      <c r="V402" t="s">
        <v>7812</v>
      </c>
      <c r="W402" t="s">
        <v>7813</v>
      </c>
      <c r="X402" t="s">
        <v>7814</v>
      </c>
      <c r="Y402" t="s">
        <v>7815</v>
      </c>
      <c r="Z402" t="s">
        <v>74</v>
      </c>
      <c r="AA402" t="s">
        <v>74</v>
      </c>
      <c r="AB402" t="s">
        <v>7816</v>
      </c>
      <c r="AC402" t="s">
        <v>7817</v>
      </c>
      <c r="AD402" t="s">
        <v>7818</v>
      </c>
      <c r="AE402" t="s">
        <v>74</v>
      </c>
      <c r="AF402" t="s">
        <v>74</v>
      </c>
      <c r="AG402">
        <v>84</v>
      </c>
      <c r="AH402">
        <v>14</v>
      </c>
      <c r="AI402">
        <v>18</v>
      </c>
      <c r="AJ402">
        <v>0</v>
      </c>
      <c r="AK402">
        <v>3</v>
      </c>
      <c r="AL402" t="s">
        <v>7819</v>
      </c>
      <c r="AM402" t="s">
        <v>7820</v>
      </c>
      <c r="AN402" t="s">
        <v>7821</v>
      </c>
      <c r="AO402" t="s">
        <v>7822</v>
      </c>
      <c r="AP402" t="s">
        <v>7823</v>
      </c>
      <c r="AQ402" t="s">
        <v>74</v>
      </c>
      <c r="AR402" t="s">
        <v>7824</v>
      </c>
      <c r="AS402" t="s">
        <v>7825</v>
      </c>
      <c r="AT402" t="s">
        <v>2136</v>
      </c>
      <c r="AU402">
        <v>2017</v>
      </c>
      <c r="AV402">
        <v>22</v>
      </c>
      <c r="AW402">
        <v>1</v>
      </c>
      <c r="AX402" t="s">
        <v>74</v>
      </c>
      <c r="AY402" t="s">
        <v>74</v>
      </c>
      <c r="AZ402" t="s">
        <v>74</v>
      </c>
      <c r="BA402" t="s">
        <v>74</v>
      </c>
      <c r="BB402">
        <v>77</v>
      </c>
      <c r="BC402">
        <v>100</v>
      </c>
      <c r="BD402" t="s">
        <v>74</v>
      </c>
      <c r="BE402" t="s">
        <v>7826</v>
      </c>
      <c r="BF402" t="str">
        <f>HYPERLINK("http://dx.doi.org/10.1093/envhis/emw070","http://dx.doi.org/10.1093/envhis/emw070")</f>
        <v>http://dx.doi.org/10.1093/envhis/emw070</v>
      </c>
      <c r="BG402" t="s">
        <v>74</v>
      </c>
      <c r="BH402" t="s">
        <v>74</v>
      </c>
      <c r="BI402">
        <v>24</v>
      </c>
      <c r="BJ402" t="s">
        <v>7827</v>
      </c>
      <c r="BK402" t="s">
        <v>7828</v>
      </c>
      <c r="BL402" t="s">
        <v>7829</v>
      </c>
      <c r="BM402" t="s">
        <v>7830</v>
      </c>
      <c r="BN402" t="s">
        <v>74</v>
      </c>
      <c r="BO402" t="s">
        <v>74</v>
      </c>
      <c r="BP402" t="s">
        <v>74</v>
      </c>
      <c r="BQ402" t="s">
        <v>74</v>
      </c>
      <c r="BR402" t="s">
        <v>105</v>
      </c>
      <c r="BS402" t="s">
        <v>7831</v>
      </c>
      <c r="BT402" t="str">
        <f>HYPERLINK("https%3A%2F%2Fwww.webofscience.com%2Fwos%2Fwoscc%2Ffull-record%2FWOS:000397115300004","View Full Record in Web of Science")</f>
        <v>View Full Record in Web of Science</v>
      </c>
    </row>
    <row r="403" spans="1:72" x14ac:dyDescent="0.15">
      <c r="A403" t="s">
        <v>72</v>
      </c>
      <c r="B403" t="s">
        <v>7832</v>
      </c>
      <c r="C403" t="s">
        <v>74</v>
      </c>
      <c r="D403" t="s">
        <v>74</v>
      </c>
      <c r="E403" t="s">
        <v>74</v>
      </c>
      <c r="F403" t="s">
        <v>7833</v>
      </c>
      <c r="G403" t="s">
        <v>74</v>
      </c>
      <c r="H403" t="s">
        <v>74</v>
      </c>
      <c r="I403" t="s">
        <v>7834</v>
      </c>
      <c r="J403" t="s">
        <v>7835</v>
      </c>
      <c r="K403" t="s">
        <v>74</v>
      </c>
      <c r="L403" t="s">
        <v>74</v>
      </c>
      <c r="M403" t="s">
        <v>78</v>
      </c>
      <c r="N403" t="s">
        <v>79</v>
      </c>
      <c r="O403" t="s">
        <v>74</v>
      </c>
      <c r="P403" t="s">
        <v>74</v>
      </c>
      <c r="Q403" t="s">
        <v>74</v>
      </c>
      <c r="R403" t="s">
        <v>74</v>
      </c>
      <c r="S403" t="s">
        <v>74</v>
      </c>
      <c r="T403" t="s">
        <v>7836</v>
      </c>
      <c r="U403" t="s">
        <v>7837</v>
      </c>
      <c r="V403" t="s">
        <v>7838</v>
      </c>
      <c r="W403" t="s">
        <v>7839</v>
      </c>
      <c r="X403" t="s">
        <v>7840</v>
      </c>
      <c r="Y403" t="s">
        <v>7841</v>
      </c>
      <c r="Z403" t="s">
        <v>7842</v>
      </c>
      <c r="AA403" t="s">
        <v>7843</v>
      </c>
      <c r="AB403" t="s">
        <v>7844</v>
      </c>
      <c r="AC403" t="s">
        <v>7845</v>
      </c>
      <c r="AD403" t="s">
        <v>7846</v>
      </c>
      <c r="AE403" t="s">
        <v>7847</v>
      </c>
      <c r="AF403" t="s">
        <v>74</v>
      </c>
      <c r="AG403">
        <v>44</v>
      </c>
      <c r="AH403">
        <v>5</v>
      </c>
      <c r="AI403">
        <v>6</v>
      </c>
      <c r="AJ403">
        <v>0</v>
      </c>
      <c r="AK403">
        <v>19</v>
      </c>
      <c r="AL403" t="s">
        <v>2377</v>
      </c>
      <c r="AM403" t="s">
        <v>2378</v>
      </c>
      <c r="AN403" t="s">
        <v>2379</v>
      </c>
      <c r="AO403" t="s">
        <v>7848</v>
      </c>
      <c r="AP403" t="s">
        <v>7849</v>
      </c>
      <c r="AQ403" t="s">
        <v>74</v>
      </c>
      <c r="AR403" t="s">
        <v>7850</v>
      </c>
      <c r="AS403" t="s">
        <v>7851</v>
      </c>
      <c r="AT403" t="s">
        <v>2136</v>
      </c>
      <c r="AU403">
        <v>2017</v>
      </c>
      <c r="AV403">
        <v>18</v>
      </c>
      <c r="AW403">
        <v>1</v>
      </c>
      <c r="AX403" t="s">
        <v>74</v>
      </c>
      <c r="AY403" t="s">
        <v>74</v>
      </c>
      <c r="AZ403" t="s">
        <v>74</v>
      </c>
      <c r="BA403" t="s">
        <v>74</v>
      </c>
      <c r="BB403">
        <v>105</v>
      </c>
      <c r="BC403">
        <v>113</v>
      </c>
      <c r="BD403" t="s">
        <v>74</v>
      </c>
      <c r="BE403" t="s">
        <v>7852</v>
      </c>
      <c r="BF403" t="str">
        <f>HYPERLINK("http://dx.doi.org/10.1111/faf.12128","http://dx.doi.org/10.1111/faf.12128")</f>
        <v>http://dx.doi.org/10.1111/faf.12128</v>
      </c>
      <c r="BG403" t="s">
        <v>74</v>
      </c>
      <c r="BH403" t="s">
        <v>74</v>
      </c>
      <c r="BI403">
        <v>9</v>
      </c>
      <c r="BJ403" t="s">
        <v>272</v>
      </c>
      <c r="BK403" t="s">
        <v>101</v>
      </c>
      <c r="BL403" t="s">
        <v>272</v>
      </c>
      <c r="BM403" t="s">
        <v>7853</v>
      </c>
      <c r="BN403" t="s">
        <v>74</v>
      </c>
      <c r="BO403" t="s">
        <v>74</v>
      </c>
      <c r="BP403" t="s">
        <v>74</v>
      </c>
      <c r="BQ403" t="s">
        <v>74</v>
      </c>
      <c r="BR403" t="s">
        <v>105</v>
      </c>
      <c r="BS403" t="s">
        <v>7854</v>
      </c>
      <c r="BT403" t="str">
        <f>HYPERLINK("https%3A%2F%2Fwww.webofscience.com%2Fwos%2Fwoscc%2Ffull-record%2FWOS:000396407200007","View Full Record in Web of Science")</f>
        <v>View Full Record in Web of Science</v>
      </c>
    </row>
    <row r="404" spans="1:72" x14ac:dyDescent="0.15">
      <c r="A404" t="s">
        <v>72</v>
      </c>
      <c r="B404" t="s">
        <v>7855</v>
      </c>
      <c r="C404" t="s">
        <v>74</v>
      </c>
      <c r="D404" t="s">
        <v>74</v>
      </c>
      <c r="E404" t="s">
        <v>74</v>
      </c>
      <c r="F404" t="s">
        <v>7856</v>
      </c>
      <c r="G404" t="s">
        <v>74</v>
      </c>
      <c r="H404" t="s">
        <v>74</v>
      </c>
      <c r="I404" t="s">
        <v>7857</v>
      </c>
      <c r="J404" t="s">
        <v>7835</v>
      </c>
      <c r="K404" t="s">
        <v>74</v>
      </c>
      <c r="L404" t="s">
        <v>74</v>
      </c>
      <c r="M404" t="s">
        <v>78</v>
      </c>
      <c r="N404" t="s">
        <v>79</v>
      </c>
      <c r="O404" t="s">
        <v>74</v>
      </c>
      <c r="P404" t="s">
        <v>74</v>
      </c>
      <c r="Q404" t="s">
        <v>74</v>
      </c>
      <c r="R404" t="s">
        <v>74</v>
      </c>
      <c r="S404" t="s">
        <v>74</v>
      </c>
      <c r="T404" t="s">
        <v>7858</v>
      </c>
      <c r="U404" t="s">
        <v>7859</v>
      </c>
      <c r="V404" t="s">
        <v>7860</v>
      </c>
      <c r="W404" t="s">
        <v>7861</v>
      </c>
      <c r="X404" t="s">
        <v>7862</v>
      </c>
      <c r="Y404" t="s">
        <v>7863</v>
      </c>
      <c r="Z404" t="s">
        <v>7864</v>
      </c>
      <c r="AA404" t="s">
        <v>74</v>
      </c>
      <c r="AB404" t="s">
        <v>74</v>
      </c>
      <c r="AC404" t="s">
        <v>74</v>
      </c>
      <c r="AD404" t="s">
        <v>74</v>
      </c>
      <c r="AE404" t="s">
        <v>74</v>
      </c>
      <c r="AF404" t="s">
        <v>74</v>
      </c>
      <c r="AG404">
        <v>42</v>
      </c>
      <c r="AH404">
        <v>13</v>
      </c>
      <c r="AI404">
        <v>17</v>
      </c>
      <c r="AJ404">
        <v>0</v>
      </c>
      <c r="AK404">
        <v>24</v>
      </c>
      <c r="AL404" t="s">
        <v>2377</v>
      </c>
      <c r="AM404" t="s">
        <v>2378</v>
      </c>
      <c r="AN404" t="s">
        <v>2379</v>
      </c>
      <c r="AO404" t="s">
        <v>7848</v>
      </c>
      <c r="AP404" t="s">
        <v>7849</v>
      </c>
      <c r="AQ404" t="s">
        <v>74</v>
      </c>
      <c r="AR404" t="s">
        <v>7850</v>
      </c>
      <c r="AS404" t="s">
        <v>7851</v>
      </c>
      <c r="AT404" t="s">
        <v>2136</v>
      </c>
      <c r="AU404">
        <v>2017</v>
      </c>
      <c r="AV404">
        <v>18</v>
      </c>
      <c r="AW404">
        <v>1</v>
      </c>
      <c r="AX404" t="s">
        <v>74</v>
      </c>
      <c r="AY404" t="s">
        <v>74</v>
      </c>
      <c r="AZ404" t="s">
        <v>74</v>
      </c>
      <c r="BA404" t="s">
        <v>74</v>
      </c>
      <c r="BB404">
        <v>145</v>
      </c>
      <c r="BC404">
        <v>159</v>
      </c>
      <c r="BD404" t="s">
        <v>74</v>
      </c>
      <c r="BE404" t="s">
        <v>7865</v>
      </c>
      <c r="BF404" t="str">
        <f>HYPERLINK("http://dx.doi.org/10.1111/faf.12137","http://dx.doi.org/10.1111/faf.12137")</f>
        <v>http://dx.doi.org/10.1111/faf.12137</v>
      </c>
      <c r="BG404" t="s">
        <v>74</v>
      </c>
      <c r="BH404" t="s">
        <v>74</v>
      </c>
      <c r="BI404">
        <v>15</v>
      </c>
      <c r="BJ404" t="s">
        <v>272</v>
      </c>
      <c r="BK404" t="s">
        <v>101</v>
      </c>
      <c r="BL404" t="s">
        <v>272</v>
      </c>
      <c r="BM404" t="s">
        <v>7853</v>
      </c>
      <c r="BN404" t="s">
        <v>74</v>
      </c>
      <c r="BO404" t="s">
        <v>74</v>
      </c>
      <c r="BP404" t="s">
        <v>74</v>
      </c>
      <c r="BQ404" t="s">
        <v>74</v>
      </c>
      <c r="BR404" t="s">
        <v>105</v>
      </c>
      <c r="BS404" t="s">
        <v>7866</v>
      </c>
      <c r="BT404" t="str">
        <f>HYPERLINK("https%3A%2F%2Fwww.webofscience.com%2Fwos%2Fwoscc%2Ffull-record%2FWOS:000396407200010","View Full Record in Web of Science")</f>
        <v>View Full Record in Web of Science</v>
      </c>
    </row>
    <row r="405" spans="1:72" x14ac:dyDescent="0.15">
      <c r="A405" t="s">
        <v>72</v>
      </c>
      <c r="B405" t="s">
        <v>7867</v>
      </c>
      <c r="C405" t="s">
        <v>74</v>
      </c>
      <c r="D405" t="s">
        <v>74</v>
      </c>
      <c r="E405" t="s">
        <v>74</v>
      </c>
      <c r="F405" t="s">
        <v>7868</v>
      </c>
      <c r="G405" t="s">
        <v>74</v>
      </c>
      <c r="H405" t="s">
        <v>74</v>
      </c>
      <c r="I405" t="s">
        <v>7869</v>
      </c>
      <c r="J405" t="s">
        <v>7870</v>
      </c>
      <c r="K405" t="s">
        <v>74</v>
      </c>
      <c r="L405" t="s">
        <v>74</v>
      </c>
      <c r="M405" t="s">
        <v>78</v>
      </c>
      <c r="N405" t="s">
        <v>79</v>
      </c>
      <c r="O405" t="s">
        <v>74</v>
      </c>
      <c r="P405" t="s">
        <v>74</v>
      </c>
      <c r="Q405" t="s">
        <v>74</v>
      </c>
      <c r="R405" t="s">
        <v>74</v>
      </c>
      <c r="S405" t="s">
        <v>74</v>
      </c>
      <c r="T405" t="s">
        <v>7871</v>
      </c>
      <c r="U405" t="s">
        <v>7872</v>
      </c>
      <c r="V405" t="s">
        <v>7873</v>
      </c>
      <c r="W405" t="s">
        <v>7874</v>
      </c>
      <c r="X405" t="s">
        <v>4134</v>
      </c>
      <c r="Y405" t="s">
        <v>7875</v>
      </c>
      <c r="Z405" t="s">
        <v>7876</v>
      </c>
      <c r="AA405" t="s">
        <v>74</v>
      </c>
      <c r="AB405" t="s">
        <v>74</v>
      </c>
      <c r="AC405" t="s">
        <v>74</v>
      </c>
      <c r="AD405" t="s">
        <v>74</v>
      </c>
      <c r="AE405" t="s">
        <v>74</v>
      </c>
      <c r="AF405" t="s">
        <v>74</v>
      </c>
      <c r="AG405">
        <v>20</v>
      </c>
      <c r="AH405">
        <v>4</v>
      </c>
      <c r="AI405">
        <v>6</v>
      </c>
      <c r="AJ405">
        <v>1</v>
      </c>
      <c r="AK405">
        <v>5</v>
      </c>
      <c r="AL405" t="s">
        <v>7877</v>
      </c>
      <c r="AM405" t="s">
        <v>7878</v>
      </c>
      <c r="AN405" t="s">
        <v>7879</v>
      </c>
      <c r="AO405" t="s">
        <v>7880</v>
      </c>
      <c r="AP405" t="s">
        <v>7881</v>
      </c>
      <c r="AQ405" t="s">
        <v>74</v>
      </c>
      <c r="AR405" t="s">
        <v>7882</v>
      </c>
      <c r="AS405" t="s">
        <v>7883</v>
      </c>
      <c r="AT405" t="s">
        <v>2136</v>
      </c>
      <c r="AU405">
        <v>2017</v>
      </c>
      <c r="AV405">
        <v>14</v>
      </c>
      <c r="AW405">
        <v>1</v>
      </c>
      <c r="AX405" t="s">
        <v>74</v>
      </c>
      <c r="AY405" t="s">
        <v>74</v>
      </c>
      <c r="AZ405" t="s">
        <v>74</v>
      </c>
      <c r="BA405" t="s">
        <v>74</v>
      </c>
      <c r="BB405">
        <v>92</v>
      </c>
      <c r="BC405">
        <v>96</v>
      </c>
      <c r="BD405" t="s">
        <v>74</v>
      </c>
      <c r="BE405" t="s">
        <v>7884</v>
      </c>
      <c r="BF405" t="str">
        <f>HYPERLINK("http://dx.doi.org/10.1109/LGRS.2016.2630010","http://dx.doi.org/10.1109/LGRS.2016.2630010")</f>
        <v>http://dx.doi.org/10.1109/LGRS.2016.2630010</v>
      </c>
      <c r="BG405" t="s">
        <v>74</v>
      </c>
      <c r="BH405" t="s">
        <v>74</v>
      </c>
      <c r="BI405">
        <v>5</v>
      </c>
      <c r="BJ405" t="s">
        <v>7885</v>
      </c>
      <c r="BK405" t="s">
        <v>101</v>
      </c>
      <c r="BL405" t="s">
        <v>7886</v>
      </c>
      <c r="BM405" t="s">
        <v>7887</v>
      </c>
      <c r="BN405" t="s">
        <v>74</v>
      </c>
      <c r="BO405" t="s">
        <v>74</v>
      </c>
      <c r="BP405" t="s">
        <v>74</v>
      </c>
      <c r="BQ405" t="s">
        <v>74</v>
      </c>
      <c r="BR405" t="s">
        <v>105</v>
      </c>
      <c r="BS405" t="s">
        <v>7888</v>
      </c>
      <c r="BT405" t="str">
        <f>HYPERLINK("https%3A%2F%2Fwww.webofscience.com%2Fwos%2Fwoscc%2Ffull-record%2FWOS:000395427900019","View Full Record in Web of Science")</f>
        <v>View Full Record in Web of Science</v>
      </c>
    </row>
    <row r="406" spans="1:72" x14ac:dyDescent="0.15">
      <c r="A406" t="s">
        <v>72</v>
      </c>
      <c r="B406" t="s">
        <v>7889</v>
      </c>
      <c r="C406" t="s">
        <v>74</v>
      </c>
      <c r="D406" t="s">
        <v>74</v>
      </c>
      <c r="E406" t="s">
        <v>74</v>
      </c>
      <c r="F406" t="s">
        <v>7890</v>
      </c>
      <c r="G406" t="s">
        <v>74</v>
      </c>
      <c r="H406" t="s">
        <v>74</v>
      </c>
      <c r="I406" t="s">
        <v>7891</v>
      </c>
      <c r="J406" t="s">
        <v>7892</v>
      </c>
      <c r="K406" t="s">
        <v>74</v>
      </c>
      <c r="L406" t="s">
        <v>74</v>
      </c>
      <c r="M406" t="s">
        <v>78</v>
      </c>
      <c r="N406" t="s">
        <v>79</v>
      </c>
      <c r="O406" t="s">
        <v>74</v>
      </c>
      <c r="P406" t="s">
        <v>74</v>
      </c>
      <c r="Q406" t="s">
        <v>74</v>
      </c>
      <c r="R406" t="s">
        <v>74</v>
      </c>
      <c r="S406" t="s">
        <v>74</v>
      </c>
      <c r="T406" t="s">
        <v>7893</v>
      </c>
      <c r="U406" t="s">
        <v>7894</v>
      </c>
      <c r="V406" t="s">
        <v>7895</v>
      </c>
      <c r="W406" t="s">
        <v>7896</v>
      </c>
      <c r="X406" t="s">
        <v>7897</v>
      </c>
      <c r="Y406" t="s">
        <v>7898</v>
      </c>
      <c r="Z406" t="s">
        <v>7899</v>
      </c>
      <c r="AA406" t="s">
        <v>74</v>
      </c>
      <c r="AB406" t="s">
        <v>74</v>
      </c>
      <c r="AC406" t="s">
        <v>7900</v>
      </c>
      <c r="AD406" t="s">
        <v>7900</v>
      </c>
      <c r="AE406" t="s">
        <v>7901</v>
      </c>
      <c r="AF406" t="s">
        <v>74</v>
      </c>
      <c r="AG406">
        <v>29</v>
      </c>
      <c r="AH406">
        <v>7</v>
      </c>
      <c r="AI406">
        <v>7</v>
      </c>
      <c r="AJ406">
        <v>0</v>
      </c>
      <c r="AK406">
        <v>3</v>
      </c>
      <c r="AL406" t="s">
        <v>7449</v>
      </c>
      <c r="AM406" t="s">
        <v>187</v>
      </c>
      <c r="AN406" t="s">
        <v>7450</v>
      </c>
      <c r="AO406" t="s">
        <v>7902</v>
      </c>
      <c r="AP406" t="s">
        <v>7903</v>
      </c>
      <c r="AQ406" t="s">
        <v>74</v>
      </c>
      <c r="AR406" t="s">
        <v>7904</v>
      </c>
      <c r="AS406" t="s">
        <v>7905</v>
      </c>
      <c r="AT406" t="s">
        <v>2136</v>
      </c>
      <c r="AU406">
        <v>2017</v>
      </c>
      <c r="AV406">
        <v>53</v>
      </c>
      <c r="AW406">
        <v>1</v>
      </c>
      <c r="AX406" t="s">
        <v>74</v>
      </c>
      <c r="AY406" t="s">
        <v>74</v>
      </c>
      <c r="AZ406" t="s">
        <v>74</v>
      </c>
      <c r="BA406" t="s">
        <v>74</v>
      </c>
      <c r="BB406">
        <v>65</v>
      </c>
      <c r="BC406">
        <v>75</v>
      </c>
      <c r="BD406" t="s">
        <v>74</v>
      </c>
      <c r="BE406" t="s">
        <v>7906</v>
      </c>
      <c r="BF406" t="str">
        <f>HYPERLINK("http://dx.doi.org/10.1134/S0001433817010029","http://dx.doi.org/10.1134/S0001433817010029")</f>
        <v>http://dx.doi.org/10.1134/S0001433817010029</v>
      </c>
      <c r="BG406" t="s">
        <v>74</v>
      </c>
      <c r="BH406" t="s">
        <v>74</v>
      </c>
      <c r="BI406">
        <v>11</v>
      </c>
      <c r="BJ406" t="s">
        <v>6981</v>
      </c>
      <c r="BK406" t="s">
        <v>101</v>
      </c>
      <c r="BL406" t="s">
        <v>6981</v>
      </c>
      <c r="BM406" t="s">
        <v>7907</v>
      </c>
      <c r="BN406" t="s">
        <v>74</v>
      </c>
      <c r="BO406" t="s">
        <v>74</v>
      </c>
      <c r="BP406" t="s">
        <v>74</v>
      </c>
      <c r="BQ406" t="s">
        <v>74</v>
      </c>
      <c r="BR406" t="s">
        <v>105</v>
      </c>
      <c r="BS406" t="s">
        <v>7908</v>
      </c>
      <c r="BT406" t="str">
        <f>HYPERLINK("https%3A%2F%2Fwww.webofscience.com%2Fwos%2Fwoscc%2Ffull-record%2FWOS:000396307700008","View Full Record in Web of Science")</f>
        <v>View Full Record in Web of Science</v>
      </c>
    </row>
    <row r="407" spans="1:72" x14ac:dyDescent="0.15">
      <c r="A407" t="s">
        <v>72</v>
      </c>
      <c r="B407" t="s">
        <v>7909</v>
      </c>
      <c r="C407" t="s">
        <v>74</v>
      </c>
      <c r="D407" t="s">
        <v>74</v>
      </c>
      <c r="E407" t="s">
        <v>74</v>
      </c>
      <c r="F407" t="s">
        <v>7910</v>
      </c>
      <c r="G407" t="s">
        <v>74</v>
      </c>
      <c r="H407" t="s">
        <v>74</v>
      </c>
      <c r="I407" t="s">
        <v>7911</v>
      </c>
      <c r="J407" t="s">
        <v>7912</v>
      </c>
      <c r="K407" t="s">
        <v>74</v>
      </c>
      <c r="L407" t="s">
        <v>74</v>
      </c>
      <c r="M407" t="s">
        <v>78</v>
      </c>
      <c r="N407" t="s">
        <v>79</v>
      </c>
      <c r="O407" t="s">
        <v>74</v>
      </c>
      <c r="P407" t="s">
        <v>74</v>
      </c>
      <c r="Q407" t="s">
        <v>74</v>
      </c>
      <c r="R407" t="s">
        <v>74</v>
      </c>
      <c r="S407" t="s">
        <v>74</v>
      </c>
      <c r="T407" t="s">
        <v>7913</v>
      </c>
      <c r="U407" t="s">
        <v>74</v>
      </c>
      <c r="V407" t="s">
        <v>7914</v>
      </c>
      <c r="W407" t="s">
        <v>7915</v>
      </c>
      <c r="X407" t="s">
        <v>7916</v>
      </c>
      <c r="Y407" t="s">
        <v>7917</v>
      </c>
      <c r="Z407" t="s">
        <v>7918</v>
      </c>
      <c r="AA407" t="s">
        <v>74</v>
      </c>
      <c r="AB407" t="s">
        <v>74</v>
      </c>
      <c r="AC407" t="s">
        <v>7919</v>
      </c>
      <c r="AD407" t="s">
        <v>7920</v>
      </c>
      <c r="AE407" t="s">
        <v>7921</v>
      </c>
      <c r="AF407" t="s">
        <v>74</v>
      </c>
      <c r="AG407">
        <v>10</v>
      </c>
      <c r="AH407">
        <v>2</v>
      </c>
      <c r="AI407">
        <v>2</v>
      </c>
      <c r="AJ407">
        <v>0</v>
      </c>
      <c r="AK407">
        <v>20</v>
      </c>
      <c r="AL407" t="s">
        <v>7922</v>
      </c>
      <c r="AM407" t="s">
        <v>3433</v>
      </c>
      <c r="AN407" t="s">
        <v>7923</v>
      </c>
      <c r="AO407" t="s">
        <v>7924</v>
      </c>
      <c r="AP407" t="s">
        <v>7925</v>
      </c>
      <c r="AQ407" t="s">
        <v>74</v>
      </c>
      <c r="AR407" t="s">
        <v>7926</v>
      </c>
      <c r="AS407" t="s">
        <v>7927</v>
      </c>
      <c r="AT407" t="s">
        <v>2136</v>
      </c>
      <c r="AU407">
        <v>2017</v>
      </c>
      <c r="AV407">
        <v>3</v>
      </c>
      <c r="AW407">
        <v>1</v>
      </c>
      <c r="AX407" t="s">
        <v>74</v>
      </c>
      <c r="AY407" t="s">
        <v>74</v>
      </c>
      <c r="AZ407" t="s">
        <v>74</v>
      </c>
      <c r="BA407" t="s">
        <v>74</v>
      </c>
      <c r="BB407" t="s">
        <v>74</v>
      </c>
      <c r="BC407" t="s">
        <v>74</v>
      </c>
      <c r="BD407">
        <v>15001</v>
      </c>
      <c r="BE407" t="s">
        <v>7928</v>
      </c>
      <c r="BF407" t="str">
        <f>HYPERLINK("http://dx.doi.org/10.1117/1.JATIS.3.1.015001","http://dx.doi.org/10.1117/1.JATIS.3.1.015001")</f>
        <v>http://dx.doi.org/10.1117/1.JATIS.3.1.015001</v>
      </c>
      <c r="BG407" t="s">
        <v>74</v>
      </c>
      <c r="BH407" t="s">
        <v>74</v>
      </c>
      <c r="BI407">
        <v>7</v>
      </c>
      <c r="BJ407" t="s">
        <v>7929</v>
      </c>
      <c r="BK407" t="s">
        <v>101</v>
      </c>
      <c r="BL407" t="s">
        <v>7930</v>
      </c>
      <c r="BM407" t="s">
        <v>7931</v>
      </c>
      <c r="BN407" t="s">
        <v>74</v>
      </c>
      <c r="BO407" t="s">
        <v>74</v>
      </c>
      <c r="BP407" t="s">
        <v>74</v>
      </c>
      <c r="BQ407" t="s">
        <v>74</v>
      </c>
      <c r="BR407" t="s">
        <v>105</v>
      </c>
      <c r="BS407" t="s">
        <v>7932</v>
      </c>
      <c r="BT407" t="str">
        <f>HYPERLINK("https%3A%2F%2Fwww.webofscience.com%2Fwos%2Fwoscc%2Ffull-record%2FWOS:000396369700004","View Full Record in Web of Science")</f>
        <v>View Full Record in Web of Science</v>
      </c>
    </row>
    <row r="408" spans="1:72" x14ac:dyDescent="0.15">
      <c r="A408" t="s">
        <v>72</v>
      </c>
      <c r="B408" t="s">
        <v>7933</v>
      </c>
      <c r="C408" t="s">
        <v>74</v>
      </c>
      <c r="D408" t="s">
        <v>74</v>
      </c>
      <c r="E408" t="s">
        <v>74</v>
      </c>
      <c r="F408" t="s">
        <v>7934</v>
      </c>
      <c r="G408" t="s">
        <v>74</v>
      </c>
      <c r="H408" t="s">
        <v>74</v>
      </c>
      <c r="I408" t="s">
        <v>7935</v>
      </c>
      <c r="J408" t="s">
        <v>7936</v>
      </c>
      <c r="K408" t="s">
        <v>74</v>
      </c>
      <c r="L408" t="s">
        <v>74</v>
      </c>
      <c r="M408" t="s">
        <v>78</v>
      </c>
      <c r="N408" t="s">
        <v>7937</v>
      </c>
      <c r="O408" t="s">
        <v>74</v>
      </c>
      <c r="P408" t="s">
        <v>74</v>
      </c>
      <c r="Q408" t="s">
        <v>74</v>
      </c>
      <c r="R408" t="s">
        <v>74</v>
      </c>
      <c r="S408" t="s">
        <v>74</v>
      </c>
      <c r="T408" t="s">
        <v>74</v>
      </c>
      <c r="U408" t="s">
        <v>7938</v>
      </c>
      <c r="V408" t="s">
        <v>74</v>
      </c>
      <c r="W408" t="s">
        <v>7939</v>
      </c>
      <c r="X408" t="s">
        <v>7940</v>
      </c>
      <c r="Y408" t="s">
        <v>7941</v>
      </c>
      <c r="Z408" t="s">
        <v>7942</v>
      </c>
      <c r="AA408" t="s">
        <v>74</v>
      </c>
      <c r="AB408" t="s">
        <v>74</v>
      </c>
      <c r="AC408" t="s">
        <v>7943</v>
      </c>
      <c r="AD408" t="s">
        <v>7944</v>
      </c>
      <c r="AE408" t="s">
        <v>7945</v>
      </c>
      <c r="AF408" t="s">
        <v>74</v>
      </c>
      <c r="AG408">
        <v>13</v>
      </c>
      <c r="AH408">
        <v>0</v>
      </c>
      <c r="AI408">
        <v>0</v>
      </c>
      <c r="AJ408">
        <v>0</v>
      </c>
      <c r="AK408">
        <v>10</v>
      </c>
      <c r="AL408" t="s">
        <v>7946</v>
      </c>
      <c r="AM408" t="s">
        <v>7947</v>
      </c>
      <c r="AN408" t="s">
        <v>7948</v>
      </c>
      <c r="AO408" t="s">
        <v>7949</v>
      </c>
      <c r="AP408" t="s">
        <v>74</v>
      </c>
      <c r="AQ408" t="s">
        <v>74</v>
      </c>
      <c r="AR408" t="s">
        <v>7936</v>
      </c>
      <c r="AS408" t="s">
        <v>7950</v>
      </c>
      <c r="AT408" t="s">
        <v>2136</v>
      </c>
      <c r="AU408">
        <v>2017</v>
      </c>
      <c r="AV408">
        <v>68</v>
      </c>
      <c r="AW408">
        <v>1</v>
      </c>
      <c r="AX408" t="s">
        <v>74</v>
      </c>
      <c r="AY408" t="s">
        <v>74</v>
      </c>
      <c r="AZ408" t="s">
        <v>74</v>
      </c>
      <c r="BA408" t="s">
        <v>74</v>
      </c>
      <c r="BB408">
        <v>169</v>
      </c>
      <c r="BC408">
        <v>170</v>
      </c>
      <c r="BD408" t="s">
        <v>74</v>
      </c>
      <c r="BE408" t="s">
        <v>74</v>
      </c>
      <c r="BF408" t="s">
        <v>74</v>
      </c>
      <c r="BG408" t="s">
        <v>74</v>
      </c>
      <c r="BH408" t="s">
        <v>74</v>
      </c>
      <c r="BI408">
        <v>2</v>
      </c>
      <c r="BJ408" t="s">
        <v>747</v>
      </c>
      <c r="BK408" t="s">
        <v>101</v>
      </c>
      <c r="BL408" t="s">
        <v>747</v>
      </c>
      <c r="BM408" t="s">
        <v>7951</v>
      </c>
      <c r="BN408" t="s">
        <v>74</v>
      </c>
      <c r="BO408" t="s">
        <v>74</v>
      </c>
      <c r="BP408" t="s">
        <v>74</v>
      </c>
      <c r="BQ408" t="s">
        <v>74</v>
      </c>
      <c r="BR408" t="s">
        <v>105</v>
      </c>
      <c r="BS408" t="s">
        <v>7952</v>
      </c>
      <c r="BT408" t="str">
        <f>HYPERLINK("https%3A%2F%2Fwww.webofscience.com%2Fwos%2Fwoscc%2Ffull-record%2FWOS:000395359200016","View Full Record in Web of Science")</f>
        <v>View Full Record in Web of Science</v>
      </c>
    </row>
    <row r="409" spans="1:72" x14ac:dyDescent="0.15">
      <c r="A409" t="s">
        <v>72</v>
      </c>
      <c r="B409" t="s">
        <v>7953</v>
      </c>
      <c r="C409" t="s">
        <v>74</v>
      </c>
      <c r="D409" t="s">
        <v>74</v>
      </c>
      <c r="E409" t="s">
        <v>74</v>
      </c>
      <c r="F409" t="s">
        <v>7954</v>
      </c>
      <c r="G409" t="s">
        <v>74</v>
      </c>
      <c r="H409" t="s">
        <v>74</v>
      </c>
      <c r="I409" t="s">
        <v>7955</v>
      </c>
      <c r="J409" t="s">
        <v>7956</v>
      </c>
      <c r="K409" t="s">
        <v>74</v>
      </c>
      <c r="L409" t="s">
        <v>74</v>
      </c>
      <c r="M409" t="s">
        <v>78</v>
      </c>
      <c r="N409" t="s">
        <v>79</v>
      </c>
      <c r="O409" t="s">
        <v>74</v>
      </c>
      <c r="P409" t="s">
        <v>74</v>
      </c>
      <c r="Q409" t="s">
        <v>74</v>
      </c>
      <c r="R409" t="s">
        <v>74</v>
      </c>
      <c r="S409" t="s">
        <v>74</v>
      </c>
      <c r="T409" t="s">
        <v>7957</v>
      </c>
      <c r="U409" t="s">
        <v>7958</v>
      </c>
      <c r="V409" t="s">
        <v>7959</v>
      </c>
      <c r="W409" t="s">
        <v>7960</v>
      </c>
      <c r="X409" t="s">
        <v>7961</v>
      </c>
      <c r="Y409" t="s">
        <v>7962</v>
      </c>
      <c r="Z409" t="s">
        <v>7963</v>
      </c>
      <c r="AA409" t="s">
        <v>7964</v>
      </c>
      <c r="AB409" t="s">
        <v>7965</v>
      </c>
      <c r="AC409" t="s">
        <v>7966</v>
      </c>
      <c r="AD409" t="s">
        <v>7967</v>
      </c>
      <c r="AE409" t="s">
        <v>7968</v>
      </c>
      <c r="AF409" t="s">
        <v>74</v>
      </c>
      <c r="AG409">
        <v>45</v>
      </c>
      <c r="AH409">
        <v>7</v>
      </c>
      <c r="AI409">
        <v>7</v>
      </c>
      <c r="AJ409">
        <v>5</v>
      </c>
      <c r="AK409">
        <v>28</v>
      </c>
      <c r="AL409" t="s">
        <v>2377</v>
      </c>
      <c r="AM409" t="s">
        <v>2378</v>
      </c>
      <c r="AN409" t="s">
        <v>2379</v>
      </c>
      <c r="AO409" t="s">
        <v>7969</v>
      </c>
      <c r="AP409" t="s">
        <v>7970</v>
      </c>
      <c r="AQ409" t="s">
        <v>74</v>
      </c>
      <c r="AR409" t="s">
        <v>7971</v>
      </c>
      <c r="AS409" t="s">
        <v>7972</v>
      </c>
      <c r="AT409" t="s">
        <v>2136</v>
      </c>
      <c r="AU409">
        <v>2017</v>
      </c>
      <c r="AV409">
        <v>143</v>
      </c>
      <c r="AW409">
        <v>702</v>
      </c>
      <c r="AX409" t="s">
        <v>2081</v>
      </c>
      <c r="AY409" t="s">
        <v>7973</v>
      </c>
      <c r="AZ409" t="s">
        <v>7973</v>
      </c>
      <c r="BA409" t="s">
        <v>74</v>
      </c>
      <c r="BB409">
        <v>582</v>
      </c>
      <c r="BC409">
        <v>595</v>
      </c>
      <c r="BD409" t="s">
        <v>74</v>
      </c>
      <c r="BE409" t="s">
        <v>7974</v>
      </c>
      <c r="BF409" t="str">
        <f>HYPERLINK("http://dx.doi.org/10.1002/qj.2951","http://dx.doi.org/10.1002/qj.2951")</f>
        <v>http://dx.doi.org/10.1002/qj.2951</v>
      </c>
      <c r="BG409" t="s">
        <v>74</v>
      </c>
      <c r="BH409" t="s">
        <v>74</v>
      </c>
      <c r="BI409">
        <v>14</v>
      </c>
      <c r="BJ409" t="s">
        <v>747</v>
      </c>
      <c r="BK409" t="s">
        <v>101</v>
      </c>
      <c r="BL409" t="s">
        <v>747</v>
      </c>
      <c r="BM409" t="s">
        <v>7975</v>
      </c>
      <c r="BN409" t="s">
        <v>74</v>
      </c>
      <c r="BO409" t="s">
        <v>74</v>
      </c>
      <c r="BP409" t="s">
        <v>74</v>
      </c>
      <c r="BQ409" t="s">
        <v>74</v>
      </c>
      <c r="BR409" t="s">
        <v>105</v>
      </c>
      <c r="BS409" t="s">
        <v>7976</v>
      </c>
      <c r="BT409" t="str">
        <f>HYPERLINK("https%3A%2F%2Fwww.webofscience.com%2Fwos%2Fwoscc%2Ffull-record%2FWOS:000394990800044","View Full Record in Web of Science")</f>
        <v>View Full Record in Web of Science</v>
      </c>
    </row>
    <row r="410" spans="1:72" x14ac:dyDescent="0.15">
      <c r="A410" t="s">
        <v>72</v>
      </c>
      <c r="B410" t="s">
        <v>7977</v>
      </c>
      <c r="C410" t="s">
        <v>74</v>
      </c>
      <c r="D410" t="s">
        <v>74</v>
      </c>
      <c r="E410" t="s">
        <v>74</v>
      </c>
      <c r="F410" t="s">
        <v>7978</v>
      </c>
      <c r="G410" t="s">
        <v>74</v>
      </c>
      <c r="H410" t="s">
        <v>74</v>
      </c>
      <c r="I410" t="s">
        <v>7979</v>
      </c>
      <c r="J410" t="s">
        <v>3135</v>
      </c>
      <c r="K410" t="s">
        <v>74</v>
      </c>
      <c r="L410" t="s">
        <v>74</v>
      </c>
      <c r="M410" t="s">
        <v>78</v>
      </c>
      <c r="N410" t="s">
        <v>79</v>
      </c>
      <c r="O410" t="s">
        <v>74</v>
      </c>
      <c r="P410" t="s">
        <v>74</v>
      </c>
      <c r="Q410" t="s">
        <v>74</v>
      </c>
      <c r="R410" t="s">
        <v>74</v>
      </c>
      <c r="S410" t="s">
        <v>74</v>
      </c>
      <c r="T410" t="s">
        <v>7980</v>
      </c>
      <c r="U410" t="s">
        <v>74</v>
      </c>
      <c r="V410" t="s">
        <v>7981</v>
      </c>
      <c r="W410" t="s">
        <v>7982</v>
      </c>
      <c r="X410" t="s">
        <v>2805</v>
      </c>
      <c r="Y410" t="s">
        <v>7983</v>
      </c>
      <c r="Z410" t="s">
        <v>7984</v>
      </c>
      <c r="AA410" t="s">
        <v>7985</v>
      </c>
      <c r="AB410" t="s">
        <v>7986</v>
      </c>
      <c r="AC410" t="s">
        <v>74</v>
      </c>
      <c r="AD410" t="s">
        <v>74</v>
      </c>
      <c r="AE410" t="s">
        <v>74</v>
      </c>
      <c r="AF410" t="s">
        <v>74</v>
      </c>
      <c r="AG410">
        <v>17</v>
      </c>
      <c r="AH410">
        <v>9</v>
      </c>
      <c r="AI410">
        <v>9</v>
      </c>
      <c r="AJ410">
        <v>0</v>
      </c>
      <c r="AK410">
        <v>9</v>
      </c>
      <c r="AL410" t="s">
        <v>2377</v>
      </c>
      <c r="AM410" t="s">
        <v>2378</v>
      </c>
      <c r="AN410" t="s">
        <v>2379</v>
      </c>
      <c r="AO410" t="s">
        <v>3147</v>
      </c>
      <c r="AP410" t="s">
        <v>3148</v>
      </c>
      <c r="AQ410" t="s">
        <v>74</v>
      </c>
      <c r="AR410" t="s">
        <v>3149</v>
      </c>
      <c r="AS410" t="s">
        <v>3150</v>
      </c>
      <c r="AT410" t="s">
        <v>2136</v>
      </c>
      <c r="AU410">
        <v>2017</v>
      </c>
      <c r="AV410">
        <v>25</v>
      </c>
      <c r="AW410">
        <v>1</v>
      </c>
      <c r="AX410" t="s">
        <v>74</v>
      </c>
      <c r="AY410" t="s">
        <v>74</v>
      </c>
      <c r="AZ410" t="s">
        <v>74</v>
      </c>
      <c r="BA410" t="s">
        <v>74</v>
      </c>
      <c r="BB410">
        <v>135</v>
      </c>
      <c r="BC410">
        <v>139</v>
      </c>
      <c r="BD410" t="s">
        <v>74</v>
      </c>
      <c r="BE410" t="s">
        <v>7987</v>
      </c>
      <c r="BF410" t="str">
        <f>HYPERLINK("http://dx.doi.org/10.1111/rec.12382","http://dx.doi.org/10.1111/rec.12382")</f>
        <v>http://dx.doi.org/10.1111/rec.12382</v>
      </c>
      <c r="BG410" t="s">
        <v>74</v>
      </c>
      <c r="BH410" t="s">
        <v>74</v>
      </c>
      <c r="BI410">
        <v>5</v>
      </c>
      <c r="BJ410" t="s">
        <v>1739</v>
      </c>
      <c r="BK410" t="s">
        <v>101</v>
      </c>
      <c r="BL410" t="s">
        <v>178</v>
      </c>
      <c r="BM410" t="s">
        <v>3152</v>
      </c>
      <c r="BN410" t="s">
        <v>74</v>
      </c>
      <c r="BO410" t="s">
        <v>74</v>
      </c>
      <c r="BP410" t="s">
        <v>74</v>
      </c>
      <c r="BQ410" t="s">
        <v>74</v>
      </c>
      <c r="BR410" t="s">
        <v>105</v>
      </c>
      <c r="BS410" t="s">
        <v>7988</v>
      </c>
      <c r="BT410" t="str">
        <f>HYPERLINK("https%3A%2F%2Fwww.webofscience.com%2Fwos%2Fwoscc%2Ffull-record%2FWOS:000396475900017","View Full Record in Web of Science")</f>
        <v>View Full Record in Web of Science</v>
      </c>
    </row>
    <row r="411" spans="1:72" x14ac:dyDescent="0.15">
      <c r="A411" t="s">
        <v>72</v>
      </c>
      <c r="B411" t="s">
        <v>7989</v>
      </c>
      <c r="C411" t="s">
        <v>74</v>
      </c>
      <c r="D411" t="s">
        <v>74</v>
      </c>
      <c r="E411" t="s">
        <v>74</v>
      </c>
      <c r="F411" t="s">
        <v>7990</v>
      </c>
      <c r="G411" t="s">
        <v>74</v>
      </c>
      <c r="H411" t="s">
        <v>74</v>
      </c>
      <c r="I411" t="s">
        <v>7991</v>
      </c>
      <c r="J411" t="s">
        <v>3321</v>
      </c>
      <c r="K411" t="s">
        <v>74</v>
      </c>
      <c r="L411" t="s">
        <v>74</v>
      </c>
      <c r="M411" t="s">
        <v>78</v>
      </c>
      <c r="N411" t="s">
        <v>79</v>
      </c>
      <c r="O411" t="s">
        <v>74</v>
      </c>
      <c r="P411" t="s">
        <v>74</v>
      </c>
      <c r="Q411" t="s">
        <v>74</v>
      </c>
      <c r="R411" t="s">
        <v>74</v>
      </c>
      <c r="S411" t="s">
        <v>74</v>
      </c>
      <c r="T411" t="s">
        <v>7992</v>
      </c>
      <c r="U411" t="s">
        <v>7993</v>
      </c>
      <c r="V411" t="s">
        <v>7994</v>
      </c>
      <c r="W411" t="s">
        <v>7995</v>
      </c>
      <c r="X411" t="s">
        <v>7996</v>
      </c>
      <c r="Y411" t="s">
        <v>7997</v>
      </c>
      <c r="Z411" t="s">
        <v>7998</v>
      </c>
      <c r="AA411" t="s">
        <v>7999</v>
      </c>
      <c r="AB411" t="s">
        <v>8000</v>
      </c>
      <c r="AC411" t="s">
        <v>8001</v>
      </c>
      <c r="AD411" t="s">
        <v>8002</v>
      </c>
      <c r="AE411" t="s">
        <v>8003</v>
      </c>
      <c r="AF411" t="s">
        <v>74</v>
      </c>
      <c r="AG411">
        <v>33</v>
      </c>
      <c r="AH411">
        <v>1</v>
      </c>
      <c r="AI411">
        <v>1</v>
      </c>
      <c r="AJ411">
        <v>0</v>
      </c>
      <c r="AK411">
        <v>2</v>
      </c>
      <c r="AL411" t="s">
        <v>3333</v>
      </c>
      <c r="AM411" t="s">
        <v>1553</v>
      </c>
      <c r="AN411" t="s">
        <v>1554</v>
      </c>
      <c r="AO411" t="s">
        <v>3334</v>
      </c>
      <c r="AP411" t="s">
        <v>3335</v>
      </c>
      <c r="AQ411" t="s">
        <v>74</v>
      </c>
      <c r="AR411" t="s">
        <v>3321</v>
      </c>
      <c r="AS411" t="s">
        <v>3336</v>
      </c>
      <c r="AT411" t="s">
        <v>74</v>
      </c>
      <c r="AU411">
        <v>2017</v>
      </c>
      <c r="AV411" t="s">
        <v>74</v>
      </c>
      <c r="AW411">
        <v>658</v>
      </c>
      <c r="AX411" t="s">
        <v>74</v>
      </c>
      <c r="AY411" t="s">
        <v>74</v>
      </c>
      <c r="AZ411" t="s">
        <v>74</v>
      </c>
      <c r="BA411" t="s">
        <v>74</v>
      </c>
      <c r="BB411">
        <v>131</v>
      </c>
      <c r="BC411">
        <v>146</v>
      </c>
      <c r="BD411" t="s">
        <v>74</v>
      </c>
      <c r="BE411" t="s">
        <v>8004</v>
      </c>
      <c r="BF411" t="str">
        <f>HYPERLINK("http://dx.doi.org/10.3897/zookeys.658.11227","http://dx.doi.org/10.3897/zookeys.658.11227")</f>
        <v>http://dx.doi.org/10.3897/zookeys.658.11227</v>
      </c>
      <c r="BG411" t="s">
        <v>74</v>
      </c>
      <c r="BH411" t="s">
        <v>74</v>
      </c>
      <c r="BI411">
        <v>16</v>
      </c>
      <c r="BJ411" t="s">
        <v>643</v>
      </c>
      <c r="BK411" t="s">
        <v>101</v>
      </c>
      <c r="BL411" t="s">
        <v>643</v>
      </c>
      <c r="BM411" t="s">
        <v>8005</v>
      </c>
      <c r="BN411">
        <v>28435389</v>
      </c>
      <c r="BO411" t="s">
        <v>790</v>
      </c>
      <c r="BP411" t="s">
        <v>74</v>
      </c>
      <c r="BQ411" t="s">
        <v>74</v>
      </c>
      <c r="BR411" t="s">
        <v>105</v>
      </c>
      <c r="BS411" t="s">
        <v>8006</v>
      </c>
      <c r="BT411" t="str">
        <f>HYPERLINK("https%3A%2F%2Fwww.webofscience.com%2Fwos%2Fwoscc%2Ffull-record%2FWOS:000395627100002","View Full Record in Web of Science")</f>
        <v>View Full Record in Web of Science</v>
      </c>
    </row>
    <row r="412" spans="1:72" x14ac:dyDescent="0.15">
      <c r="A412" t="s">
        <v>72</v>
      </c>
      <c r="B412" t="s">
        <v>8007</v>
      </c>
      <c r="C412" t="s">
        <v>74</v>
      </c>
      <c r="D412" t="s">
        <v>74</v>
      </c>
      <c r="E412" t="s">
        <v>74</v>
      </c>
      <c r="F412" t="s">
        <v>8008</v>
      </c>
      <c r="G412" t="s">
        <v>74</v>
      </c>
      <c r="H412" t="s">
        <v>74</v>
      </c>
      <c r="I412" t="s">
        <v>8009</v>
      </c>
      <c r="J412" t="s">
        <v>8010</v>
      </c>
      <c r="K412" t="s">
        <v>74</v>
      </c>
      <c r="L412" t="s">
        <v>74</v>
      </c>
      <c r="M412" t="s">
        <v>78</v>
      </c>
      <c r="N412" t="s">
        <v>79</v>
      </c>
      <c r="O412" t="s">
        <v>74</v>
      </c>
      <c r="P412" t="s">
        <v>74</v>
      </c>
      <c r="Q412" t="s">
        <v>74</v>
      </c>
      <c r="R412" t="s">
        <v>74</v>
      </c>
      <c r="S412" t="s">
        <v>74</v>
      </c>
      <c r="T412" t="s">
        <v>8011</v>
      </c>
      <c r="U412" t="s">
        <v>8012</v>
      </c>
      <c r="V412" t="s">
        <v>8013</v>
      </c>
      <c r="W412" t="s">
        <v>8014</v>
      </c>
      <c r="X412" t="s">
        <v>8015</v>
      </c>
      <c r="Y412" t="s">
        <v>8016</v>
      </c>
      <c r="Z412" t="s">
        <v>8017</v>
      </c>
      <c r="AA412" t="s">
        <v>8018</v>
      </c>
      <c r="AB412" t="s">
        <v>8019</v>
      </c>
      <c r="AC412" t="s">
        <v>8020</v>
      </c>
      <c r="AD412" t="s">
        <v>8021</v>
      </c>
      <c r="AE412" t="s">
        <v>8022</v>
      </c>
      <c r="AF412" t="s">
        <v>74</v>
      </c>
      <c r="AG412">
        <v>37</v>
      </c>
      <c r="AH412">
        <v>12</v>
      </c>
      <c r="AI412">
        <v>12</v>
      </c>
      <c r="AJ412">
        <v>1</v>
      </c>
      <c r="AK412">
        <v>15</v>
      </c>
      <c r="AL412" t="s">
        <v>1610</v>
      </c>
      <c r="AM412" t="s">
        <v>292</v>
      </c>
      <c r="AN412" t="s">
        <v>1611</v>
      </c>
      <c r="AO412" t="s">
        <v>8023</v>
      </c>
      <c r="AP412" t="s">
        <v>8024</v>
      </c>
      <c r="AQ412" t="s">
        <v>74</v>
      </c>
      <c r="AR412" t="s">
        <v>8025</v>
      </c>
      <c r="AS412" t="s">
        <v>8026</v>
      </c>
      <c r="AT412" t="s">
        <v>2136</v>
      </c>
      <c r="AU412">
        <v>2017</v>
      </c>
      <c r="AV412">
        <v>208</v>
      </c>
      <c r="AW412">
        <v>1</v>
      </c>
      <c r="AX412" t="s">
        <v>74</v>
      </c>
      <c r="AY412" t="s">
        <v>74</v>
      </c>
      <c r="AZ412" t="s">
        <v>74</v>
      </c>
      <c r="BA412" t="s">
        <v>74</v>
      </c>
      <c r="BB412">
        <v>118</v>
      </c>
      <c r="BC412">
        <v>133</v>
      </c>
      <c r="BD412" t="s">
        <v>74</v>
      </c>
      <c r="BE412" t="s">
        <v>8027</v>
      </c>
      <c r="BF412" t="str">
        <f>HYPERLINK("http://dx.doi.org/10.1093/gji/ggw386","http://dx.doi.org/10.1093/gji/ggw386")</f>
        <v>http://dx.doi.org/10.1093/gji/ggw386</v>
      </c>
      <c r="BG412" t="s">
        <v>74</v>
      </c>
      <c r="BH412" t="s">
        <v>74</v>
      </c>
      <c r="BI412">
        <v>16</v>
      </c>
      <c r="BJ412" t="s">
        <v>299</v>
      </c>
      <c r="BK412" t="s">
        <v>101</v>
      </c>
      <c r="BL412" t="s">
        <v>299</v>
      </c>
      <c r="BM412" t="s">
        <v>8028</v>
      </c>
      <c r="BN412" t="s">
        <v>74</v>
      </c>
      <c r="BO412" t="s">
        <v>672</v>
      </c>
      <c r="BP412" t="s">
        <v>74</v>
      </c>
      <c r="BQ412" t="s">
        <v>74</v>
      </c>
      <c r="BR412" t="s">
        <v>105</v>
      </c>
      <c r="BS412" t="s">
        <v>8029</v>
      </c>
      <c r="BT412" t="str">
        <f>HYPERLINK("https%3A%2F%2Fwww.webofscience.com%2Fwos%2Fwoscc%2Ffull-record%2FWOS:000396814800009","View Full Record in Web of Science")</f>
        <v>View Full Record in Web of Science</v>
      </c>
    </row>
    <row r="413" spans="1:72" x14ac:dyDescent="0.15">
      <c r="A413" t="s">
        <v>72</v>
      </c>
      <c r="B413" t="s">
        <v>8030</v>
      </c>
      <c r="C413" t="s">
        <v>74</v>
      </c>
      <c r="D413" t="s">
        <v>74</v>
      </c>
      <c r="E413" t="s">
        <v>74</v>
      </c>
      <c r="F413" t="s">
        <v>8031</v>
      </c>
      <c r="G413" t="s">
        <v>74</v>
      </c>
      <c r="H413" t="s">
        <v>74</v>
      </c>
      <c r="I413" t="s">
        <v>8032</v>
      </c>
      <c r="J413" t="s">
        <v>8010</v>
      </c>
      <c r="K413" t="s">
        <v>74</v>
      </c>
      <c r="L413" t="s">
        <v>74</v>
      </c>
      <c r="M413" t="s">
        <v>78</v>
      </c>
      <c r="N413" t="s">
        <v>79</v>
      </c>
      <c r="O413" t="s">
        <v>74</v>
      </c>
      <c r="P413" t="s">
        <v>74</v>
      </c>
      <c r="Q413" t="s">
        <v>74</v>
      </c>
      <c r="R413" t="s">
        <v>74</v>
      </c>
      <c r="S413" t="s">
        <v>74</v>
      </c>
      <c r="T413" t="s">
        <v>8033</v>
      </c>
      <c r="U413" t="s">
        <v>8034</v>
      </c>
      <c r="V413" t="s">
        <v>8035</v>
      </c>
      <c r="W413" t="s">
        <v>8036</v>
      </c>
      <c r="X413" t="s">
        <v>8037</v>
      </c>
      <c r="Y413" t="s">
        <v>8038</v>
      </c>
      <c r="Z413" t="s">
        <v>8039</v>
      </c>
      <c r="AA413" t="s">
        <v>8040</v>
      </c>
      <c r="AB413" t="s">
        <v>8041</v>
      </c>
      <c r="AC413" t="s">
        <v>8042</v>
      </c>
      <c r="AD413" t="s">
        <v>8043</v>
      </c>
      <c r="AE413" t="s">
        <v>8044</v>
      </c>
      <c r="AF413" t="s">
        <v>74</v>
      </c>
      <c r="AG413">
        <v>29</v>
      </c>
      <c r="AH413">
        <v>12</v>
      </c>
      <c r="AI413">
        <v>12</v>
      </c>
      <c r="AJ413">
        <v>0</v>
      </c>
      <c r="AK413">
        <v>9</v>
      </c>
      <c r="AL413" t="s">
        <v>1610</v>
      </c>
      <c r="AM413" t="s">
        <v>292</v>
      </c>
      <c r="AN413" t="s">
        <v>1611</v>
      </c>
      <c r="AO413" t="s">
        <v>8023</v>
      </c>
      <c r="AP413" t="s">
        <v>8024</v>
      </c>
      <c r="AQ413" t="s">
        <v>74</v>
      </c>
      <c r="AR413" t="s">
        <v>8025</v>
      </c>
      <c r="AS413" t="s">
        <v>8026</v>
      </c>
      <c r="AT413" t="s">
        <v>2136</v>
      </c>
      <c r="AU413">
        <v>2017</v>
      </c>
      <c r="AV413">
        <v>208</v>
      </c>
      <c r="AW413">
        <v>1</v>
      </c>
      <c r="AX413" t="s">
        <v>74</v>
      </c>
      <c r="AY413" t="s">
        <v>74</v>
      </c>
      <c r="AZ413" t="s">
        <v>74</v>
      </c>
      <c r="BA413" t="s">
        <v>74</v>
      </c>
      <c r="BB413">
        <v>424</v>
      </c>
      <c r="BC413">
        <v>431</v>
      </c>
      <c r="BD413" t="s">
        <v>74</v>
      </c>
      <c r="BE413" t="s">
        <v>8045</v>
      </c>
      <c r="BF413" t="str">
        <f>HYPERLINK("http://dx.doi.org/10.1093/gji/ggw402","http://dx.doi.org/10.1093/gji/ggw402")</f>
        <v>http://dx.doi.org/10.1093/gji/ggw402</v>
      </c>
      <c r="BG413" t="s">
        <v>74</v>
      </c>
      <c r="BH413" t="s">
        <v>74</v>
      </c>
      <c r="BI413">
        <v>8</v>
      </c>
      <c r="BJ413" t="s">
        <v>299</v>
      </c>
      <c r="BK413" t="s">
        <v>101</v>
      </c>
      <c r="BL413" t="s">
        <v>299</v>
      </c>
      <c r="BM413" t="s">
        <v>8028</v>
      </c>
      <c r="BN413" t="s">
        <v>74</v>
      </c>
      <c r="BO413" t="s">
        <v>74</v>
      </c>
      <c r="BP413" t="s">
        <v>74</v>
      </c>
      <c r="BQ413" t="s">
        <v>74</v>
      </c>
      <c r="BR413" t="s">
        <v>105</v>
      </c>
      <c r="BS413" t="s">
        <v>8046</v>
      </c>
      <c r="BT413" t="str">
        <f>HYPERLINK("https%3A%2F%2Fwww.webofscience.com%2Fwos%2Fwoscc%2Ffull-record%2FWOS:000396814800031","View Full Record in Web of Science")</f>
        <v>View Full Record in Web of Science</v>
      </c>
    </row>
    <row r="414" spans="1:72" x14ac:dyDescent="0.15">
      <c r="A414" t="s">
        <v>72</v>
      </c>
      <c r="B414" t="s">
        <v>8047</v>
      </c>
      <c r="C414" t="s">
        <v>74</v>
      </c>
      <c r="D414" t="s">
        <v>74</v>
      </c>
      <c r="E414" t="s">
        <v>74</v>
      </c>
      <c r="F414" t="s">
        <v>8048</v>
      </c>
      <c r="G414" t="s">
        <v>74</v>
      </c>
      <c r="H414" t="s">
        <v>74</v>
      </c>
      <c r="I414" t="s">
        <v>8049</v>
      </c>
      <c r="J414" t="s">
        <v>2617</v>
      </c>
      <c r="K414" t="s">
        <v>74</v>
      </c>
      <c r="L414" t="s">
        <v>74</v>
      </c>
      <c r="M414" t="s">
        <v>78</v>
      </c>
      <c r="N414" t="s">
        <v>79</v>
      </c>
      <c r="O414" t="s">
        <v>74</v>
      </c>
      <c r="P414" t="s">
        <v>74</v>
      </c>
      <c r="Q414" t="s">
        <v>74</v>
      </c>
      <c r="R414" t="s">
        <v>74</v>
      </c>
      <c r="S414" t="s">
        <v>74</v>
      </c>
      <c r="T414" t="s">
        <v>74</v>
      </c>
      <c r="U414" t="s">
        <v>8050</v>
      </c>
      <c r="V414" t="s">
        <v>8051</v>
      </c>
      <c r="W414" t="s">
        <v>8052</v>
      </c>
      <c r="X414" t="s">
        <v>4044</v>
      </c>
      <c r="Y414" t="s">
        <v>8053</v>
      </c>
      <c r="Z414" t="s">
        <v>8054</v>
      </c>
      <c r="AA414" t="s">
        <v>74</v>
      </c>
      <c r="AB414" t="s">
        <v>8055</v>
      </c>
      <c r="AC414" t="s">
        <v>8056</v>
      </c>
      <c r="AD414" t="s">
        <v>8057</v>
      </c>
      <c r="AE414" t="s">
        <v>8058</v>
      </c>
      <c r="AF414" t="s">
        <v>74</v>
      </c>
      <c r="AG414">
        <v>61</v>
      </c>
      <c r="AH414">
        <v>13</v>
      </c>
      <c r="AI414">
        <v>15</v>
      </c>
      <c r="AJ414">
        <v>0</v>
      </c>
      <c r="AK414">
        <v>12</v>
      </c>
      <c r="AL414" t="s">
        <v>661</v>
      </c>
      <c r="AM414" t="s">
        <v>142</v>
      </c>
      <c r="AN414" t="s">
        <v>662</v>
      </c>
      <c r="AO414" t="s">
        <v>2630</v>
      </c>
      <c r="AP414" t="s">
        <v>2631</v>
      </c>
      <c r="AQ414" t="s">
        <v>74</v>
      </c>
      <c r="AR414" t="s">
        <v>2632</v>
      </c>
      <c r="AS414" t="s">
        <v>2633</v>
      </c>
      <c r="AT414" t="s">
        <v>74</v>
      </c>
      <c r="AU414">
        <v>2017</v>
      </c>
      <c r="AV414">
        <v>122</v>
      </c>
      <c r="AW414">
        <v>1</v>
      </c>
      <c r="AX414" t="s">
        <v>74</v>
      </c>
      <c r="AY414" t="s">
        <v>74</v>
      </c>
      <c r="AZ414" t="s">
        <v>74</v>
      </c>
      <c r="BA414" t="s">
        <v>74</v>
      </c>
      <c r="BB414">
        <v>932</v>
      </c>
      <c r="BC414">
        <v>947</v>
      </c>
      <c r="BD414" t="s">
        <v>74</v>
      </c>
      <c r="BE414" t="s">
        <v>8059</v>
      </c>
      <c r="BF414" t="str">
        <f>HYPERLINK("http://dx.doi.org/10.1002/2016JA023235","http://dx.doi.org/10.1002/2016JA023235")</f>
        <v>http://dx.doi.org/10.1002/2016JA023235</v>
      </c>
      <c r="BG414" t="s">
        <v>74</v>
      </c>
      <c r="BH414" t="s">
        <v>74</v>
      </c>
      <c r="BI414">
        <v>16</v>
      </c>
      <c r="BJ414" t="s">
        <v>2635</v>
      </c>
      <c r="BK414" t="s">
        <v>101</v>
      </c>
      <c r="BL414" t="s">
        <v>2635</v>
      </c>
      <c r="BM414" t="s">
        <v>2636</v>
      </c>
      <c r="BN414" t="s">
        <v>74</v>
      </c>
      <c r="BO414" t="s">
        <v>8060</v>
      </c>
      <c r="BP414" t="s">
        <v>74</v>
      </c>
      <c r="BQ414" t="s">
        <v>74</v>
      </c>
      <c r="BR414" t="s">
        <v>105</v>
      </c>
      <c r="BS414" t="s">
        <v>8061</v>
      </c>
      <c r="BT414" t="str">
        <f>HYPERLINK("https%3A%2F%2Fwww.webofscience.com%2Fwos%2Fwoscc%2Ffull-record%2FWOS:000395655800066","View Full Record in Web of Science")</f>
        <v>View Full Record in Web of Science</v>
      </c>
    </row>
    <row r="415" spans="1:72" x14ac:dyDescent="0.15">
      <c r="A415" t="s">
        <v>72</v>
      </c>
      <c r="B415" t="s">
        <v>8062</v>
      </c>
      <c r="C415" t="s">
        <v>74</v>
      </c>
      <c r="D415" t="s">
        <v>74</v>
      </c>
      <c r="E415" t="s">
        <v>74</v>
      </c>
      <c r="F415" t="s">
        <v>8063</v>
      </c>
      <c r="G415" t="s">
        <v>74</v>
      </c>
      <c r="H415" t="s">
        <v>74</v>
      </c>
      <c r="I415" t="s">
        <v>8064</v>
      </c>
      <c r="J415" t="s">
        <v>8065</v>
      </c>
      <c r="K415" t="s">
        <v>74</v>
      </c>
      <c r="L415" t="s">
        <v>74</v>
      </c>
      <c r="M415" t="s">
        <v>78</v>
      </c>
      <c r="N415" t="s">
        <v>79</v>
      </c>
      <c r="O415" t="s">
        <v>74</v>
      </c>
      <c r="P415" t="s">
        <v>74</v>
      </c>
      <c r="Q415" t="s">
        <v>74</v>
      </c>
      <c r="R415" t="s">
        <v>74</v>
      </c>
      <c r="S415" t="s">
        <v>74</v>
      </c>
      <c r="T415" t="s">
        <v>8066</v>
      </c>
      <c r="U415" t="s">
        <v>8067</v>
      </c>
      <c r="V415" t="s">
        <v>8068</v>
      </c>
      <c r="W415" t="s">
        <v>8069</v>
      </c>
      <c r="X415" t="s">
        <v>8070</v>
      </c>
      <c r="Y415" t="s">
        <v>8071</v>
      </c>
      <c r="Z415" t="s">
        <v>8072</v>
      </c>
      <c r="AA415" t="s">
        <v>74</v>
      </c>
      <c r="AB415" t="s">
        <v>8073</v>
      </c>
      <c r="AC415" t="s">
        <v>8074</v>
      </c>
      <c r="AD415" t="s">
        <v>8075</v>
      </c>
      <c r="AE415" t="s">
        <v>8076</v>
      </c>
      <c r="AF415" t="s">
        <v>74</v>
      </c>
      <c r="AG415">
        <v>14</v>
      </c>
      <c r="AH415">
        <v>3</v>
      </c>
      <c r="AI415">
        <v>5</v>
      </c>
      <c r="AJ415">
        <v>1</v>
      </c>
      <c r="AK415">
        <v>16</v>
      </c>
      <c r="AL415" t="s">
        <v>1967</v>
      </c>
      <c r="AM415" t="s">
        <v>1910</v>
      </c>
      <c r="AN415" t="s">
        <v>1968</v>
      </c>
      <c r="AO415" t="s">
        <v>8077</v>
      </c>
      <c r="AP415" t="s">
        <v>8078</v>
      </c>
      <c r="AQ415" t="s">
        <v>74</v>
      </c>
      <c r="AR415" t="s">
        <v>8079</v>
      </c>
      <c r="AS415" t="s">
        <v>8080</v>
      </c>
      <c r="AT415" t="s">
        <v>74</v>
      </c>
      <c r="AU415">
        <v>2017</v>
      </c>
      <c r="AV415">
        <v>36</v>
      </c>
      <c r="AW415" t="s">
        <v>74</v>
      </c>
      <c r="AX415" t="s">
        <v>74</v>
      </c>
      <c r="AY415" t="s">
        <v>74</v>
      </c>
      <c r="AZ415" t="s">
        <v>74</v>
      </c>
      <c r="BA415" t="s">
        <v>74</v>
      </c>
      <c r="BB415" t="s">
        <v>74</v>
      </c>
      <c r="BC415" t="s">
        <v>74</v>
      </c>
      <c r="BD415">
        <v>1291086</v>
      </c>
      <c r="BE415" t="s">
        <v>8081</v>
      </c>
      <c r="BF415" t="str">
        <f>HYPERLINK("http://dx.doi.org/10.1080/17518369.2017.1291086","http://dx.doi.org/10.1080/17518369.2017.1291086")</f>
        <v>http://dx.doi.org/10.1080/17518369.2017.1291086</v>
      </c>
      <c r="BG415" t="s">
        <v>74</v>
      </c>
      <c r="BH415" t="s">
        <v>74</v>
      </c>
      <c r="BI415">
        <v>5</v>
      </c>
      <c r="BJ415" t="s">
        <v>8082</v>
      </c>
      <c r="BK415" t="s">
        <v>101</v>
      </c>
      <c r="BL415" t="s">
        <v>8083</v>
      </c>
      <c r="BM415" t="s">
        <v>8084</v>
      </c>
      <c r="BN415" t="s">
        <v>74</v>
      </c>
      <c r="BO415" t="s">
        <v>918</v>
      </c>
      <c r="BP415" t="s">
        <v>74</v>
      </c>
      <c r="BQ415" t="s">
        <v>74</v>
      </c>
      <c r="BR415" t="s">
        <v>105</v>
      </c>
      <c r="BS415" t="s">
        <v>8085</v>
      </c>
      <c r="BT415" t="str">
        <f>HYPERLINK("https%3A%2F%2Fwww.webofscience.com%2Fwos%2Fwoscc%2Ffull-record%2FWOS:000396816000001","View Full Record in Web of Science")</f>
        <v>View Full Record in Web of Science</v>
      </c>
    </row>
    <row r="416" spans="1:72" x14ac:dyDescent="0.15">
      <c r="A416" t="s">
        <v>1823</v>
      </c>
      <c r="B416" t="s">
        <v>8086</v>
      </c>
      <c r="C416" t="s">
        <v>74</v>
      </c>
      <c r="D416" t="s">
        <v>8087</v>
      </c>
      <c r="E416" t="s">
        <v>74</v>
      </c>
      <c r="F416" t="s">
        <v>8088</v>
      </c>
      <c r="G416" t="s">
        <v>74</v>
      </c>
      <c r="H416" t="s">
        <v>74</v>
      </c>
      <c r="I416" t="s">
        <v>8089</v>
      </c>
      <c r="J416" t="s">
        <v>8090</v>
      </c>
      <c r="K416" t="s">
        <v>3417</v>
      </c>
      <c r="L416" t="s">
        <v>74</v>
      </c>
      <c r="M416" t="s">
        <v>78</v>
      </c>
      <c r="N416" t="s">
        <v>1829</v>
      </c>
      <c r="O416" t="s">
        <v>8091</v>
      </c>
      <c r="P416" t="s">
        <v>8092</v>
      </c>
      <c r="Q416" t="s">
        <v>4485</v>
      </c>
      <c r="R416" t="s">
        <v>74</v>
      </c>
      <c r="S416" t="s">
        <v>74</v>
      </c>
      <c r="T416" t="s">
        <v>8093</v>
      </c>
      <c r="U416" t="s">
        <v>8094</v>
      </c>
      <c r="V416" t="s">
        <v>8095</v>
      </c>
      <c r="W416" t="s">
        <v>8096</v>
      </c>
      <c r="X416" t="s">
        <v>8097</v>
      </c>
      <c r="Y416" t="s">
        <v>8098</v>
      </c>
      <c r="Z416" t="s">
        <v>8099</v>
      </c>
      <c r="AA416" t="s">
        <v>8100</v>
      </c>
      <c r="AB416" t="s">
        <v>8101</v>
      </c>
      <c r="AC416" t="s">
        <v>8102</v>
      </c>
      <c r="AD416" t="s">
        <v>8103</v>
      </c>
      <c r="AE416" t="s">
        <v>8104</v>
      </c>
      <c r="AF416" t="s">
        <v>74</v>
      </c>
      <c r="AG416">
        <v>19</v>
      </c>
      <c r="AH416">
        <v>0</v>
      </c>
      <c r="AI416">
        <v>0</v>
      </c>
      <c r="AJ416">
        <v>0</v>
      </c>
      <c r="AK416">
        <v>3</v>
      </c>
      <c r="AL416" t="s">
        <v>3432</v>
      </c>
      <c r="AM416" t="s">
        <v>3433</v>
      </c>
      <c r="AN416" t="s">
        <v>3434</v>
      </c>
      <c r="AO416" t="s">
        <v>3435</v>
      </c>
      <c r="AP416" t="s">
        <v>3436</v>
      </c>
      <c r="AQ416" t="s">
        <v>8105</v>
      </c>
      <c r="AR416" t="s">
        <v>3438</v>
      </c>
      <c r="AS416" t="s">
        <v>74</v>
      </c>
      <c r="AT416" t="s">
        <v>74</v>
      </c>
      <c r="AU416">
        <v>2017</v>
      </c>
      <c r="AV416">
        <v>10226</v>
      </c>
      <c r="AW416" t="s">
        <v>74</v>
      </c>
      <c r="AX416" t="s">
        <v>74</v>
      </c>
      <c r="AY416" t="s">
        <v>74</v>
      </c>
      <c r="AZ416" t="s">
        <v>74</v>
      </c>
      <c r="BA416" t="s">
        <v>74</v>
      </c>
      <c r="BB416" t="s">
        <v>74</v>
      </c>
      <c r="BC416" t="s">
        <v>74</v>
      </c>
      <c r="BD416" t="s">
        <v>8106</v>
      </c>
      <c r="BE416" t="s">
        <v>8107</v>
      </c>
      <c r="BF416" t="str">
        <f>HYPERLINK("http://dx.doi.org/10.1117/12.2261794","http://dx.doi.org/10.1117/12.2261794")</f>
        <v>http://dx.doi.org/10.1117/12.2261794</v>
      </c>
      <c r="BG416" t="s">
        <v>74</v>
      </c>
      <c r="BH416" t="s">
        <v>74</v>
      </c>
      <c r="BI416">
        <v>16</v>
      </c>
      <c r="BJ416" t="s">
        <v>8108</v>
      </c>
      <c r="BK416" t="s">
        <v>1844</v>
      </c>
      <c r="BL416" t="s">
        <v>8109</v>
      </c>
      <c r="BM416" t="s">
        <v>8110</v>
      </c>
      <c r="BN416" t="s">
        <v>74</v>
      </c>
      <c r="BO416" t="s">
        <v>74</v>
      </c>
      <c r="BP416" t="s">
        <v>74</v>
      </c>
      <c r="BQ416" t="s">
        <v>74</v>
      </c>
      <c r="BR416" t="s">
        <v>105</v>
      </c>
      <c r="BS416" t="s">
        <v>8111</v>
      </c>
      <c r="BT416" t="str">
        <f>HYPERLINK("https%3A%2F%2Fwww.webofscience.com%2Fwos%2Fwoscc%2Ffull-record%2FWOS:000394538400028","View Full Record in Web of Science")</f>
        <v>View Full Record in Web of Science</v>
      </c>
    </row>
    <row r="417" spans="1:72" x14ac:dyDescent="0.15">
      <c r="A417" t="s">
        <v>72</v>
      </c>
      <c r="B417" t="s">
        <v>8112</v>
      </c>
      <c r="C417" t="s">
        <v>74</v>
      </c>
      <c r="D417" t="s">
        <v>74</v>
      </c>
      <c r="E417" t="s">
        <v>74</v>
      </c>
      <c r="F417" t="s">
        <v>8113</v>
      </c>
      <c r="G417" t="s">
        <v>74</v>
      </c>
      <c r="H417" t="s">
        <v>74</v>
      </c>
      <c r="I417" t="s">
        <v>8114</v>
      </c>
      <c r="J417" t="s">
        <v>8115</v>
      </c>
      <c r="K417" t="s">
        <v>74</v>
      </c>
      <c r="L417" t="s">
        <v>74</v>
      </c>
      <c r="M417" t="s">
        <v>78</v>
      </c>
      <c r="N417" t="s">
        <v>79</v>
      </c>
      <c r="O417" t="s">
        <v>74</v>
      </c>
      <c r="P417" t="s">
        <v>74</v>
      </c>
      <c r="Q417" t="s">
        <v>74</v>
      </c>
      <c r="R417" t="s">
        <v>74</v>
      </c>
      <c r="S417" t="s">
        <v>74</v>
      </c>
      <c r="T417" t="s">
        <v>8116</v>
      </c>
      <c r="U417" t="s">
        <v>8117</v>
      </c>
      <c r="V417" t="s">
        <v>8118</v>
      </c>
      <c r="W417" t="s">
        <v>8119</v>
      </c>
      <c r="X417" t="s">
        <v>8120</v>
      </c>
      <c r="Y417" t="s">
        <v>8121</v>
      </c>
      <c r="Z417" t="s">
        <v>8122</v>
      </c>
      <c r="AA417" t="s">
        <v>8123</v>
      </c>
      <c r="AB417" t="s">
        <v>8124</v>
      </c>
      <c r="AC417" t="s">
        <v>74</v>
      </c>
      <c r="AD417" t="s">
        <v>74</v>
      </c>
      <c r="AE417" t="s">
        <v>74</v>
      </c>
      <c r="AF417" t="s">
        <v>74</v>
      </c>
      <c r="AG417">
        <v>79</v>
      </c>
      <c r="AH417">
        <v>8</v>
      </c>
      <c r="AI417">
        <v>8</v>
      </c>
      <c r="AJ417">
        <v>0</v>
      </c>
      <c r="AK417">
        <v>21</v>
      </c>
      <c r="AL417" t="s">
        <v>1909</v>
      </c>
      <c r="AM417" t="s">
        <v>1910</v>
      </c>
      <c r="AN417" t="s">
        <v>1911</v>
      </c>
      <c r="AO417" t="s">
        <v>8125</v>
      </c>
      <c r="AP417" t="s">
        <v>8126</v>
      </c>
      <c r="AQ417" t="s">
        <v>74</v>
      </c>
      <c r="AR417" t="s">
        <v>8127</v>
      </c>
      <c r="AS417" t="s">
        <v>8128</v>
      </c>
      <c r="AT417" t="s">
        <v>74</v>
      </c>
      <c r="AU417">
        <v>2017</v>
      </c>
      <c r="AV417">
        <v>48</v>
      </c>
      <c r="AW417">
        <v>1</v>
      </c>
      <c r="AX417" t="s">
        <v>74</v>
      </c>
      <c r="AY417" t="s">
        <v>74</v>
      </c>
      <c r="AZ417" t="s">
        <v>270</v>
      </c>
      <c r="BA417" t="s">
        <v>74</v>
      </c>
      <c r="BB417">
        <v>121</v>
      </c>
      <c r="BC417">
        <v>142</v>
      </c>
      <c r="BD417" t="s">
        <v>74</v>
      </c>
      <c r="BE417" t="s">
        <v>8129</v>
      </c>
      <c r="BF417" t="str">
        <f>HYPERLINK("http://dx.doi.org/10.1080/00049182.2016.1168727","http://dx.doi.org/10.1080/00049182.2016.1168727")</f>
        <v>http://dx.doi.org/10.1080/00049182.2016.1168727</v>
      </c>
      <c r="BG417" t="s">
        <v>74</v>
      </c>
      <c r="BH417" t="s">
        <v>74</v>
      </c>
      <c r="BI417">
        <v>22</v>
      </c>
      <c r="BJ417" t="s">
        <v>1917</v>
      </c>
      <c r="BK417" t="s">
        <v>1918</v>
      </c>
      <c r="BL417" t="s">
        <v>1917</v>
      </c>
      <c r="BM417" t="s">
        <v>8130</v>
      </c>
      <c r="BN417" t="s">
        <v>74</v>
      </c>
      <c r="BO417" t="s">
        <v>74</v>
      </c>
      <c r="BP417" t="s">
        <v>74</v>
      </c>
      <c r="BQ417" t="s">
        <v>74</v>
      </c>
      <c r="BR417" t="s">
        <v>105</v>
      </c>
      <c r="BS417" t="s">
        <v>8131</v>
      </c>
      <c r="BT417" t="str">
        <f>HYPERLINK("https%3A%2F%2Fwww.webofscience.com%2Fwos%2Fwoscc%2Ffull-record%2FWOS:000395183900009","View Full Record in Web of Science")</f>
        <v>View Full Record in Web of Science</v>
      </c>
    </row>
    <row r="418" spans="1:72" x14ac:dyDescent="0.15">
      <c r="A418" t="s">
        <v>72</v>
      </c>
      <c r="B418" t="s">
        <v>8132</v>
      </c>
      <c r="C418" t="s">
        <v>74</v>
      </c>
      <c r="D418" t="s">
        <v>74</v>
      </c>
      <c r="E418" t="s">
        <v>74</v>
      </c>
      <c r="F418" t="s">
        <v>8133</v>
      </c>
      <c r="G418" t="s">
        <v>74</v>
      </c>
      <c r="H418" t="s">
        <v>74</v>
      </c>
      <c r="I418" t="s">
        <v>8134</v>
      </c>
      <c r="J418" t="s">
        <v>8135</v>
      </c>
      <c r="K418" t="s">
        <v>74</v>
      </c>
      <c r="L418" t="s">
        <v>74</v>
      </c>
      <c r="M418" t="s">
        <v>78</v>
      </c>
      <c r="N418" t="s">
        <v>79</v>
      </c>
      <c r="O418" t="s">
        <v>74</v>
      </c>
      <c r="P418" t="s">
        <v>74</v>
      </c>
      <c r="Q418" t="s">
        <v>74</v>
      </c>
      <c r="R418" t="s">
        <v>74</v>
      </c>
      <c r="S418" t="s">
        <v>74</v>
      </c>
      <c r="T418" t="s">
        <v>8136</v>
      </c>
      <c r="U418" t="s">
        <v>8137</v>
      </c>
      <c r="V418" t="s">
        <v>8138</v>
      </c>
      <c r="W418" t="s">
        <v>8139</v>
      </c>
      <c r="X418" t="s">
        <v>8140</v>
      </c>
      <c r="Y418" t="s">
        <v>8141</v>
      </c>
      <c r="Z418" t="s">
        <v>8142</v>
      </c>
      <c r="AA418" t="s">
        <v>74</v>
      </c>
      <c r="AB418" t="s">
        <v>74</v>
      </c>
      <c r="AC418" t="s">
        <v>8143</v>
      </c>
      <c r="AD418" t="s">
        <v>8144</v>
      </c>
      <c r="AE418" t="s">
        <v>8145</v>
      </c>
      <c r="AF418" t="s">
        <v>74</v>
      </c>
      <c r="AG418">
        <v>38</v>
      </c>
      <c r="AH418">
        <v>2</v>
      </c>
      <c r="AI418">
        <v>2</v>
      </c>
      <c r="AJ418">
        <v>0</v>
      </c>
      <c r="AK418">
        <v>2</v>
      </c>
      <c r="AL418" t="s">
        <v>8146</v>
      </c>
      <c r="AM418" t="s">
        <v>4377</v>
      </c>
      <c r="AN418" t="s">
        <v>8147</v>
      </c>
      <c r="AO418" t="s">
        <v>8148</v>
      </c>
      <c r="AP418" t="s">
        <v>8149</v>
      </c>
      <c r="AQ418" t="s">
        <v>74</v>
      </c>
      <c r="AR418" t="s">
        <v>8150</v>
      </c>
      <c r="AS418" t="s">
        <v>8151</v>
      </c>
      <c r="AT418" t="s">
        <v>2136</v>
      </c>
      <c r="AU418">
        <v>2017</v>
      </c>
      <c r="AV418">
        <v>349</v>
      </c>
      <c r="AW418">
        <v>1</v>
      </c>
      <c r="AX418" t="s">
        <v>74</v>
      </c>
      <c r="AY418" t="s">
        <v>74</v>
      </c>
      <c r="AZ418" t="s">
        <v>74</v>
      </c>
      <c r="BA418" t="s">
        <v>74</v>
      </c>
      <c r="BB418">
        <v>12</v>
      </c>
      <c r="BC418">
        <v>21</v>
      </c>
      <c r="BD418" t="s">
        <v>74</v>
      </c>
      <c r="BE418" t="s">
        <v>8152</v>
      </c>
      <c r="BF418" t="str">
        <f>HYPERLINK("http://dx.doi.org/10.1016/j.crte.2016.12.001","http://dx.doi.org/10.1016/j.crte.2016.12.001")</f>
        <v>http://dx.doi.org/10.1016/j.crte.2016.12.001</v>
      </c>
      <c r="BG418" t="s">
        <v>74</v>
      </c>
      <c r="BH418" t="s">
        <v>74</v>
      </c>
      <c r="BI418">
        <v>10</v>
      </c>
      <c r="BJ418" t="s">
        <v>669</v>
      </c>
      <c r="BK418" t="s">
        <v>101</v>
      </c>
      <c r="BL418" t="s">
        <v>670</v>
      </c>
      <c r="BM418" t="s">
        <v>8153</v>
      </c>
      <c r="BN418" t="s">
        <v>74</v>
      </c>
      <c r="BO418" t="s">
        <v>2028</v>
      </c>
      <c r="BP418" t="s">
        <v>74</v>
      </c>
      <c r="BQ418" t="s">
        <v>74</v>
      </c>
      <c r="BR418" t="s">
        <v>105</v>
      </c>
      <c r="BS418" t="s">
        <v>8154</v>
      </c>
      <c r="BT418" t="str">
        <f>HYPERLINK("https%3A%2F%2Fwww.webofscience.com%2Fwos%2Fwoscc%2Ffull-record%2FWOS:000396431800002","View Full Record in Web of Science")</f>
        <v>View Full Record in Web of Science</v>
      </c>
    </row>
    <row r="419" spans="1:72" x14ac:dyDescent="0.15">
      <c r="A419" t="s">
        <v>72</v>
      </c>
      <c r="B419" t="s">
        <v>8155</v>
      </c>
      <c r="C419" t="s">
        <v>74</v>
      </c>
      <c r="D419" t="s">
        <v>74</v>
      </c>
      <c r="E419" t="s">
        <v>74</v>
      </c>
      <c r="F419" t="s">
        <v>8156</v>
      </c>
      <c r="G419" t="s">
        <v>74</v>
      </c>
      <c r="H419" t="s">
        <v>74</v>
      </c>
      <c r="I419" t="s">
        <v>8157</v>
      </c>
      <c r="J419" t="s">
        <v>8158</v>
      </c>
      <c r="K419" t="s">
        <v>74</v>
      </c>
      <c r="L419" t="s">
        <v>74</v>
      </c>
      <c r="M419" t="s">
        <v>78</v>
      </c>
      <c r="N419" t="s">
        <v>2034</v>
      </c>
      <c r="O419" t="s">
        <v>74</v>
      </c>
      <c r="P419" t="s">
        <v>74</v>
      </c>
      <c r="Q419" t="s">
        <v>74</v>
      </c>
      <c r="R419" t="s">
        <v>74</v>
      </c>
      <c r="S419" t="s">
        <v>74</v>
      </c>
      <c r="T419" t="s">
        <v>8159</v>
      </c>
      <c r="U419" t="s">
        <v>8160</v>
      </c>
      <c r="V419" t="s">
        <v>8161</v>
      </c>
      <c r="W419" t="s">
        <v>8162</v>
      </c>
      <c r="X419" t="s">
        <v>8163</v>
      </c>
      <c r="Y419" t="s">
        <v>8164</v>
      </c>
      <c r="Z419" t="s">
        <v>8165</v>
      </c>
      <c r="AA419" t="s">
        <v>74</v>
      </c>
      <c r="AB419" t="s">
        <v>74</v>
      </c>
      <c r="AC419" t="s">
        <v>74</v>
      </c>
      <c r="AD419" t="s">
        <v>74</v>
      </c>
      <c r="AE419" t="s">
        <v>74</v>
      </c>
      <c r="AF419" t="s">
        <v>74</v>
      </c>
      <c r="AG419">
        <v>83</v>
      </c>
      <c r="AH419">
        <v>1</v>
      </c>
      <c r="AI419">
        <v>1</v>
      </c>
      <c r="AJ419">
        <v>3</v>
      </c>
      <c r="AK419">
        <v>29</v>
      </c>
      <c r="AL419" t="s">
        <v>3122</v>
      </c>
      <c r="AM419" t="s">
        <v>3123</v>
      </c>
      <c r="AN419" t="s">
        <v>3124</v>
      </c>
      <c r="AO419" t="s">
        <v>8166</v>
      </c>
      <c r="AP419" t="s">
        <v>8167</v>
      </c>
      <c r="AQ419" t="s">
        <v>74</v>
      </c>
      <c r="AR419" t="s">
        <v>8168</v>
      </c>
      <c r="AS419" t="s">
        <v>8169</v>
      </c>
      <c r="AT419" t="s">
        <v>74</v>
      </c>
      <c r="AU419">
        <v>2017</v>
      </c>
      <c r="AV419">
        <v>21</v>
      </c>
      <c r="AW419">
        <v>5</v>
      </c>
      <c r="AX419" t="s">
        <v>74</v>
      </c>
      <c r="AY419" t="s">
        <v>74</v>
      </c>
      <c r="AZ419" t="s">
        <v>74</v>
      </c>
      <c r="BA419" t="s">
        <v>74</v>
      </c>
      <c r="BB419">
        <v>395</v>
      </c>
      <c r="BC419">
        <v>401</v>
      </c>
      <c r="BD419" t="s">
        <v>74</v>
      </c>
      <c r="BE419" t="s">
        <v>8170</v>
      </c>
      <c r="BF419" t="str">
        <f>HYPERLINK("http://dx.doi.org/10.2174/1385272820666161020122153","http://dx.doi.org/10.2174/1385272820666161020122153")</f>
        <v>http://dx.doi.org/10.2174/1385272820666161020122153</v>
      </c>
      <c r="BG419" t="s">
        <v>74</v>
      </c>
      <c r="BH419" t="s">
        <v>74</v>
      </c>
      <c r="BI419">
        <v>7</v>
      </c>
      <c r="BJ419" t="s">
        <v>8171</v>
      </c>
      <c r="BK419" t="s">
        <v>101</v>
      </c>
      <c r="BL419" t="s">
        <v>1396</v>
      </c>
      <c r="BM419" t="s">
        <v>8172</v>
      </c>
      <c r="BN419" t="s">
        <v>74</v>
      </c>
      <c r="BO419" t="s">
        <v>74</v>
      </c>
      <c r="BP419" t="s">
        <v>74</v>
      </c>
      <c r="BQ419" t="s">
        <v>74</v>
      </c>
      <c r="BR419" t="s">
        <v>105</v>
      </c>
      <c r="BS419" t="s">
        <v>8173</v>
      </c>
      <c r="BT419" t="str">
        <f>HYPERLINK("https%3A%2F%2Fwww.webofscience.com%2Fwos%2Fwoscc%2Ffull-record%2FWOS:000394172200004","View Full Record in Web of Science")</f>
        <v>View Full Record in Web of Science</v>
      </c>
    </row>
    <row r="420" spans="1:72" x14ac:dyDescent="0.15">
      <c r="A420" t="s">
        <v>72</v>
      </c>
      <c r="B420" t="s">
        <v>8174</v>
      </c>
      <c r="C420" t="s">
        <v>74</v>
      </c>
      <c r="D420" t="s">
        <v>74</v>
      </c>
      <c r="E420" t="s">
        <v>74</v>
      </c>
      <c r="F420" t="s">
        <v>8175</v>
      </c>
      <c r="G420" t="s">
        <v>74</v>
      </c>
      <c r="H420" t="s">
        <v>74</v>
      </c>
      <c r="I420" t="s">
        <v>8176</v>
      </c>
      <c r="J420" t="s">
        <v>5544</v>
      </c>
      <c r="K420" t="s">
        <v>74</v>
      </c>
      <c r="L420" t="s">
        <v>74</v>
      </c>
      <c r="M420" t="s">
        <v>78</v>
      </c>
      <c r="N420" t="s">
        <v>79</v>
      </c>
      <c r="O420" t="s">
        <v>74</v>
      </c>
      <c r="P420" t="s">
        <v>74</v>
      </c>
      <c r="Q420" t="s">
        <v>74</v>
      </c>
      <c r="R420" t="s">
        <v>74</v>
      </c>
      <c r="S420" t="s">
        <v>74</v>
      </c>
      <c r="T420" t="s">
        <v>8177</v>
      </c>
      <c r="U420" t="s">
        <v>8178</v>
      </c>
      <c r="V420" t="s">
        <v>8179</v>
      </c>
      <c r="W420" t="s">
        <v>8180</v>
      </c>
      <c r="X420" t="s">
        <v>1343</v>
      </c>
      <c r="Y420" t="s">
        <v>8181</v>
      </c>
      <c r="Z420" t="s">
        <v>8182</v>
      </c>
      <c r="AA420" t="s">
        <v>74</v>
      </c>
      <c r="AB420" t="s">
        <v>8183</v>
      </c>
      <c r="AC420" t="s">
        <v>74</v>
      </c>
      <c r="AD420" t="s">
        <v>74</v>
      </c>
      <c r="AE420" t="s">
        <v>74</v>
      </c>
      <c r="AF420" t="s">
        <v>74</v>
      </c>
      <c r="AG420">
        <v>49</v>
      </c>
      <c r="AH420">
        <v>7</v>
      </c>
      <c r="AI420">
        <v>8</v>
      </c>
      <c r="AJ420">
        <v>0</v>
      </c>
      <c r="AK420">
        <v>6</v>
      </c>
      <c r="AL420" t="s">
        <v>5554</v>
      </c>
      <c r="AM420" t="s">
        <v>5555</v>
      </c>
      <c r="AN420" t="s">
        <v>5556</v>
      </c>
      <c r="AO420" t="s">
        <v>5557</v>
      </c>
      <c r="AP420" t="s">
        <v>5558</v>
      </c>
      <c r="AQ420" t="s">
        <v>74</v>
      </c>
      <c r="AR420" t="s">
        <v>5559</v>
      </c>
      <c r="AS420" t="s">
        <v>5560</v>
      </c>
      <c r="AT420" t="s">
        <v>74</v>
      </c>
      <c r="AU420">
        <v>2017</v>
      </c>
      <c r="AV420">
        <v>32</v>
      </c>
      <c r="AW420" t="s">
        <v>74</v>
      </c>
      <c r="AX420" t="s">
        <v>74</v>
      </c>
      <c r="AY420" t="s">
        <v>74</v>
      </c>
      <c r="AZ420" t="s">
        <v>74</v>
      </c>
      <c r="BA420" t="s">
        <v>74</v>
      </c>
      <c r="BB420">
        <v>213</v>
      </c>
      <c r="BC420">
        <v>222</v>
      </c>
      <c r="BD420" t="s">
        <v>74</v>
      </c>
      <c r="BE420" t="s">
        <v>8184</v>
      </c>
      <c r="BF420" t="str">
        <f>HYPERLINK("http://dx.doi.org/10.3354/esr00796","http://dx.doi.org/10.3354/esr00796")</f>
        <v>http://dx.doi.org/10.3354/esr00796</v>
      </c>
      <c r="BG420" t="s">
        <v>74</v>
      </c>
      <c r="BH420" t="s">
        <v>74</v>
      </c>
      <c r="BI420">
        <v>10</v>
      </c>
      <c r="BJ420" t="s">
        <v>1562</v>
      </c>
      <c r="BK420" t="s">
        <v>101</v>
      </c>
      <c r="BL420" t="s">
        <v>1563</v>
      </c>
      <c r="BM420" t="s">
        <v>8185</v>
      </c>
      <c r="BN420" t="s">
        <v>74</v>
      </c>
      <c r="BO420" t="s">
        <v>892</v>
      </c>
      <c r="BP420" t="s">
        <v>74</v>
      </c>
      <c r="BQ420" t="s">
        <v>74</v>
      </c>
      <c r="BR420" t="s">
        <v>105</v>
      </c>
      <c r="BS420" t="s">
        <v>8186</v>
      </c>
      <c r="BT420" t="str">
        <f>HYPERLINK("https%3A%2F%2Fwww.webofscience.com%2Fwos%2Fwoscc%2Ffull-record%2FWOS:000397027300006","View Full Record in Web of Science")</f>
        <v>View Full Record in Web of Science</v>
      </c>
    </row>
    <row r="421" spans="1:72" x14ac:dyDescent="0.15">
      <c r="A421" t="s">
        <v>72</v>
      </c>
      <c r="B421" t="s">
        <v>8187</v>
      </c>
      <c r="C421" t="s">
        <v>74</v>
      </c>
      <c r="D421" t="s">
        <v>74</v>
      </c>
      <c r="E421" t="s">
        <v>74</v>
      </c>
      <c r="F421" t="s">
        <v>8188</v>
      </c>
      <c r="G421" t="s">
        <v>74</v>
      </c>
      <c r="H421" t="s">
        <v>74</v>
      </c>
      <c r="I421" t="s">
        <v>8189</v>
      </c>
      <c r="J421" t="s">
        <v>2338</v>
      </c>
      <c r="K421" t="s">
        <v>74</v>
      </c>
      <c r="L421" t="s">
        <v>74</v>
      </c>
      <c r="M421" t="s">
        <v>78</v>
      </c>
      <c r="N421" t="s">
        <v>79</v>
      </c>
      <c r="O421" t="s">
        <v>74</v>
      </c>
      <c r="P421" t="s">
        <v>74</v>
      </c>
      <c r="Q421" t="s">
        <v>74</v>
      </c>
      <c r="R421" t="s">
        <v>74</v>
      </c>
      <c r="S421" t="s">
        <v>74</v>
      </c>
      <c r="T421" t="s">
        <v>8190</v>
      </c>
      <c r="U421" t="s">
        <v>8191</v>
      </c>
      <c r="V421" t="s">
        <v>8192</v>
      </c>
      <c r="W421" t="s">
        <v>8193</v>
      </c>
      <c r="X421" t="s">
        <v>8194</v>
      </c>
      <c r="Y421" t="s">
        <v>8195</v>
      </c>
      <c r="Z421" t="s">
        <v>8196</v>
      </c>
      <c r="AA421" t="s">
        <v>8197</v>
      </c>
      <c r="AB421" t="s">
        <v>8198</v>
      </c>
      <c r="AC421" t="s">
        <v>8199</v>
      </c>
      <c r="AD421" t="s">
        <v>8200</v>
      </c>
      <c r="AE421" t="s">
        <v>8201</v>
      </c>
      <c r="AF421" t="s">
        <v>74</v>
      </c>
      <c r="AG421">
        <v>54</v>
      </c>
      <c r="AH421">
        <v>15</v>
      </c>
      <c r="AI421">
        <v>16</v>
      </c>
      <c r="AJ421">
        <v>3</v>
      </c>
      <c r="AK421">
        <v>43</v>
      </c>
      <c r="AL421" t="s">
        <v>2351</v>
      </c>
      <c r="AM421" t="s">
        <v>2352</v>
      </c>
      <c r="AN421" t="s">
        <v>2353</v>
      </c>
      <c r="AO421" t="s">
        <v>2354</v>
      </c>
      <c r="AP421" t="s">
        <v>2355</v>
      </c>
      <c r="AQ421" t="s">
        <v>74</v>
      </c>
      <c r="AR421" t="s">
        <v>2356</v>
      </c>
      <c r="AS421" t="s">
        <v>2357</v>
      </c>
      <c r="AT421" t="s">
        <v>2136</v>
      </c>
      <c r="AU421">
        <v>2017</v>
      </c>
      <c r="AV421">
        <v>24</v>
      </c>
      <c r="AW421">
        <v>2</v>
      </c>
      <c r="AX421" t="s">
        <v>74</v>
      </c>
      <c r="AY421" t="s">
        <v>74</v>
      </c>
      <c r="AZ421" t="s">
        <v>74</v>
      </c>
      <c r="BA421" t="s">
        <v>74</v>
      </c>
      <c r="BB421">
        <v>1424</v>
      </c>
      <c r="BC421">
        <v>1431</v>
      </c>
      <c r="BD421" t="s">
        <v>74</v>
      </c>
      <c r="BE421" t="s">
        <v>8202</v>
      </c>
      <c r="BF421" t="str">
        <f>HYPERLINK("http://dx.doi.org/10.1007/s11356-016-7879-3","http://dx.doi.org/10.1007/s11356-016-7879-3")</f>
        <v>http://dx.doi.org/10.1007/s11356-016-7879-3</v>
      </c>
      <c r="BG421" t="s">
        <v>74</v>
      </c>
      <c r="BH421" t="s">
        <v>74</v>
      </c>
      <c r="BI421">
        <v>8</v>
      </c>
      <c r="BJ421" t="s">
        <v>177</v>
      </c>
      <c r="BK421" t="s">
        <v>101</v>
      </c>
      <c r="BL421" t="s">
        <v>178</v>
      </c>
      <c r="BM421" t="s">
        <v>8203</v>
      </c>
      <c r="BN421">
        <v>27783245</v>
      </c>
      <c r="BO421" t="s">
        <v>74</v>
      </c>
      <c r="BP421" t="s">
        <v>74</v>
      </c>
      <c r="BQ421" t="s">
        <v>74</v>
      </c>
      <c r="BR421" t="s">
        <v>105</v>
      </c>
      <c r="BS421" t="s">
        <v>8204</v>
      </c>
      <c r="BT421" t="str">
        <f>HYPERLINK("https%3A%2F%2Fwww.webofscience.com%2Fwos%2Fwoscc%2Ffull-record%2FWOS:000394254000032","View Full Record in Web of Science")</f>
        <v>View Full Record in Web of Science</v>
      </c>
    </row>
    <row r="422" spans="1:72" x14ac:dyDescent="0.15">
      <c r="A422" t="s">
        <v>72</v>
      </c>
      <c r="B422" t="s">
        <v>8205</v>
      </c>
      <c r="C422" t="s">
        <v>74</v>
      </c>
      <c r="D422" t="s">
        <v>74</v>
      </c>
      <c r="E422" t="s">
        <v>74</v>
      </c>
      <c r="F422" t="s">
        <v>8206</v>
      </c>
      <c r="G422" t="s">
        <v>74</v>
      </c>
      <c r="H422" t="s">
        <v>74</v>
      </c>
      <c r="I422" t="s">
        <v>8207</v>
      </c>
      <c r="J422" t="s">
        <v>8208</v>
      </c>
      <c r="K422" t="s">
        <v>74</v>
      </c>
      <c r="L422" t="s">
        <v>74</v>
      </c>
      <c r="M422" t="s">
        <v>78</v>
      </c>
      <c r="N422" t="s">
        <v>1980</v>
      </c>
      <c r="O422" t="s">
        <v>8209</v>
      </c>
      <c r="P422" t="s">
        <v>8210</v>
      </c>
      <c r="Q422" t="s">
        <v>8211</v>
      </c>
      <c r="R422" t="s">
        <v>74</v>
      </c>
      <c r="S422" t="s">
        <v>74</v>
      </c>
      <c r="T422" t="s">
        <v>8212</v>
      </c>
      <c r="U422" t="s">
        <v>8213</v>
      </c>
      <c r="V422" t="s">
        <v>8214</v>
      </c>
      <c r="W422" t="s">
        <v>8215</v>
      </c>
      <c r="X422" t="s">
        <v>8216</v>
      </c>
      <c r="Y422" t="s">
        <v>8217</v>
      </c>
      <c r="Z422" t="s">
        <v>8218</v>
      </c>
      <c r="AA422" t="s">
        <v>8219</v>
      </c>
      <c r="AB422" t="s">
        <v>8220</v>
      </c>
      <c r="AC422" t="s">
        <v>8221</v>
      </c>
      <c r="AD422" t="s">
        <v>8222</v>
      </c>
      <c r="AE422" t="s">
        <v>8223</v>
      </c>
      <c r="AF422" t="s">
        <v>74</v>
      </c>
      <c r="AG422">
        <v>41</v>
      </c>
      <c r="AH422">
        <v>6</v>
      </c>
      <c r="AI422">
        <v>6</v>
      </c>
      <c r="AJ422">
        <v>0</v>
      </c>
      <c r="AK422">
        <v>55</v>
      </c>
      <c r="AL422" t="s">
        <v>8224</v>
      </c>
      <c r="AM422" t="s">
        <v>8225</v>
      </c>
      <c r="AN422" t="s">
        <v>8226</v>
      </c>
      <c r="AO422" t="s">
        <v>8227</v>
      </c>
      <c r="AP422" t="s">
        <v>8228</v>
      </c>
      <c r="AQ422" t="s">
        <v>74</v>
      </c>
      <c r="AR422" t="s">
        <v>8229</v>
      </c>
      <c r="AS422" t="s">
        <v>8230</v>
      </c>
      <c r="AT422" t="s">
        <v>74</v>
      </c>
      <c r="AU422">
        <v>2017</v>
      </c>
      <c r="AV422">
        <v>26</v>
      </c>
      <c r="AW422">
        <v>1</v>
      </c>
      <c r="AX422" t="s">
        <v>74</v>
      </c>
      <c r="AY422" t="s">
        <v>74</v>
      </c>
      <c r="AZ422" t="s">
        <v>74</v>
      </c>
      <c r="BA422" t="s">
        <v>74</v>
      </c>
      <c r="BB422">
        <v>208</v>
      </c>
      <c r="BC422">
        <v>215</v>
      </c>
      <c r="BD422" t="s">
        <v>74</v>
      </c>
      <c r="BE422" t="s">
        <v>74</v>
      </c>
      <c r="BF422" t="s">
        <v>74</v>
      </c>
      <c r="BG422" t="s">
        <v>74</v>
      </c>
      <c r="BH422" t="s">
        <v>74</v>
      </c>
      <c r="BI422">
        <v>8</v>
      </c>
      <c r="BJ422" t="s">
        <v>177</v>
      </c>
      <c r="BK422" t="s">
        <v>2004</v>
      </c>
      <c r="BL422" t="s">
        <v>178</v>
      </c>
      <c r="BM422" t="s">
        <v>8231</v>
      </c>
      <c r="BN422" t="s">
        <v>74</v>
      </c>
      <c r="BO422" t="s">
        <v>74</v>
      </c>
      <c r="BP422" t="s">
        <v>74</v>
      </c>
      <c r="BQ422" t="s">
        <v>74</v>
      </c>
      <c r="BR422" t="s">
        <v>105</v>
      </c>
      <c r="BS422" t="s">
        <v>8232</v>
      </c>
      <c r="BT422" t="str">
        <f>HYPERLINK("https%3A%2F%2Fwww.webofscience.com%2Fwos%2Fwoscc%2Ffull-record%2FWOS:000395724000030","View Full Record in Web of Science")</f>
        <v>View Full Record in Web of Science</v>
      </c>
    </row>
    <row r="423" spans="1:72" x14ac:dyDescent="0.15">
      <c r="A423" t="s">
        <v>72</v>
      </c>
      <c r="B423" t="s">
        <v>8233</v>
      </c>
      <c r="C423" t="s">
        <v>74</v>
      </c>
      <c r="D423" t="s">
        <v>74</v>
      </c>
      <c r="E423" t="s">
        <v>74</v>
      </c>
      <c r="F423" t="s">
        <v>8234</v>
      </c>
      <c r="G423" t="s">
        <v>74</v>
      </c>
      <c r="H423" t="s">
        <v>74</v>
      </c>
      <c r="I423" t="s">
        <v>8235</v>
      </c>
      <c r="J423" t="s">
        <v>8236</v>
      </c>
      <c r="K423" t="s">
        <v>74</v>
      </c>
      <c r="L423" t="s">
        <v>74</v>
      </c>
      <c r="M423" t="s">
        <v>78</v>
      </c>
      <c r="N423" t="s">
        <v>79</v>
      </c>
      <c r="O423" t="s">
        <v>74</v>
      </c>
      <c r="P423" t="s">
        <v>74</v>
      </c>
      <c r="Q423" t="s">
        <v>74</v>
      </c>
      <c r="R423" t="s">
        <v>74</v>
      </c>
      <c r="S423" t="s">
        <v>74</v>
      </c>
      <c r="T423" t="s">
        <v>8237</v>
      </c>
      <c r="U423" t="s">
        <v>8238</v>
      </c>
      <c r="V423" t="s">
        <v>8239</v>
      </c>
      <c r="W423" t="s">
        <v>8240</v>
      </c>
      <c r="X423" t="s">
        <v>8241</v>
      </c>
      <c r="Y423" t="s">
        <v>8242</v>
      </c>
      <c r="Z423" t="s">
        <v>8243</v>
      </c>
      <c r="AA423" t="s">
        <v>74</v>
      </c>
      <c r="AB423" t="s">
        <v>74</v>
      </c>
      <c r="AC423" t="s">
        <v>74</v>
      </c>
      <c r="AD423" t="s">
        <v>74</v>
      </c>
      <c r="AE423" t="s">
        <v>74</v>
      </c>
      <c r="AF423" t="s">
        <v>74</v>
      </c>
      <c r="AG423">
        <v>22</v>
      </c>
      <c r="AH423">
        <v>0</v>
      </c>
      <c r="AI423">
        <v>0</v>
      </c>
      <c r="AJ423">
        <v>1</v>
      </c>
      <c r="AK423">
        <v>4</v>
      </c>
      <c r="AL423" t="s">
        <v>7449</v>
      </c>
      <c r="AM423" t="s">
        <v>187</v>
      </c>
      <c r="AN423" t="s">
        <v>7450</v>
      </c>
      <c r="AO423" t="s">
        <v>8244</v>
      </c>
      <c r="AP423" t="s">
        <v>8245</v>
      </c>
      <c r="AQ423" t="s">
        <v>74</v>
      </c>
      <c r="AR423" t="s">
        <v>8246</v>
      </c>
      <c r="AS423" t="s">
        <v>8247</v>
      </c>
      <c r="AT423" t="s">
        <v>2136</v>
      </c>
      <c r="AU423">
        <v>2017</v>
      </c>
      <c r="AV423">
        <v>53</v>
      </c>
      <c r="AW423">
        <v>1</v>
      </c>
      <c r="AX423" t="s">
        <v>74</v>
      </c>
      <c r="AY423" t="s">
        <v>74</v>
      </c>
      <c r="AZ423" t="s">
        <v>74</v>
      </c>
      <c r="BA423" t="s">
        <v>74</v>
      </c>
      <c r="BB423">
        <v>92</v>
      </c>
      <c r="BC423">
        <v>107</v>
      </c>
      <c r="BD423" t="s">
        <v>74</v>
      </c>
      <c r="BE423" t="s">
        <v>8248</v>
      </c>
      <c r="BF423" t="str">
        <f>HYPERLINK("http://dx.doi.org/10.1134/S1069351317010074","http://dx.doi.org/10.1134/S1069351317010074")</f>
        <v>http://dx.doi.org/10.1134/S1069351317010074</v>
      </c>
      <c r="BG423" t="s">
        <v>74</v>
      </c>
      <c r="BH423" t="s">
        <v>74</v>
      </c>
      <c r="BI423">
        <v>16</v>
      </c>
      <c r="BJ423" t="s">
        <v>299</v>
      </c>
      <c r="BK423" t="s">
        <v>101</v>
      </c>
      <c r="BL423" t="s">
        <v>299</v>
      </c>
      <c r="BM423" t="s">
        <v>8249</v>
      </c>
      <c r="BN423" t="s">
        <v>74</v>
      </c>
      <c r="BO423" t="s">
        <v>74</v>
      </c>
      <c r="BP423" t="s">
        <v>74</v>
      </c>
      <c r="BQ423" t="s">
        <v>74</v>
      </c>
      <c r="BR423" t="s">
        <v>105</v>
      </c>
      <c r="BS423" t="s">
        <v>8250</v>
      </c>
      <c r="BT423" t="str">
        <f>HYPERLINK("https%3A%2F%2Fwww.webofscience.com%2Fwos%2Fwoscc%2Ffull-record%2FWOS:000394342100009","View Full Record in Web of Science")</f>
        <v>View Full Record in Web of Science</v>
      </c>
    </row>
    <row r="424" spans="1:72" x14ac:dyDescent="0.15">
      <c r="A424" t="s">
        <v>72</v>
      </c>
      <c r="B424" t="s">
        <v>8251</v>
      </c>
      <c r="C424" t="s">
        <v>74</v>
      </c>
      <c r="D424" t="s">
        <v>74</v>
      </c>
      <c r="E424" t="s">
        <v>74</v>
      </c>
      <c r="F424" t="s">
        <v>8252</v>
      </c>
      <c r="G424" t="s">
        <v>74</v>
      </c>
      <c r="H424" t="s">
        <v>74</v>
      </c>
      <c r="I424" t="s">
        <v>8253</v>
      </c>
      <c r="J424" t="s">
        <v>8254</v>
      </c>
      <c r="K424" t="s">
        <v>74</v>
      </c>
      <c r="L424" t="s">
        <v>74</v>
      </c>
      <c r="M424" t="s">
        <v>78</v>
      </c>
      <c r="N424" t="s">
        <v>79</v>
      </c>
      <c r="O424" t="s">
        <v>74</v>
      </c>
      <c r="P424" t="s">
        <v>74</v>
      </c>
      <c r="Q424" t="s">
        <v>74</v>
      </c>
      <c r="R424" t="s">
        <v>74</v>
      </c>
      <c r="S424" t="s">
        <v>74</v>
      </c>
      <c r="T424" t="s">
        <v>8255</v>
      </c>
      <c r="U424" t="s">
        <v>8256</v>
      </c>
      <c r="V424" t="s">
        <v>8257</v>
      </c>
      <c r="W424" t="s">
        <v>8258</v>
      </c>
      <c r="X424" t="s">
        <v>8259</v>
      </c>
      <c r="Y424" t="s">
        <v>8260</v>
      </c>
      <c r="Z424" t="s">
        <v>8261</v>
      </c>
      <c r="AA424" t="s">
        <v>8262</v>
      </c>
      <c r="AB424" t="s">
        <v>8263</v>
      </c>
      <c r="AC424" t="s">
        <v>8264</v>
      </c>
      <c r="AD424" t="s">
        <v>8264</v>
      </c>
      <c r="AE424" t="s">
        <v>8265</v>
      </c>
      <c r="AF424" t="s">
        <v>74</v>
      </c>
      <c r="AG424">
        <v>35</v>
      </c>
      <c r="AH424">
        <v>3</v>
      </c>
      <c r="AI424">
        <v>3</v>
      </c>
      <c r="AJ424">
        <v>1</v>
      </c>
      <c r="AK424">
        <v>21</v>
      </c>
      <c r="AL424" t="s">
        <v>8266</v>
      </c>
      <c r="AM424" t="s">
        <v>8267</v>
      </c>
      <c r="AN424" t="s">
        <v>8268</v>
      </c>
      <c r="AO424" t="s">
        <v>8269</v>
      </c>
      <c r="AP424" t="s">
        <v>8270</v>
      </c>
      <c r="AQ424" t="s">
        <v>74</v>
      </c>
      <c r="AR424" t="s">
        <v>8271</v>
      </c>
      <c r="AS424" t="s">
        <v>8272</v>
      </c>
      <c r="AT424" t="s">
        <v>2136</v>
      </c>
      <c r="AU424">
        <v>2017</v>
      </c>
      <c r="AV424">
        <v>33</v>
      </c>
      <c r="AW424">
        <v>1</v>
      </c>
      <c r="AX424" t="s">
        <v>74</v>
      </c>
      <c r="AY424" t="s">
        <v>74</v>
      </c>
      <c r="AZ424" t="s">
        <v>74</v>
      </c>
      <c r="BA424" t="s">
        <v>74</v>
      </c>
      <c r="BB424">
        <v>56</v>
      </c>
      <c r="BC424">
        <v>66</v>
      </c>
      <c r="BD424" t="s">
        <v>74</v>
      </c>
      <c r="BE424" t="s">
        <v>8273</v>
      </c>
      <c r="BF424" t="str">
        <f>HYPERLINK("http://dx.doi.org/10.2112/JCOASTRES-D-15-00052.1","http://dx.doi.org/10.2112/JCOASTRES-D-15-00052.1")</f>
        <v>http://dx.doi.org/10.2112/JCOASTRES-D-15-00052.1</v>
      </c>
      <c r="BG424" t="s">
        <v>74</v>
      </c>
      <c r="BH424" t="s">
        <v>74</v>
      </c>
      <c r="BI424">
        <v>11</v>
      </c>
      <c r="BJ424" t="s">
        <v>8274</v>
      </c>
      <c r="BK424" t="s">
        <v>101</v>
      </c>
      <c r="BL424" t="s">
        <v>8275</v>
      </c>
      <c r="BM424" t="s">
        <v>8276</v>
      </c>
      <c r="BN424" t="s">
        <v>74</v>
      </c>
      <c r="BO424" t="s">
        <v>74</v>
      </c>
      <c r="BP424" t="s">
        <v>74</v>
      </c>
      <c r="BQ424" t="s">
        <v>74</v>
      </c>
      <c r="BR424" t="s">
        <v>105</v>
      </c>
      <c r="BS424" t="s">
        <v>8277</v>
      </c>
      <c r="BT424" t="str">
        <f>HYPERLINK("https%3A%2F%2Fwww.webofscience.com%2Fwos%2Fwoscc%2Ffull-record%2FWOS:000394926100004","View Full Record in Web of Science")</f>
        <v>View Full Record in Web of Science</v>
      </c>
    </row>
    <row r="425" spans="1:72" x14ac:dyDescent="0.15">
      <c r="A425" t="s">
        <v>72</v>
      </c>
      <c r="B425" t="s">
        <v>8278</v>
      </c>
      <c r="C425" t="s">
        <v>74</v>
      </c>
      <c r="D425" t="s">
        <v>74</v>
      </c>
      <c r="E425" t="s">
        <v>74</v>
      </c>
      <c r="F425" t="s">
        <v>8279</v>
      </c>
      <c r="G425" t="s">
        <v>74</v>
      </c>
      <c r="H425" t="s">
        <v>74</v>
      </c>
      <c r="I425" t="s">
        <v>8280</v>
      </c>
      <c r="J425" t="s">
        <v>8281</v>
      </c>
      <c r="K425" t="s">
        <v>74</v>
      </c>
      <c r="L425" t="s">
        <v>74</v>
      </c>
      <c r="M425" t="s">
        <v>78</v>
      </c>
      <c r="N425" t="s">
        <v>79</v>
      </c>
      <c r="O425" t="s">
        <v>74</v>
      </c>
      <c r="P425" t="s">
        <v>74</v>
      </c>
      <c r="Q425" t="s">
        <v>74</v>
      </c>
      <c r="R425" t="s">
        <v>74</v>
      </c>
      <c r="S425" t="s">
        <v>74</v>
      </c>
      <c r="T425" t="s">
        <v>8282</v>
      </c>
      <c r="U425" t="s">
        <v>8283</v>
      </c>
      <c r="V425" t="s">
        <v>8284</v>
      </c>
      <c r="W425" t="s">
        <v>8285</v>
      </c>
      <c r="X425" t="s">
        <v>8286</v>
      </c>
      <c r="Y425" t="s">
        <v>8287</v>
      </c>
      <c r="Z425" t="s">
        <v>8288</v>
      </c>
      <c r="AA425" t="s">
        <v>74</v>
      </c>
      <c r="AB425" t="s">
        <v>74</v>
      </c>
      <c r="AC425" t="s">
        <v>8289</v>
      </c>
      <c r="AD425" t="s">
        <v>8290</v>
      </c>
      <c r="AE425" t="s">
        <v>8291</v>
      </c>
      <c r="AF425" t="s">
        <v>74</v>
      </c>
      <c r="AG425">
        <v>98</v>
      </c>
      <c r="AH425">
        <v>46</v>
      </c>
      <c r="AI425">
        <v>50</v>
      </c>
      <c r="AJ425">
        <v>2</v>
      </c>
      <c r="AK425">
        <v>23</v>
      </c>
      <c r="AL425" t="s">
        <v>661</v>
      </c>
      <c r="AM425" t="s">
        <v>142</v>
      </c>
      <c r="AN425" t="s">
        <v>662</v>
      </c>
      <c r="AO425" t="s">
        <v>8292</v>
      </c>
      <c r="AP425" t="s">
        <v>8293</v>
      </c>
      <c r="AQ425" t="s">
        <v>74</v>
      </c>
      <c r="AR425" t="s">
        <v>8294</v>
      </c>
      <c r="AS425" t="s">
        <v>8295</v>
      </c>
      <c r="AT425" t="s">
        <v>2136</v>
      </c>
      <c r="AU425">
        <v>2017</v>
      </c>
      <c r="AV425">
        <v>122</v>
      </c>
      <c r="AW425">
        <v>1</v>
      </c>
      <c r="AX425" t="s">
        <v>74</v>
      </c>
      <c r="AY425" t="s">
        <v>74</v>
      </c>
      <c r="AZ425" t="s">
        <v>74</v>
      </c>
      <c r="BA425" t="s">
        <v>74</v>
      </c>
      <c r="BB425">
        <v>3</v>
      </c>
      <c r="BC425">
        <v>24</v>
      </c>
      <c r="BD425" t="s">
        <v>74</v>
      </c>
      <c r="BE425" t="s">
        <v>8296</v>
      </c>
      <c r="BF425" t="str">
        <f>HYPERLINK("http://dx.doi.org/10.1002/2016JF003992","http://dx.doi.org/10.1002/2016JF003992")</f>
        <v>http://dx.doi.org/10.1002/2016JF003992</v>
      </c>
      <c r="BG425" t="s">
        <v>74</v>
      </c>
      <c r="BH425" t="s">
        <v>74</v>
      </c>
      <c r="BI425">
        <v>22</v>
      </c>
      <c r="BJ425" t="s">
        <v>669</v>
      </c>
      <c r="BK425" t="s">
        <v>101</v>
      </c>
      <c r="BL425" t="s">
        <v>670</v>
      </c>
      <c r="BM425" t="s">
        <v>8297</v>
      </c>
      <c r="BN425" t="s">
        <v>74</v>
      </c>
      <c r="BO425" t="s">
        <v>672</v>
      </c>
      <c r="BP425" t="s">
        <v>74</v>
      </c>
      <c r="BQ425" t="s">
        <v>74</v>
      </c>
      <c r="BR425" t="s">
        <v>105</v>
      </c>
      <c r="BS425" t="s">
        <v>8298</v>
      </c>
      <c r="BT425" t="str">
        <f>HYPERLINK("https%3A%2F%2Fwww.webofscience.com%2Fwos%2Fwoscc%2Ffull-record%2FWOS:000394904900001","View Full Record in Web of Science")</f>
        <v>View Full Record in Web of Science</v>
      </c>
    </row>
    <row r="426" spans="1:72" x14ac:dyDescent="0.15">
      <c r="A426" t="s">
        <v>72</v>
      </c>
      <c r="B426" t="s">
        <v>8299</v>
      </c>
      <c r="C426" t="s">
        <v>74</v>
      </c>
      <c r="D426" t="s">
        <v>74</v>
      </c>
      <c r="E426" t="s">
        <v>74</v>
      </c>
      <c r="F426" t="s">
        <v>8300</v>
      </c>
      <c r="G426" t="s">
        <v>74</v>
      </c>
      <c r="H426" t="s">
        <v>74</v>
      </c>
      <c r="I426" t="s">
        <v>8301</v>
      </c>
      <c r="J426" t="s">
        <v>8281</v>
      </c>
      <c r="K426" t="s">
        <v>74</v>
      </c>
      <c r="L426" t="s">
        <v>74</v>
      </c>
      <c r="M426" t="s">
        <v>78</v>
      </c>
      <c r="N426" t="s">
        <v>79</v>
      </c>
      <c r="O426" t="s">
        <v>74</v>
      </c>
      <c r="P426" t="s">
        <v>74</v>
      </c>
      <c r="Q426" t="s">
        <v>74</v>
      </c>
      <c r="R426" t="s">
        <v>74</v>
      </c>
      <c r="S426" t="s">
        <v>74</v>
      </c>
      <c r="T426" t="s">
        <v>8302</v>
      </c>
      <c r="U426" t="s">
        <v>8303</v>
      </c>
      <c r="V426" t="s">
        <v>8304</v>
      </c>
      <c r="W426" t="s">
        <v>8305</v>
      </c>
      <c r="X426" t="s">
        <v>8306</v>
      </c>
      <c r="Y426" t="s">
        <v>8307</v>
      </c>
      <c r="Z426" t="s">
        <v>8308</v>
      </c>
      <c r="AA426" t="s">
        <v>8309</v>
      </c>
      <c r="AB426" t="s">
        <v>8310</v>
      </c>
      <c r="AC426" t="s">
        <v>8311</v>
      </c>
      <c r="AD426" t="s">
        <v>8312</v>
      </c>
      <c r="AE426" t="s">
        <v>8313</v>
      </c>
      <c r="AF426" t="s">
        <v>74</v>
      </c>
      <c r="AG426">
        <v>59</v>
      </c>
      <c r="AH426">
        <v>18</v>
      </c>
      <c r="AI426">
        <v>23</v>
      </c>
      <c r="AJ426">
        <v>0</v>
      </c>
      <c r="AK426">
        <v>10</v>
      </c>
      <c r="AL426" t="s">
        <v>661</v>
      </c>
      <c r="AM426" t="s">
        <v>142</v>
      </c>
      <c r="AN426" t="s">
        <v>662</v>
      </c>
      <c r="AO426" t="s">
        <v>8292</v>
      </c>
      <c r="AP426" t="s">
        <v>8293</v>
      </c>
      <c r="AQ426" t="s">
        <v>74</v>
      </c>
      <c r="AR426" t="s">
        <v>8294</v>
      </c>
      <c r="AS426" t="s">
        <v>8295</v>
      </c>
      <c r="AT426" t="s">
        <v>2136</v>
      </c>
      <c r="AU426">
        <v>2017</v>
      </c>
      <c r="AV426">
        <v>122</v>
      </c>
      <c r="AW426">
        <v>1</v>
      </c>
      <c r="AX426" t="s">
        <v>74</v>
      </c>
      <c r="AY426" t="s">
        <v>74</v>
      </c>
      <c r="AZ426" t="s">
        <v>74</v>
      </c>
      <c r="BA426" t="s">
        <v>74</v>
      </c>
      <c r="BB426">
        <v>153</v>
      </c>
      <c r="BC426">
        <v>166</v>
      </c>
      <c r="BD426" t="s">
        <v>74</v>
      </c>
      <c r="BE426" t="s">
        <v>8314</v>
      </c>
      <c r="BF426" t="str">
        <f>HYPERLINK("http://dx.doi.org/10.1002/2016JF004098","http://dx.doi.org/10.1002/2016JF004098")</f>
        <v>http://dx.doi.org/10.1002/2016JF004098</v>
      </c>
      <c r="BG426" t="s">
        <v>74</v>
      </c>
      <c r="BH426" t="s">
        <v>74</v>
      </c>
      <c r="BI426">
        <v>14</v>
      </c>
      <c r="BJ426" t="s">
        <v>669</v>
      </c>
      <c r="BK426" t="s">
        <v>101</v>
      </c>
      <c r="BL426" t="s">
        <v>670</v>
      </c>
      <c r="BM426" t="s">
        <v>8297</v>
      </c>
      <c r="BN426" t="s">
        <v>74</v>
      </c>
      <c r="BO426" t="s">
        <v>672</v>
      </c>
      <c r="BP426" t="s">
        <v>74</v>
      </c>
      <c r="BQ426" t="s">
        <v>74</v>
      </c>
      <c r="BR426" t="s">
        <v>105</v>
      </c>
      <c r="BS426" t="s">
        <v>8315</v>
      </c>
      <c r="BT426" t="str">
        <f>HYPERLINK("https%3A%2F%2Fwww.webofscience.com%2Fwos%2Fwoscc%2Ffull-record%2FWOS:000394904900008","View Full Record in Web of Science")</f>
        <v>View Full Record in Web of Science</v>
      </c>
    </row>
    <row r="427" spans="1:72" x14ac:dyDescent="0.15">
      <c r="A427" t="s">
        <v>72</v>
      </c>
      <c r="B427" t="s">
        <v>8316</v>
      </c>
      <c r="C427" t="s">
        <v>74</v>
      </c>
      <c r="D427" t="s">
        <v>74</v>
      </c>
      <c r="E427" t="s">
        <v>74</v>
      </c>
      <c r="F427" t="s">
        <v>8317</v>
      </c>
      <c r="G427" t="s">
        <v>74</v>
      </c>
      <c r="H427" t="s">
        <v>74</v>
      </c>
      <c r="I427" t="s">
        <v>8318</v>
      </c>
      <c r="J427" t="s">
        <v>8281</v>
      </c>
      <c r="K427" t="s">
        <v>74</v>
      </c>
      <c r="L427" t="s">
        <v>74</v>
      </c>
      <c r="M427" t="s">
        <v>78</v>
      </c>
      <c r="N427" t="s">
        <v>79</v>
      </c>
      <c r="O427" t="s">
        <v>74</v>
      </c>
      <c r="P427" t="s">
        <v>74</v>
      </c>
      <c r="Q427" t="s">
        <v>74</v>
      </c>
      <c r="R427" t="s">
        <v>74</v>
      </c>
      <c r="S427" t="s">
        <v>74</v>
      </c>
      <c r="T427" t="s">
        <v>8319</v>
      </c>
      <c r="U427" t="s">
        <v>8320</v>
      </c>
      <c r="V427" t="s">
        <v>8321</v>
      </c>
      <c r="W427" t="s">
        <v>8322</v>
      </c>
      <c r="X427" t="s">
        <v>8323</v>
      </c>
      <c r="Y427" t="s">
        <v>8324</v>
      </c>
      <c r="Z427" t="s">
        <v>8325</v>
      </c>
      <c r="AA427" t="s">
        <v>8326</v>
      </c>
      <c r="AB427" t="s">
        <v>8327</v>
      </c>
      <c r="AC427" t="s">
        <v>8328</v>
      </c>
      <c r="AD427" t="s">
        <v>8329</v>
      </c>
      <c r="AE427" t="s">
        <v>8330</v>
      </c>
      <c r="AF427" t="s">
        <v>74</v>
      </c>
      <c r="AG427">
        <v>94</v>
      </c>
      <c r="AH427">
        <v>53</v>
      </c>
      <c r="AI427">
        <v>57</v>
      </c>
      <c r="AJ427">
        <v>1</v>
      </c>
      <c r="AK427">
        <v>32</v>
      </c>
      <c r="AL427" t="s">
        <v>661</v>
      </c>
      <c r="AM427" t="s">
        <v>142</v>
      </c>
      <c r="AN427" t="s">
        <v>662</v>
      </c>
      <c r="AO427" t="s">
        <v>8292</v>
      </c>
      <c r="AP427" t="s">
        <v>8293</v>
      </c>
      <c r="AQ427" t="s">
        <v>74</v>
      </c>
      <c r="AR427" t="s">
        <v>8294</v>
      </c>
      <c r="AS427" t="s">
        <v>8295</v>
      </c>
      <c r="AT427" t="s">
        <v>2136</v>
      </c>
      <c r="AU427">
        <v>2017</v>
      </c>
      <c r="AV427">
        <v>122</v>
      </c>
      <c r="AW427">
        <v>1</v>
      </c>
      <c r="AX427" t="s">
        <v>74</v>
      </c>
      <c r="AY427" t="s">
        <v>74</v>
      </c>
      <c r="AZ427" t="s">
        <v>74</v>
      </c>
      <c r="BA427" t="s">
        <v>74</v>
      </c>
      <c r="BB427">
        <v>167</v>
      </c>
      <c r="BC427">
        <v>190</v>
      </c>
      <c r="BD427" t="s">
        <v>74</v>
      </c>
      <c r="BE427" t="s">
        <v>8331</v>
      </c>
      <c r="BF427" t="str">
        <f>HYPERLINK("http://dx.doi.org/10.1002/2016JF003971","http://dx.doi.org/10.1002/2016JF003971")</f>
        <v>http://dx.doi.org/10.1002/2016JF003971</v>
      </c>
      <c r="BG427" t="s">
        <v>74</v>
      </c>
      <c r="BH427" t="s">
        <v>74</v>
      </c>
      <c r="BI427">
        <v>24</v>
      </c>
      <c r="BJ427" t="s">
        <v>669</v>
      </c>
      <c r="BK427" t="s">
        <v>101</v>
      </c>
      <c r="BL427" t="s">
        <v>670</v>
      </c>
      <c r="BM427" t="s">
        <v>8297</v>
      </c>
      <c r="BN427" t="s">
        <v>74</v>
      </c>
      <c r="BO427" t="s">
        <v>8332</v>
      </c>
      <c r="BP427" t="s">
        <v>74</v>
      </c>
      <c r="BQ427" t="s">
        <v>74</v>
      </c>
      <c r="BR427" t="s">
        <v>105</v>
      </c>
      <c r="BS427" t="s">
        <v>8333</v>
      </c>
      <c r="BT427" t="str">
        <f>HYPERLINK("https%3A%2F%2Fwww.webofscience.com%2Fwos%2Fwoscc%2Ffull-record%2FWOS:000394904900009","View Full Record in Web of Science")</f>
        <v>View Full Record in Web of Science</v>
      </c>
    </row>
    <row r="428" spans="1:72" x14ac:dyDescent="0.15">
      <c r="A428" t="s">
        <v>72</v>
      </c>
      <c r="B428" t="s">
        <v>8334</v>
      </c>
      <c r="C428" t="s">
        <v>74</v>
      </c>
      <c r="D428" t="s">
        <v>74</v>
      </c>
      <c r="E428" t="s">
        <v>74</v>
      </c>
      <c r="F428" t="s">
        <v>8335</v>
      </c>
      <c r="G428" t="s">
        <v>74</v>
      </c>
      <c r="H428" t="s">
        <v>74</v>
      </c>
      <c r="I428" t="s">
        <v>8336</v>
      </c>
      <c r="J428" t="s">
        <v>8281</v>
      </c>
      <c r="K428" t="s">
        <v>74</v>
      </c>
      <c r="L428" t="s">
        <v>74</v>
      </c>
      <c r="M428" t="s">
        <v>78</v>
      </c>
      <c r="N428" t="s">
        <v>79</v>
      </c>
      <c r="O428" t="s">
        <v>74</v>
      </c>
      <c r="P428" t="s">
        <v>74</v>
      </c>
      <c r="Q428" t="s">
        <v>74</v>
      </c>
      <c r="R428" t="s">
        <v>74</v>
      </c>
      <c r="S428" t="s">
        <v>74</v>
      </c>
      <c r="T428" t="s">
        <v>8337</v>
      </c>
      <c r="U428" t="s">
        <v>8338</v>
      </c>
      <c r="V428" t="s">
        <v>8339</v>
      </c>
      <c r="W428" t="s">
        <v>8340</v>
      </c>
      <c r="X428" t="s">
        <v>8341</v>
      </c>
      <c r="Y428" t="s">
        <v>8342</v>
      </c>
      <c r="Z428" t="s">
        <v>8343</v>
      </c>
      <c r="AA428" t="s">
        <v>8344</v>
      </c>
      <c r="AB428" t="s">
        <v>8345</v>
      </c>
      <c r="AC428" t="s">
        <v>8346</v>
      </c>
      <c r="AD428" t="s">
        <v>8347</v>
      </c>
      <c r="AE428" t="s">
        <v>8348</v>
      </c>
      <c r="AF428" t="s">
        <v>74</v>
      </c>
      <c r="AG428">
        <v>45</v>
      </c>
      <c r="AH428">
        <v>34</v>
      </c>
      <c r="AI428">
        <v>35</v>
      </c>
      <c r="AJ428">
        <v>1</v>
      </c>
      <c r="AK428">
        <v>15</v>
      </c>
      <c r="AL428" t="s">
        <v>661</v>
      </c>
      <c r="AM428" t="s">
        <v>142</v>
      </c>
      <c r="AN428" t="s">
        <v>662</v>
      </c>
      <c r="AO428" t="s">
        <v>8292</v>
      </c>
      <c r="AP428" t="s">
        <v>8293</v>
      </c>
      <c r="AQ428" t="s">
        <v>74</v>
      </c>
      <c r="AR428" t="s">
        <v>8294</v>
      </c>
      <c r="AS428" t="s">
        <v>8295</v>
      </c>
      <c r="AT428" t="s">
        <v>2136</v>
      </c>
      <c r="AU428">
        <v>2017</v>
      </c>
      <c r="AV428">
        <v>122</v>
      </c>
      <c r="AW428">
        <v>1</v>
      </c>
      <c r="AX428" t="s">
        <v>74</v>
      </c>
      <c r="AY428" t="s">
        <v>74</v>
      </c>
      <c r="AZ428" t="s">
        <v>74</v>
      </c>
      <c r="BA428" t="s">
        <v>74</v>
      </c>
      <c r="BB428">
        <v>290</v>
      </c>
      <c r="BC428">
        <v>309</v>
      </c>
      <c r="BD428" t="s">
        <v>74</v>
      </c>
      <c r="BE428" t="s">
        <v>8349</v>
      </c>
      <c r="BF428" t="str">
        <f>HYPERLINK("http://dx.doi.org/10.1002/2016JF003938","http://dx.doi.org/10.1002/2016JF003938")</f>
        <v>http://dx.doi.org/10.1002/2016JF003938</v>
      </c>
      <c r="BG428" t="s">
        <v>74</v>
      </c>
      <c r="BH428" t="s">
        <v>74</v>
      </c>
      <c r="BI428">
        <v>20</v>
      </c>
      <c r="BJ428" t="s">
        <v>669</v>
      </c>
      <c r="BK428" t="s">
        <v>101</v>
      </c>
      <c r="BL428" t="s">
        <v>670</v>
      </c>
      <c r="BM428" t="s">
        <v>8297</v>
      </c>
      <c r="BN428" t="s">
        <v>74</v>
      </c>
      <c r="BO428" t="s">
        <v>301</v>
      </c>
      <c r="BP428" t="s">
        <v>74</v>
      </c>
      <c r="BQ428" t="s">
        <v>74</v>
      </c>
      <c r="BR428" t="s">
        <v>105</v>
      </c>
      <c r="BS428" t="s">
        <v>8350</v>
      </c>
      <c r="BT428" t="str">
        <f>HYPERLINK("https%3A%2F%2Fwww.webofscience.com%2Fwos%2Fwoscc%2Ffull-record%2FWOS:000394904900015","View Full Record in Web of Science")</f>
        <v>View Full Record in Web of Science</v>
      </c>
    </row>
    <row r="429" spans="1:72" x14ac:dyDescent="0.15">
      <c r="A429" t="s">
        <v>72</v>
      </c>
      <c r="B429" t="s">
        <v>8351</v>
      </c>
      <c r="C429" t="s">
        <v>74</v>
      </c>
      <c r="D429" t="s">
        <v>74</v>
      </c>
      <c r="E429" t="s">
        <v>74</v>
      </c>
      <c r="F429" t="s">
        <v>8352</v>
      </c>
      <c r="G429" t="s">
        <v>74</v>
      </c>
      <c r="H429" t="s">
        <v>74</v>
      </c>
      <c r="I429" t="s">
        <v>8353</v>
      </c>
      <c r="J429" t="s">
        <v>8354</v>
      </c>
      <c r="K429" t="s">
        <v>74</v>
      </c>
      <c r="L429" t="s">
        <v>74</v>
      </c>
      <c r="M429" t="s">
        <v>78</v>
      </c>
      <c r="N429" t="s">
        <v>79</v>
      </c>
      <c r="O429" t="s">
        <v>74</v>
      </c>
      <c r="P429" t="s">
        <v>74</v>
      </c>
      <c r="Q429" t="s">
        <v>74</v>
      </c>
      <c r="R429" t="s">
        <v>74</v>
      </c>
      <c r="S429" t="s">
        <v>74</v>
      </c>
      <c r="T429" t="s">
        <v>8355</v>
      </c>
      <c r="U429" t="s">
        <v>8356</v>
      </c>
      <c r="V429" t="s">
        <v>8357</v>
      </c>
      <c r="W429" t="s">
        <v>8358</v>
      </c>
      <c r="X429" t="s">
        <v>8359</v>
      </c>
      <c r="Y429" t="s">
        <v>8360</v>
      </c>
      <c r="Z429" t="s">
        <v>8361</v>
      </c>
      <c r="AA429" t="s">
        <v>74</v>
      </c>
      <c r="AB429" t="s">
        <v>8362</v>
      </c>
      <c r="AC429" t="s">
        <v>8363</v>
      </c>
      <c r="AD429" t="s">
        <v>8364</v>
      </c>
      <c r="AE429" t="s">
        <v>8365</v>
      </c>
      <c r="AF429" t="s">
        <v>74</v>
      </c>
      <c r="AG429">
        <v>39</v>
      </c>
      <c r="AH429">
        <v>47</v>
      </c>
      <c r="AI429">
        <v>52</v>
      </c>
      <c r="AJ429">
        <v>2</v>
      </c>
      <c r="AK429">
        <v>27</v>
      </c>
      <c r="AL429" t="s">
        <v>661</v>
      </c>
      <c r="AM429" t="s">
        <v>142</v>
      </c>
      <c r="AN429" t="s">
        <v>662</v>
      </c>
      <c r="AO429" t="s">
        <v>8366</v>
      </c>
      <c r="AP429" t="s">
        <v>8367</v>
      </c>
      <c r="AQ429" t="s">
        <v>74</v>
      </c>
      <c r="AR429" t="s">
        <v>8368</v>
      </c>
      <c r="AS429" t="s">
        <v>8369</v>
      </c>
      <c r="AT429" t="s">
        <v>2136</v>
      </c>
      <c r="AU429">
        <v>2017</v>
      </c>
      <c r="AV429">
        <v>122</v>
      </c>
      <c r="AW429">
        <v>1</v>
      </c>
      <c r="AX429" t="s">
        <v>74</v>
      </c>
      <c r="AY429" t="s">
        <v>74</v>
      </c>
      <c r="AZ429" t="s">
        <v>74</v>
      </c>
      <c r="BA429" t="s">
        <v>74</v>
      </c>
      <c r="BB429">
        <v>617</v>
      </c>
      <c r="BC429">
        <v>635</v>
      </c>
      <c r="BD429" t="s">
        <v>74</v>
      </c>
      <c r="BE429" t="s">
        <v>8370</v>
      </c>
      <c r="BF429" t="str">
        <f>HYPERLINK("http://dx.doi.org/10.1002/2016JC012225","http://dx.doi.org/10.1002/2016JC012225")</f>
        <v>http://dx.doi.org/10.1002/2016JC012225</v>
      </c>
      <c r="BG429" t="s">
        <v>74</v>
      </c>
      <c r="BH429" t="s">
        <v>74</v>
      </c>
      <c r="BI429">
        <v>19</v>
      </c>
      <c r="BJ429" t="s">
        <v>2164</v>
      </c>
      <c r="BK429" t="s">
        <v>101</v>
      </c>
      <c r="BL429" t="s">
        <v>2164</v>
      </c>
      <c r="BM429" t="s">
        <v>8371</v>
      </c>
      <c r="BN429" t="s">
        <v>74</v>
      </c>
      <c r="BO429" t="s">
        <v>1803</v>
      </c>
      <c r="BP429" t="s">
        <v>74</v>
      </c>
      <c r="BQ429" t="s">
        <v>74</v>
      </c>
      <c r="BR429" t="s">
        <v>105</v>
      </c>
      <c r="BS429" t="s">
        <v>8372</v>
      </c>
      <c r="BT429" t="str">
        <f>HYPERLINK("https%3A%2F%2Fwww.webofscience.com%2Fwos%2Fwoscc%2Ffull-record%2FWOS:000394996400037","View Full Record in Web of Science")</f>
        <v>View Full Record in Web of Science</v>
      </c>
    </row>
    <row r="430" spans="1:72" x14ac:dyDescent="0.15">
      <c r="A430" t="s">
        <v>72</v>
      </c>
      <c r="B430" t="s">
        <v>8373</v>
      </c>
      <c r="C430" t="s">
        <v>74</v>
      </c>
      <c r="D430" t="s">
        <v>74</v>
      </c>
      <c r="E430" t="s">
        <v>74</v>
      </c>
      <c r="F430" t="s">
        <v>8374</v>
      </c>
      <c r="G430" t="s">
        <v>74</v>
      </c>
      <c r="H430" t="s">
        <v>74</v>
      </c>
      <c r="I430" t="s">
        <v>8375</v>
      </c>
      <c r="J430" t="s">
        <v>2776</v>
      </c>
      <c r="K430" t="s">
        <v>74</v>
      </c>
      <c r="L430" t="s">
        <v>74</v>
      </c>
      <c r="M430" t="s">
        <v>78</v>
      </c>
      <c r="N430" t="s">
        <v>79</v>
      </c>
      <c r="O430" t="s">
        <v>74</v>
      </c>
      <c r="P430" t="s">
        <v>74</v>
      </c>
      <c r="Q430" t="s">
        <v>74</v>
      </c>
      <c r="R430" t="s">
        <v>74</v>
      </c>
      <c r="S430" t="s">
        <v>74</v>
      </c>
      <c r="T430" t="s">
        <v>8376</v>
      </c>
      <c r="U430" t="s">
        <v>8377</v>
      </c>
      <c r="V430" t="s">
        <v>8378</v>
      </c>
      <c r="W430" t="s">
        <v>8379</v>
      </c>
      <c r="X430" t="s">
        <v>2805</v>
      </c>
      <c r="Y430" t="s">
        <v>8380</v>
      </c>
      <c r="Z430" t="s">
        <v>8381</v>
      </c>
      <c r="AA430" t="s">
        <v>8382</v>
      </c>
      <c r="AB430" t="s">
        <v>8383</v>
      </c>
      <c r="AC430" t="s">
        <v>74</v>
      </c>
      <c r="AD430" t="s">
        <v>74</v>
      </c>
      <c r="AE430" t="s">
        <v>74</v>
      </c>
      <c r="AF430" t="s">
        <v>74</v>
      </c>
      <c r="AG430">
        <v>49</v>
      </c>
      <c r="AH430">
        <v>9</v>
      </c>
      <c r="AI430">
        <v>10</v>
      </c>
      <c r="AJ430">
        <v>0</v>
      </c>
      <c r="AK430">
        <v>36</v>
      </c>
      <c r="AL430" t="s">
        <v>2276</v>
      </c>
      <c r="AM430" t="s">
        <v>2277</v>
      </c>
      <c r="AN430" t="s">
        <v>2278</v>
      </c>
      <c r="AO430" t="s">
        <v>2789</v>
      </c>
      <c r="AP430" t="s">
        <v>2790</v>
      </c>
      <c r="AQ430" t="s">
        <v>74</v>
      </c>
      <c r="AR430" t="s">
        <v>2791</v>
      </c>
      <c r="AS430" t="s">
        <v>2792</v>
      </c>
      <c r="AT430" t="s">
        <v>74</v>
      </c>
      <c r="AU430">
        <v>2017</v>
      </c>
      <c r="AV430">
        <v>68</v>
      </c>
      <c r="AW430">
        <v>3</v>
      </c>
      <c r="AX430" t="s">
        <v>74</v>
      </c>
      <c r="AY430" t="s">
        <v>74</v>
      </c>
      <c r="AZ430" t="s">
        <v>74</v>
      </c>
      <c r="BA430" t="s">
        <v>74</v>
      </c>
      <c r="BB430">
        <v>568</v>
      </c>
      <c r="BC430">
        <v>580</v>
      </c>
      <c r="BD430" t="s">
        <v>74</v>
      </c>
      <c r="BE430" t="s">
        <v>8384</v>
      </c>
      <c r="BF430" t="str">
        <f>HYPERLINK("http://dx.doi.org/10.1071/MF15165","http://dx.doi.org/10.1071/MF15165")</f>
        <v>http://dx.doi.org/10.1071/MF15165</v>
      </c>
      <c r="BG430" t="s">
        <v>74</v>
      </c>
      <c r="BH430" t="s">
        <v>74</v>
      </c>
      <c r="BI430">
        <v>13</v>
      </c>
      <c r="BJ430" t="s">
        <v>2794</v>
      </c>
      <c r="BK430" t="s">
        <v>101</v>
      </c>
      <c r="BL430" t="s">
        <v>2795</v>
      </c>
      <c r="BM430" t="s">
        <v>8385</v>
      </c>
      <c r="BN430" t="s">
        <v>74</v>
      </c>
      <c r="BO430" t="s">
        <v>74</v>
      </c>
      <c r="BP430" t="s">
        <v>74</v>
      </c>
      <c r="BQ430" t="s">
        <v>74</v>
      </c>
      <c r="BR430" t="s">
        <v>105</v>
      </c>
      <c r="BS430" t="s">
        <v>8386</v>
      </c>
      <c r="BT430" t="str">
        <f>HYPERLINK("https%3A%2F%2Fwww.webofscience.com%2Fwos%2Fwoscc%2Ffull-record%2FWOS:000396038400016","View Full Record in Web of Science")</f>
        <v>View Full Record in Web of Science</v>
      </c>
    </row>
    <row r="431" spans="1:72" x14ac:dyDescent="0.15">
      <c r="A431" t="s">
        <v>72</v>
      </c>
      <c r="B431" t="s">
        <v>8387</v>
      </c>
      <c r="C431" t="s">
        <v>74</v>
      </c>
      <c r="D431" t="s">
        <v>74</v>
      </c>
      <c r="E431" t="s">
        <v>74</v>
      </c>
      <c r="F431" t="s">
        <v>8388</v>
      </c>
      <c r="G431" t="s">
        <v>74</v>
      </c>
      <c r="H431" t="s">
        <v>74</v>
      </c>
      <c r="I431" t="s">
        <v>8389</v>
      </c>
      <c r="J431" t="s">
        <v>3085</v>
      </c>
      <c r="K431" t="s">
        <v>74</v>
      </c>
      <c r="L431" t="s">
        <v>74</v>
      </c>
      <c r="M431" t="s">
        <v>78</v>
      </c>
      <c r="N431" t="s">
        <v>79</v>
      </c>
      <c r="O431" t="s">
        <v>74</v>
      </c>
      <c r="P431" t="s">
        <v>74</v>
      </c>
      <c r="Q431" t="s">
        <v>74</v>
      </c>
      <c r="R431" t="s">
        <v>74</v>
      </c>
      <c r="S431" t="s">
        <v>74</v>
      </c>
      <c r="T431" t="s">
        <v>74</v>
      </c>
      <c r="U431" t="s">
        <v>8390</v>
      </c>
      <c r="V431" t="s">
        <v>8391</v>
      </c>
      <c r="W431" t="s">
        <v>8392</v>
      </c>
      <c r="X431" t="s">
        <v>8393</v>
      </c>
      <c r="Y431" t="s">
        <v>8394</v>
      </c>
      <c r="Z431" t="s">
        <v>8395</v>
      </c>
      <c r="AA431" t="s">
        <v>74</v>
      </c>
      <c r="AB431" t="s">
        <v>74</v>
      </c>
      <c r="AC431" t="s">
        <v>74</v>
      </c>
      <c r="AD431" t="s">
        <v>74</v>
      </c>
      <c r="AE431" t="s">
        <v>74</v>
      </c>
      <c r="AF431" t="s">
        <v>74</v>
      </c>
      <c r="AG431">
        <v>64</v>
      </c>
      <c r="AH431">
        <v>11</v>
      </c>
      <c r="AI431">
        <v>12</v>
      </c>
      <c r="AJ431">
        <v>0</v>
      </c>
      <c r="AK431">
        <v>1</v>
      </c>
      <c r="AL431" t="s">
        <v>3097</v>
      </c>
      <c r="AM431" t="s">
        <v>187</v>
      </c>
      <c r="AN431" t="s">
        <v>3098</v>
      </c>
      <c r="AO431" t="s">
        <v>3099</v>
      </c>
      <c r="AP431" t="s">
        <v>3100</v>
      </c>
      <c r="AQ431" t="s">
        <v>74</v>
      </c>
      <c r="AR431" t="s">
        <v>3101</v>
      </c>
      <c r="AS431" t="s">
        <v>3102</v>
      </c>
      <c r="AT431" t="s">
        <v>2136</v>
      </c>
      <c r="AU431">
        <v>2017</v>
      </c>
      <c r="AV431">
        <v>53</v>
      </c>
      <c r="AW431">
        <v>1</v>
      </c>
      <c r="AX431" t="s">
        <v>74</v>
      </c>
      <c r="AY431" t="s">
        <v>74</v>
      </c>
      <c r="AZ431" t="s">
        <v>74</v>
      </c>
      <c r="BA431" t="s">
        <v>74</v>
      </c>
      <c r="BB431">
        <v>16</v>
      </c>
      <c r="BC431">
        <v>30</v>
      </c>
      <c r="BD431" t="s">
        <v>74</v>
      </c>
      <c r="BE431" t="s">
        <v>8396</v>
      </c>
      <c r="BF431" t="str">
        <f>HYPERLINK("http://dx.doi.org/10.1017/S0032247416000516","http://dx.doi.org/10.1017/S0032247416000516")</f>
        <v>http://dx.doi.org/10.1017/S0032247416000516</v>
      </c>
      <c r="BG431" t="s">
        <v>74</v>
      </c>
      <c r="BH431" t="s">
        <v>74</v>
      </c>
      <c r="BI431">
        <v>15</v>
      </c>
      <c r="BJ431" t="s">
        <v>3104</v>
      </c>
      <c r="BK431" t="s">
        <v>245</v>
      </c>
      <c r="BL431" t="s">
        <v>178</v>
      </c>
      <c r="BM431" t="s">
        <v>3105</v>
      </c>
      <c r="BN431" t="s">
        <v>74</v>
      </c>
      <c r="BO431" t="s">
        <v>74</v>
      </c>
      <c r="BP431" t="s">
        <v>74</v>
      </c>
      <c r="BQ431" t="s">
        <v>74</v>
      </c>
      <c r="BR431" t="s">
        <v>105</v>
      </c>
      <c r="BS431" t="s">
        <v>8397</v>
      </c>
      <c r="BT431" t="str">
        <f>HYPERLINK("https%3A%2F%2Fwww.webofscience.com%2Fwos%2Fwoscc%2Ffull-record%2FWOS:000394588900002","View Full Record in Web of Science")</f>
        <v>View Full Record in Web of Science</v>
      </c>
    </row>
    <row r="432" spans="1:72" x14ac:dyDescent="0.15">
      <c r="A432" t="s">
        <v>72</v>
      </c>
      <c r="B432" t="s">
        <v>8398</v>
      </c>
      <c r="C432" t="s">
        <v>74</v>
      </c>
      <c r="D432" t="s">
        <v>74</v>
      </c>
      <c r="E432" t="s">
        <v>74</v>
      </c>
      <c r="F432" t="s">
        <v>8399</v>
      </c>
      <c r="G432" t="s">
        <v>74</v>
      </c>
      <c r="H432" t="s">
        <v>74</v>
      </c>
      <c r="I432" t="s">
        <v>8400</v>
      </c>
      <c r="J432" t="s">
        <v>3085</v>
      </c>
      <c r="K432" t="s">
        <v>74</v>
      </c>
      <c r="L432" t="s">
        <v>74</v>
      </c>
      <c r="M432" t="s">
        <v>78</v>
      </c>
      <c r="N432" t="s">
        <v>79</v>
      </c>
      <c r="O432" t="s">
        <v>74</v>
      </c>
      <c r="P432" t="s">
        <v>74</v>
      </c>
      <c r="Q432" t="s">
        <v>74</v>
      </c>
      <c r="R432" t="s">
        <v>74</v>
      </c>
      <c r="S432" t="s">
        <v>74</v>
      </c>
      <c r="T432" t="s">
        <v>74</v>
      </c>
      <c r="U432" t="s">
        <v>8401</v>
      </c>
      <c r="V432" t="s">
        <v>8402</v>
      </c>
      <c r="W432" t="s">
        <v>8403</v>
      </c>
      <c r="X432" t="s">
        <v>8404</v>
      </c>
      <c r="Y432" t="s">
        <v>8405</v>
      </c>
      <c r="Z432" t="s">
        <v>8406</v>
      </c>
      <c r="AA432" t="s">
        <v>5530</v>
      </c>
      <c r="AB432" t="s">
        <v>5531</v>
      </c>
      <c r="AC432" t="s">
        <v>8407</v>
      </c>
      <c r="AD432" t="s">
        <v>8407</v>
      </c>
      <c r="AE432" t="s">
        <v>8408</v>
      </c>
      <c r="AF432" t="s">
        <v>74</v>
      </c>
      <c r="AG432">
        <v>35</v>
      </c>
      <c r="AH432">
        <v>24</v>
      </c>
      <c r="AI432">
        <v>26</v>
      </c>
      <c r="AJ432">
        <v>0</v>
      </c>
      <c r="AK432">
        <v>23</v>
      </c>
      <c r="AL432" t="s">
        <v>3097</v>
      </c>
      <c r="AM432" t="s">
        <v>187</v>
      </c>
      <c r="AN432" t="s">
        <v>3098</v>
      </c>
      <c r="AO432" t="s">
        <v>3099</v>
      </c>
      <c r="AP432" t="s">
        <v>3100</v>
      </c>
      <c r="AQ432" t="s">
        <v>74</v>
      </c>
      <c r="AR432" t="s">
        <v>3101</v>
      </c>
      <c r="AS432" t="s">
        <v>3102</v>
      </c>
      <c r="AT432" t="s">
        <v>2136</v>
      </c>
      <c r="AU432">
        <v>2017</v>
      </c>
      <c r="AV432">
        <v>53</v>
      </c>
      <c r="AW432">
        <v>1</v>
      </c>
      <c r="AX432" t="s">
        <v>74</v>
      </c>
      <c r="AY432" t="s">
        <v>74</v>
      </c>
      <c r="AZ432" t="s">
        <v>74</v>
      </c>
      <c r="BA432" t="s">
        <v>74</v>
      </c>
      <c r="BB432">
        <v>67</v>
      </c>
      <c r="BC432">
        <v>78</v>
      </c>
      <c r="BD432" t="s">
        <v>74</v>
      </c>
      <c r="BE432" t="s">
        <v>8409</v>
      </c>
      <c r="BF432" t="str">
        <f>HYPERLINK("http://dx.doi.org/10.1017/S0032247416000565","http://dx.doi.org/10.1017/S0032247416000565")</f>
        <v>http://dx.doi.org/10.1017/S0032247416000565</v>
      </c>
      <c r="BG432" t="s">
        <v>74</v>
      </c>
      <c r="BH432" t="s">
        <v>74</v>
      </c>
      <c r="BI432">
        <v>12</v>
      </c>
      <c r="BJ432" t="s">
        <v>3104</v>
      </c>
      <c r="BK432" t="s">
        <v>101</v>
      </c>
      <c r="BL432" t="s">
        <v>178</v>
      </c>
      <c r="BM432" t="s">
        <v>3105</v>
      </c>
      <c r="BN432" t="s">
        <v>74</v>
      </c>
      <c r="BO432" t="s">
        <v>74</v>
      </c>
      <c r="BP432" t="s">
        <v>74</v>
      </c>
      <c r="BQ432" t="s">
        <v>74</v>
      </c>
      <c r="BR432" t="s">
        <v>105</v>
      </c>
      <c r="BS432" t="s">
        <v>8410</v>
      </c>
      <c r="BT432" t="str">
        <f>HYPERLINK("https%3A%2F%2Fwww.webofscience.com%2Fwos%2Fwoscc%2Ffull-record%2FWOS:000394588900006","View Full Record in Web of Science")</f>
        <v>View Full Record in Web of Science</v>
      </c>
    </row>
    <row r="433" spans="1:72" x14ac:dyDescent="0.15">
      <c r="A433" t="s">
        <v>72</v>
      </c>
      <c r="B433" t="s">
        <v>8411</v>
      </c>
      <c r="C433" t="s">
        <v>74</v>
      </c>
      <c r="D433" t="s">
        <v>74</v>
      </c>
      <c r="E433" t="s">
        <v>74</v>
      </c>
      <c r="F433" t="s">
        <v>8412</v>
      </c>
      <c r="G433" t="s">
        <v>74</v>
      </c>
      <c r="H433" t="s">
        <v>74</v>
      </c>
      <c r="I433" t="s">
        <v>8413</v>
      </c>
      <c r="J433" t="s">
        <v>8414</v>
      </c>
      <c r="K433" t="s">
        <v>74</v>
      </c>
      <c r="L433" t="s">
        <v>74</v>
      </c>
      <c r="M433" t="s">
        <v>78</v>
      </c>
      <c r="N433" t="s">
        <v>2034</v>
      </c>
      <c r="O433" t="s">
        <v>74</v>
      </c>
      <c r="P433" t="s">
        <v>74</v>
      </c>
      <c r="Q433" t="s">
        <v>74</v>
      </c>
      <c r="R433" t="s">
        <v>74</v>
      </c>
      <c r="S433" t="s">
        <v>74</v>
      </c>
      <c r="T433" t="s">
        <v>8415</v>
      </c>
      <c r="U433" t="s">
        <v>8416</v>
      </c>
      <c r="V433" t="s">
        <v>8417</v>
      </c>
      <c r="W433" t="s">
        <v>8418</v>
      </c>
      <c r="X433" t="s">
        <v>8419</v>
      </c>
      <c r="Y433" t="s">
        <v>8420</v>
      </c>
      <c r="Z433" t="s">
        <v>8421</v>
      </c>
      <c r="AA433" t="s">
        <v>8422</v>
      </c>
      <c r="AB433" t="s">
        <v>8423</v>
      </c>
      <c r="AC433" t="s">
        <v>74</v>
      </c>
      <c r="AD433" t="s">
        <v>74</v>
      </c>
      <c r="AE433" t="s">
        <v>74</v>
      </c>
      <c r="AF433" t="s">
        <v>74</v>
      </c>
      <c r="AG433">
        <v>41</v>
      </c>
      <c r="AH433">
        <v>69</v>
      </c>
      <c r="AI433">
        <v>77</v>
      </c>
      <c r="AJ433">
        <v>12</v>
      </c>
      <c r="AK433">
        <v>101</v>
      </c>
      <c r="AL433" t="s">
        <v>211</v>
      </c>
      <c r="AM433" t="s">
        <v>212</v>
      </c>
      <c r="AN433" t="s">
        <v>213</v>
      </c>
      <c r="AO433" t="s">
        <v>8424</v>
      </c>
      <c r="AP433" t="s">
        <v>8425</v>
      </c>
      <c r="AQ433" t="s">
        <v>74</v>
      </c>
      <c r="AR433" t="s">
        <v>8426</v>
      </c>
      <c r="AS433" t="s">
        <v>8427</v>
      </c>
      <c r="AT433" t="s">
        <v>2136</v>
      </c>
      <c r="AU433">
        <v>2017</v>
      </c>
      <c r="AV433">
        <v>38</v>
      </c>
      <c r="AW433">
        <v>1</v>
      </c>
      <c r="AX433" t="s">
        <v>74</v>
      </c>
      <c r="AY433" t="s">
        <v>74</v>
      </c>
      <c r="AZ433" t="s">
        <v>270</v>
      </c>
      <c r="BA433" t="s">
        <v>74</v>
      </c>
      <c r="BB433">
        <v>89</v>
      </c>
      <c r="BC433">
        <v>104</v>
      </c>
      <c r="BD433" t="s">
        <v>74</v>
      </c>
      <c r="BE433" t="s">
        <v>8428</v>
      </c>
      <c r="BF433" t="str">
        <f>HYPERLINK("http://dx.doi.org/10.1007/s10712-016-9398-7","http://dx.doi.org/10.1007/s10712-016-9398-7")</f>
        <v>http://dx.doi.org/10.1007/s10712-016-9398-7</v>
      </c>
      <c r="BG433" t="s">
        <v>74</v>
      </c>
      <c r="BH433" t="s">
        <v>74</v>
      </c>
      <c r="BI433">
        <v>16</v>
      </c>
      <c r="BJ433" t="s">
        <v>299</v>
      </c>
      <c r="BK433" t="s">
        <v>101</v>
      </c>
      <c r="BL433" t="s">
        <v>299</v>
      </c>
      <c r="BM433" t="s">
        <v>8429</v>
      </c>
      <c r="BN433" t="s">
        <v>74</v>
      </c>
      <c r="BO433" t="s">
        <v>378</v>
      </c>
      <c r="BP433" t="s">
        <v>74</v>
      </c>
      <c r="BQ433" t="s">
        <v>74</v>
      </c>
      <c r="BR433" t="s">
        <v>105</v>
      </c>
      <c r="BS433" t="s">
        <v>8430</v>
      </c>
      <c r="BT433" t="str">
        <f>HYPERLINK("https%3A%2F%2Fwww.webofscience.com%2Fwos%2Fwoscc%2Ffull-record%2FWOS:000395073100005","View Full Record in Web of Science")</f>
        <v>View Full Record in Web of Science</v>
      </c>
    </row>
    <row r="434" spans="1:72" x14ac:dyDescent="0.15">
      <c r="A434" t="s">
        <v>72</v>
      </c>
      <c r="B434" t="s">
        <v>8431</v>
      </c>
      <c r="C434" t="s">
        <v>74</v>
      </c>
      <c r="D434" t="s">
        <v>74</v>
      </c>
      <c r="E434" t="s">
        <v>74</v>
      </c>
      <c r="F434" t="s">
        <v>8432</v>
      </c>
      <c r="G434" t="s">
        <v>74</v>
      </c>
      <c r="H434" t="s">
        <v>74</v>
      </c>
      <c r="I434" t="s">
        <v>8433</v>
      </c>
      <c r="J434" t="s">
        <v>8414</v>
      </c>
      <c r="K434" t="s">
        <v>74</v>
      </c>
      <c r="L434" t="s">
        <v>74</v>
      </c>
      <c r="M434" t="s">
        <v>78</v>
      </c>
      <c r="N434" t="s">
        <v>2034</v>
      </c>
      <c r="O434" t="s">
        <v>74</v>
      </c>
      <c r="P434" t="s">
        <v>74</v>
      </c>
      <c r="Q434" t="s">
        <v>74</v>
      </c>
      <c r="R434" t="s">
        <v>74</v>
      </c>
      <c r="S434" t="s">
        <v>74</v>
      </c>
      <c r="T434" t="s">
        <v>8434</v>
      </c>
      <c r="U434" t="s">
        <v>8435</v>
      </c>
      <c r="V434" t="s">
        <v>8436</v>
      </c>
      <c r="W434" t="s">
        <v>8437</v>
      </c>
      <c r="X434" t="s">
        <v>8438</v>
      </c>
      <c r="Y434" t="s">
        <v>8439</v>
      </c>
      <c r="Z434" t="s">
        <v>8440</v>
      </c>
      <c r="AA434" t="s">
        <v>8441</v>
      </c>
      <c r="AB434" t="s">
        <v>8442</v>
      </c>
      <c r="AC434" t="s">
        <v>8443</v>
      </c>
      <c r="AD434" t="s">
        <v>8444</v>
      </c>
      <c r="AE434" t="s">
        <v>8445</v>
      </c>
      <c r="AF434" t="s">
        <v>74</v>
      </c>
      <c r="AG434">
        <v>98</v>
      </c>
      <c r="AH434">
        <v>72</v>
      </c>
      <c r="AI434">
        <v>77</v>
      </c>
      <c r="AJ434">
        <v>4</v>
      </c>
      <c r="AK434">
        <v>64</v>
      </c>
      <c r="AL434" t="s">
        <v>211</v>
      </c>
      <c r="AM434" t="s">
        <v>212</v>
      </c>
      <c r="AN434" t="s">
        <v>213</v>
      </c>
      <c r="AO434" t="s">
        <v>8424</v>
      </c>
      <c r="AP434" t="s">
        <v>8425</v>
      </c>
      <c r="AQ434" t="s">
        <v>74</v>
      </c>
      <c r="AR434" t="s">
        <v>8426</v>
      </c>
      <c r="AS434" t="s">
        <v>8427</v>
      </c>
      <c r="AT434" t="s">
        <v>2136</v>
      </c>
      <c r="AU434">
        <v>2017</v>
      </c>
      <c r="AV434">
        <v>38</v>
      </c>
      <c r="AW434">
        <v>1</v>
      </c>
      <c r="AX434" t="s">
        <v>74</v>
      </c>
      <c r="AY434" t="s">
        <v>74</v>
      </c>
      <c r="AZ434" t="s">
        <v>270</v>
      </c>
      <c r="BA434" t="s">
        <v>74</v>
      </c>
      <c r="BB434">
        <v>385</v>
      </c>
      <c r="BC434">
        <v>406</v>
      </c>
      <c r="BD434" t="s">
        <v>74</v>
      </c>
      <c r="BE434" t="s">
        <v>8446</v>
      </c>
      <c r="BF434" t="str">
        <f>HYPERLINK("http://dx.doi.org/10.1007/s10712-016-9374-2","http://dx.doi.org/10.1007/s10712-016-9374-2")</f>
        <v>http://dx.doi.org/10.1007/s10712-016-9374-2</v>
      </c>
      <c r="BG434" t="s">
        <v>74</v>
      </c>
      <c r="BH434" t="s">
        <v>74</v>
      </c>
      <c r="BI434">
        <v>22</v>
      </c>
      <c r="BJ434" t="s">
        <v>299</v>
      </c>
      <c r="BK434" t="s">
        <v>101</v>
      </c>
      <c r="BL434" t="s">
        <v>299</v>
      </c>
      <c r="BM434" t="s">
        <v>8429</v>
      </c>
      <c r="BN434" t="s">
        <v>74</v>
      </c>
      <c r="BO434" t="s">
        <v>1223</v>
      </c>
      <c r="BP434" t="s">
        <v>74</v>
      </c>
      <c r="BQ434" t="s">
        <v>74</v>
      </c>
      <c r="BR434" t="s">
        <v>105</v>
      </c>
      <c r="BS434" t="s">
        <v>8447</v>
      </c>
      <c r="BT434" t="str">
        <f>HYPERLINK("https%3A%2F%2Fwww.webofscience.com%2Fwos%2Fwoscc%2Ffull-record%2FWOS:000395073100017","View Full Record in Web of Science")</f>
        <v>View Full Record in Web of Science</v>
      </c>
    </row>
    <row r="435" spans="1:72" x14ac:dyDescent="0.15">
      <c r="A435" t="s">
        <v>72</v>
      </c>
      <c r="B435" t="s">
        <v>8448</v>
      </c>
      <c r="C435" t="s">
        <v>74</v>
      </c>
      <c r="D435" t="s">
        <v>74</v>
      </c>
      <c r="E435" t="s">
        <v>74</v>
      </c>
      <c r="F435" t="s">
        <v>8449</v>
      </c>
      <c r="G435" t="s">
        <v>74</v>
      </c>
      <c r="H435" t="s">
        <v>74</v>
      </c>
      <c r="I435" t="s">
        <v>8450</v>
      </c>
      <c r="J435" t="s">
        <v>8451</v>
      </c>
      <c r="K435" t="s">
        <v>74</v>
      </c>
      <c r="L435" t="s">
        <v>74</v>
      </c>
      <c r="M435" t="s">
        <v>78</v>
      </c>
      <c r="N435" t="s">
        <v>79</v>
      </c>
      <c r="O435" t="s">
        <v>74</v>
      </c>
      <c r="P435" t="s">
        <v>74</v>
      </c>
      <c r="Q435" t="s">
        <v>74</v>
      </c>
      <c r="R435" t="s">
        <v>74</v>
      </c>
      <c r="S435" t="s">
        <v>74</v>
      </c>
      <c r="T435" t="s">
        <v>8452</v>
      </c>
      <c r="U435" t="s">
        <v>8453</v>
      </c>
      <c r="V435" t="s">
        <v>8454</v>
      </c>
      <c r="W435" t="s">
        <v>8455</v>
      </c>
      <c r="X435" t="s">
        <v>8456</v>
      </c>
      <c r="Y435" t="s">
        <v>8457</v>
      </c>
      <c r="Z435" t="s">
        <v>8458</v>
      </c>
      <c r="AA435" t="s">
        <v>8459</v>
      </c>
      <c r="AB435" t="s">
        <v>8460</v>
      </c>
      <c r="AC435" t="s">
        <v>8461</v>
      </c>
      <c r="AD435" t="s">
        <v>8462</v>
      </c>
      <c r="AE435" t="s">
        <v>8463</v>
      </c>
      <c r="AF435" t="s">
        <v>74</v>
      </c>
      <c r="AG435">
        <v>90</v>
      </c>
      <c r="AH435">
        <v>19</v>
      </c>
      <c r="AI435">
        <v>21</v>
      </c>
      <c r="AJ435">
        <v>1</v>
      </c>
      <c r="AK435">
        <v>15</v>
      </c>
      <c r="AL435" t="s">
        <v>661</v>
      </c>
      <c r="AM435" t="s">
        <v>142</v>
      </c>
      <c r="AN435" t="s">
        <v>662</v>
      </c>
      <c r="AO435" t="s">
        <v>8464</v>
      </c>
      <c r="AP435" t="s">
        <v>8465</v>
      </c>
      <c r="AQ435" t="s">
        <v>74</v>
      </c>
      <c r="AR435" t="s">
        <v>8466</v>
      </c>
      <c r="AS435" t="s">
        <v>8467</v>
      </c>
      <c r="AT435" t="s">
        <v>2136</v>
      </c>
      <c r="AU435">
        <v>2017</v>
      </c>
      <c r="AV435">
        <v>53</v>
      </c>
      <c r="AW435">
        <v>1</v>
      </c>
      <c r="AX435" t="s">
        <v>74</v>
      </c>
      <c r="AY435" t="s">
        <v>74</v>
      </c>
      <c r="AZ435" t="s">
        <v>74</v>
      </c>
      <c r="BA435" t="s">
        <v>74</v>
      </c>
      <c r="BB435">
        <v>400</v>
      </c>
      <c r="BC435">
        <v>414</v>
      </c>
      <c r="BD435" t="s">
        <v>74</v>
      </c>
      <c r="BE435" t="s">
        <v>8468</v>
      </c>
      <c r="BF435" t="str">
        <f>HYPERLINK("http://dx.doi.org/10.1002/2016WR018906","http://dx.doi.org/10.1002/2016WR018906")</f>
        <v>http://dx.doi.org/10.1002/2016WR018906</v>
      </c>
      <c r="BG435" t="s">
        <v>74</v>
      </c>
      <c r="BH435" t="s">
        <v>74</v>
      </c>
      <c r="BI435">
        <v>15</v>
      </c>
      <c r="BJ435" t="s">
        <v>8469</v>
      </c>
      <c r="BK435" t="s">
        <v>101</v>
      </c>
      <c r="BL435" t="s">
        <v>8470</v>
      </c>
      <c r="BM435" t="s">
        <v>8471</v>
      </c>
      <c r="BN435" t="s">
        <v>74</v>
      </c>
      <c r="BO435" t="s">
        <v>8472</v>
      </c>
      <c r="BP435" t="s">
        <v>74</v>
      </c>
      <c r="BQ435" t="s">
        <v>74</v>
      </c>
      <c r="BR435" t="s">
        <v>105</v>
      </c>
      <c r="BS435" t="s">
        <v>8473</v>
      </c>
      <c r="BT435" t="str">
        <f>HYPERLINK("https%3A%2F%2Fwww.webofscience.com%2Fwos%2Fwoscc%2Ffull-record%2FWOS:000394911200024","View Full Record in Web of Science")</f>
        <v>View Full Record in Web of Science</v>
      </c>
    </row>
    <row r="436" spans="1:72" x14ac:dyDescent="0.15">
      <c r="A436" t="s">
        <v>72</v>
      </c>
      <c r="B436" t="s">
        <v>8474</v>
      </c>
      <c r="C436" t="s">
        <v>74</v>
      </c>
      <c r="D436" t="s">
        <v>74</v>
      </c>
      <c r="E436" t="s">
        <v>74</v>
      </c>
      <c r="F436" t="s">
        <v>8475</v>
      </c>
      <c r="G436" t="s">
        <v>74</v>
      </c>
      <c r="H436" t="s">
        <v>74</v>
      </c>
      <c r="I436" t="s">
        <v>8476</v>
      </c>
      <c r="J436" t="s">
        <v>8477</v>
      </c>
      <c r="K436" t="s">
        <v>74</v>
      </c>
      <c r="L436" t="s">
        <v>74</v>
      </c>
      <c r="M436" t="s">
        <v>78</v>
      </c>
      <c r="N436" t="s">
        <v>79</v>
      </c>
      <c r="O436" t="s">
        <v>74</v>
      </c>
      <c r="P436" t="s">
        <v>74</v>
      </c>
      <c r="Q436" t="s">
        <v>74</v>
      </c>
      <c r="R436" t="s">
        <v>74</v>
      </c>
      <c r="S436" t="s">
        <v>74</v>
      </c>
      <c r="T436" t="s">
        <v>8478</v>
      </c>
      <c r="U436" t="s">
        <v>8479</v>
      </c>
      <c r="V436" t="s">
        <v>8480</v>
      </c>
      <c r="W436" t="s">
        <v>8481</v>
      </c>
      <c r="X436" t="s">
        <v>1343</v>
      </c>
      <c r="Y436" t="s">
        <v>8482</v>
      </c>
      <c r="Z436" t="s">
        <v>1345</v>
      </c>
      <c r="AA436" t="s">
        <v>8483</v>
      </c>
      <c r="AB436" t="s">
        <v>8484</v>
      </c>
      <c r="AC436" t="s">
        <v>8485</v>
      </c>
      <c r="AD436" t="s">
        <v>8486</v>
      </c>
      <c r="AE436" t="s">
        <v>8487</v>
      </c>
      <c r="AF436" t="s">
        <v>74</v>
      </c>
      <c r="AG436">
        <v>59</v>
      </c>
      <c r="AH436">
        <v>14</v>
      </c>
      <c r="AI436">
        <v>15</v>
      </c>
      <c r="AJ436">
        <v>3</v>
      </c>
      <c r="AK436">
        <v>81</v>
      </c>
      <c r="AL436" t="s">
        <v>2377</v>
      </c>
      <c r="AM436" t="s">
        <v>2378</v>
      </c>
      <c r="AN436" t="s">
        <v>2379</v>
      </c>
      <c r="AO436" t="s">
        <v>8488</v>
      </c>
      <c r="AP436" t="s">
        <v>74</v>
      </c>
      <c r="AQ436" t="s">
        <v>74</v>
      </c>
      <c r="AR436" t="s">
        <v>8477</v>
      </c>
      <c r="AS436" t="s">
        <v>8489</v>
      </c>
      <c r="AT436" t="s">
        <v>2136</v>
      </c>
      <c r="AU436">
        <v>2017</v>
      </c>
      <c r="AV436">
        <v>8</v>
      </c>
      <c r="AW436">
        <v>1</v>
      </c>
      <c r="AX436" t="s">
        <v>74</v>
      </c>
      <c r="AY436" t="s">
        <v>74</v>
      </c>
      <c r="AZ436" t="s">
        <v>74</v>
      </c>
      <c r="BA436" t="s">
        <v>74</v>
      </c>
      <c r="BB436" t="s">
        <v>74</v>
      </c>
      <c r="BC436" t="s">
        <v>74</v>
      </c>
      <c r="BD436" t="s">
        <v>8490</v>
      </c>
      <c r="BE436" t="s">
        <v>8491</v>
      </c>
      <c r="BF436" t="str">
        <f>HYPERLINK("http://dx.doi.org/10.1002/ecs2.1666","http://dx.doi.org/10.1002/ecs2.1666")</f>
        <v>http://dx.doi.org/10.1002/ecs2.1666</v>
      </c>
      <c r="BG436" t="s">
        <v>74</v>
      </c>
      <c r="BH436" t="s">
        <v>74</v>
      </c>
      <c r="BI436">
        <v>13</v>
      </c>
      <c r="BJ436" t="s">
        <v>1739</v>
      </c>
      <c r="BK436" t="s">
        <v>101</v>
      </c>
      <c r="BL436" t="s">
        <v>178</v>
      </c>
      <c r="BM436" t="s">
        <v>8492</v>
      </c>
      <c r="BN436" t="s">
        <v>74</v>
      </c>
      <c r="BO436" t="s">
        <v>941</v>
      </c>
      <c r="BP436" t="s">
        <v>74</v>
      </c>
      <c r="BQ436" t="s">
        <v>74</v>
      </c>
      <c r="BR436" t="s">
        <v>105</v>
      </c>
      <c r="BS436" t="s">
        <v>8493</v>
      </c>
      <c r="BT436" t="str">
        <f>HYPERLINK("https%3A%2F%2Fwww.webofscience.com%2Fwos%2Fwoscc%2Ffull-record%2FWOS:000396526300030","View Full Record in Web of Science")</f>
        <v>View Full Record in Web of Science</v>
      </c>
    </row>
    <row r="437" spans="1:72" x14ac:dyDescent="0.15">
      <c r="A437" t="s">
        <v>72</v>
      </c>
      <c r="B437" t="s">
        <v>8494</v>
      </c>
      <c r="C437" t="s">
        <v>74</v>
      </c>
      <c r="D437" t="s">
        <v>74</v>
      </c>
      <c r="E437" t="s">
        <v>74</v>
      </c>
      <c r="F437" t="s">
        <v>8495</v>
      </c>
      <c r="G437" t="s">
        <v>74</v>
      </c>
      <c r="H437" t="s">
        <v>74</v>
      </c>
      <c r="I437" t="s">
        <v>8496</v>
      </c>
      <c r="J437" t="s">
        <v>8497</v>
      </c>
      <c r="K437" t="s">
        <v>74</v>
      </c>
      <c r="L437" t="s">
        <v>74</v>
      </c>
      <c r="M437" t="s">
        <v>78</v>
      </c>
      <c r="N437" t="s">
        <v>79</v>
      </c>
      <c r="O437" t="s">
        <v>74</v>
      </c>
      <c r="P437" t="s">
        <v>74</v>
      </c>
      <c r="Q437" t="s">
        <v>74</v>
      </c>
      <c r="R437" t="s">
        <v>74</v>
      </c>
      <c r="S437" t="s">
        <v>74</v>
      </c>
      <c r="T437" t="s">
        <v>8498</v>
      </c>
      <c r="U437" t="s">
        <v>8499</v>
      </c>
      <c r="V437" t="s">
        <v>8500</v>
      </c>
      <c r="W437" t="s">
        <v>8501</v>
      </c>
      <c r="X437" t="s">
        <v>8502</v>
      </c>
      <c r="Y437" t="s">
        <v>8503</v>
      </c>
      <c r="Z437" t="s">
        <v>8504</v>
      </c>
      <c r="AA437" t="s">
        <v>8505</v>
      </c>
      <c r="AB437" t="s">
        <v>8506</v>
      </c>
      <c r="AC437" t="s">
        <v>8507</v>
      </c>
      <c r="AD437" t="s">
        <v>8507</v>
      </c>
      <c r="AE437" t="s">
        <v>8508</v>
      </c>
      <c r="AF437" t="s">
        <v>74</v>
      </c>
      <c r="AG437">
        <v>148</v>
      </c>
      <c r="AH437">
        <v>24</v>
      </c>
      <c r="AI437">
        <v>28</v>
      </c>
      <c r="AJ437">
        <v>1</v>
      </c>
      <c r="AK437">
        <v>27</v>
      </c>
      <c r="AL437" t="s">
        <v>2103</v>
      </c>
      <c r="AM437" t="s">
        <v>2104</v>
      </c>
      <c r="AN437" t="s">
        <v>2105</v>
      </c>
      <c r="AO437" t="s">
        <v>8509</v>
      </c>
      <c r="AP437" t="s">
        <v>8510</v>
      </c>
      <c r="AQ437" t="s">
        <v>74</v>
      </c>
      <c r="AR437" t="s">
        <v>8511</v>
      </c>
      <c r="AS437" t="s">
        <v>8512</v>
      </c>
      <c r="AT437" t="s">
        <v>74</v>
      </c>
      <c r="AU437">
        <v>2017</v>
      </c>
      <c r="AV437">
        <v>40</v>
      </c>
      <c r="AW437">
        <v>1</v>
      </c>
      <c r="AX437" t="s">
        <v>74</v>
      </c>
      <c r="AY437" t="s">
        <v>74</v>
      </c>
      <c r="AZ437" t="s">
        <v>74</v>
      </c>
      <c r="BA437" t="s">
        <v>74</v>
      </c>
      <c r="BB437">
        <v>59</v>
      </c>
      <c r="BC437">
        <v>84</v>
      </c>
      <c r="BD437" t="s">
        <v>74</v>
      </c>
      <c r="BE437" t="s">
        <v>8513</v>
      </c>
      <c r="BF437" t="str">
        <f>HYPERLINK("http://dx.doi.org/10.1080/1088937X.2016.1274789","http://dx.doi.org/10.1080/1088937X.2016.1274789")</f>
        <v>http://dx.doi.org/10.1080/1088937X.2016.1274789</v>
      </c>
      <c r="BG437" t="s">
        <v>74</v>
      </c>
      <c r="BH437" t="s">
        <v>74</v>
      </c>
      <c r="BI437">
        <v>26</v>
      </c>
      <c r="BJ437" t="s">
        <v>2191</v>
      </c>
      <c r="BK437" t="s">
        <v>2057</v>
      </c>
      <c r="BL437" t="s">
        <v>2192</v>
      </c>
      <c r="BM437" t="s">
        <v>8514</v>
      </c>
      <c r="BN437" t="s">
        <v>74</v>
      </c>
      <c r="BO437" t="s">
        <v>74</v>
      </c>
      <c r="BP437" t="s">
        <v>74</v>
      </c>
      <c r="BQ437" t="s">
        <v>74</v>
      </c>
      <c r="BR437" t="s">
        <v>105</v>
      </c>
      <c r="BS437" t="s">
        <v>8515</v>
      </c>
      <c r="BT437" t="str">
        <f>HYPERLINK("https%3A%2F%2Fwww.webofscience.com%2Fwos%2Fwoscc%2Ffull-record%2FWOS:000396696100004","View Full Record in Web of Science")</f>
        <v>View Full Record in Web of Science</v>
      </c>
    </row>
    <row r="438" spans="1:72" x14ac:dyDescent="0.15">
      <c r="A438" t="s">
        <v>72</v>
      </c>
      <c r="B438" t="s">
        <v>8516</v>
      </c>
      <c r="C438" t="s">
        <v>74</v>
      </c>
      <c r="D438" t="s">
        <v>74</v>
      </c>
      <c r="E438" t="s">
        <v>74</v>
      </c>
      <c r="F438" t="s">
        <v>8517</v>
      </c>
      <c r="G438" t="s">
        <v>74</v>
      </c>
      <c r="H438" t="s">
        <v>74</v>
      </c>
      <c r="I438" t="s">
        <v>8518</v>
      </c>
      <c r="J438" t="s">
        <v>8519</v>
      </c>
      <c r="K438" t="s">
        <v>74</v>
      </c>
      <c r="L438" t="s">
        <v>74</v>
      </c>
      <c r="M438" t="s">
        <v>78</v>
      </c>
      <c r="N438" t="s">
        <v>79</v>
      </c>
      <c r="O438" t="s">
        <v>74</v>
      </c>
      <c r="P438" t="s">
        <v>74</v>
      </c>
      <c r="Q438" t="s">
        <v>74</v>
      </c>
      <c r="R438" t="s">
        <v>74</v>
      </c>
      <c r="S438" t="s">
        <v>74</v>
      </c>
      <c r="T438" t="s">
        <v>8520</v>
      </c>
      <c r="U438" t="s">
        <v>8521</v>
      </c>
      <c r="V438" t="s">
        <v>8522</v>
      </c>
      <c r="W438" t="s">
        <v>8523</v>
      </c>
      <c r="X438" t="s">
        <v>8524</v>
      </c>
      <c r="Y438" t="s">
        <v>8525</v>
      </c>
      <c r="Z438" t="s">
        <v>8526</v>
      </c>
      <c r="AA438" t="s">
        <v>8527</v>
      </c>
      <c r="AB438" t="s">
        <v>8528</v>
      </c>
      <c r="AC438" t="s">
        <v>8529</v>
      </c>
      <c r="AD438" t="s">
        <v>8530</v>
      </c>
      <c r="AE438" t="s">
        <v>8531</v>
      </c>
      <c r="AF438" t="s">
        <v>74</v>
      </c>
      <c r="AG438">
        <v>54</v>
      </c>
      <c r="AH438">
        <v>65</v>
      </c>
      <c r="AI438">
        <v>69</v>
      </c>
      <c r="AJ438">
        <v>1</v>
      </c>
      <c r="AK438">
        <v>27</v>
      </c>
      <c r="AL438" t="s">
        <v>8532</v>
      </c>
      <c r="AM438" t="s">
        <v>8533</v>
      </c>
      <c r="AN438" t="s">
        <v>8534</v>
      </c>
      <c r="AO438" t="s">
        <v>74</v>
      </c>
      <c r="AP438" t="s">
        <v>8535</v>
      </c>
      <c r="AQ438" t="s">
        <v>74</v>
      </c>
      <c r="AR438" t="s">
        <v>8536</v>
      </c>
      <c r="AS438" t="s">
        <v>8537</v>
      </c>
      <c r="AT438" t="s">
        <v>2136</v>
      </c>
      <c r="AU438">
        <v>2017</v>
      </c>
      <c r="AV438">
        <v>9</v>
      </c>
      <c r="AW438">
        <v>1</v>
      </c>
      <c r="AX438" t="s">
        <v>74</v>
      </c>
      <c r="AY438" t="s">
        <v>74</v>
      </c>
      <c r="AZ438" t="s">
        <v>74</v>
      </c>
      <c r="BA438" t="s">
        <v>74</v>
      </c>
      <c r="BB438" t="s">
        <v>74</v>
      </c>
      <c r="BC438" t="s">
        <v>74</v>
      </c>
      <c r="BD438">
        <v>36</v>
      </c>
      <c r="BE438" t="s">
        <v>8538</v>
      </c>
      <c r="BF438" t="str">
        <f>HYPERLINK("http://dx.doi.org/10.3390/rs9010036","http://dx.doi.org/10.3390/rs9010036")</f>
        <v>http://dx.doi.org/10.3390/rs9010036</v>
      </c>
      <c r="BG438" t="s">
        <v>74</v>
      </c>
      <c r="BH438" t="s">
        <v>74</v>
      </c>
      <c r="BI438">
        <v>20</v>
      </c>
      <c r="BJ438" t="s">
        <v>8539</v>
      </c>
      <c r="BK438" t="s">
        <v>101</v>
      </c>
      <c r="BL438" t="s">
        <v>8540</v>
      </c>
      <c r="BM438" t="s">
        <v>8541</v>
      </c>
      <c r="BN438" t="s">
        <v>74</v>
      </c>
      <c r="BO438" t="s">
        <v>8542</v>
      </c>
      <c r="BP438" t="s">
        <v>74</v>
      </c>
      <c r="BQ438" t="s">
        <v>74</v>
      </c>
      <c r="BR438" t="s">
        <v>105</v>
      </c>
      <c r="BS438" t="s">
        <v>8543</v>
      </c>
      <c r="BT438" t="str">
        <f>HYPERLINK("https%3A%2F%2Fwww.webofscience.com%2Fwos%2Fwoscc%2Ffull-record%2FWOS:000395492600036","View Full Record in Web of Science")</f>
        <v>View Full Record in Web of Science</v>
      </c>
    </row>
    <row r="439" spans="1:72" x14ac:dyDescent="0.15">
      <c r="A439" t="s">
        <v>72</v>
      </c>
      <c r="B439" t="s">
        <v>8544</v>
      </c>
      <c r="C439" t="s">
        <v>74</v>
      </c>
      <c r="D439" t="s">
        <v>74</v>
      </c>
      <c r="E439" t="s">
        <v>74</v>
      </c>
      <c r="F439" t="s">
        <v>8545</v>
      </c>
      <c r="G439" t="s">
        <v>74</v>
      </c>
      <c r="H439" t="s">
        <v>74</v>
      </c>
      <c r="I439" t="s">
        <v>8546</v>
      </c>
      <c r="J439" t="s">
        <v>8547</v>
      </c>
      <c r="K439" t="s">
        <v>74</v>
      </c>
      <c r="L439" t="s">
        <v>74</v>
      </c>
      <c r="M439" t="s">
        <v>78</v>
      </c>
      <c r="N439" t="s">
        <v>79</v>
      </c>
      <c r="O439" t="s">
        <v>74</v>
      </c>
      <c r="P439" t="s">
        <v>74</v>
      </c>
      <c r="Q439" t="s">
        <v>74</v>
      </c>
      <c r="R439" t="s">
        <v>74</v>
      </c>
      <c r="S439" t="s">
        <v>74</v>
      </c>
      <c r="T439" t="s">
        <v>8548</v>
      </c>
      <c r="U439" t="s">
        <v>8549</v>
      </c>
      <c r="V439" t="s">
        <v>8550</v>
      </c>
      <c r="W439" t="s">
        <v>8551</v>
      </c>
      <c r="X439" t="s">
        <v>8552</v>
      </c>
      <c r="Y439" t="s">
        <v>8553</v>
      </c>
      <c r="Z439" t="s">
        <v>7773</v>
      </c>
      <c r="AA439" t="s">
        <v>74</v>
      </c>
      <c r="AB439" t="s">
        <v>74</v>
      </c>
      <c r="AC439" t="s">
        <v>8554</v>
      </c>
      <c r="AD439" t="s">
        <v>8555</v>
      </c>
      <c r="AE439" t="s">
        <v>8556</v>
      </c>
      <c r="AF439" t="s">
        <v>74</v>
      </c>
      <c r="AG439">
        <v>42</v>
      </c>
      <c r="AH439">
        <v>0</v>
      </c>
      <c r="AI439">
        <v>2</v>
      </c>
      <c r="AJ439">
        <v>2</v>
      </c>
      <c r="AK439">
        <v>30</v>
      </c>
      <c r="AL439" t="s">
        <v>5554</v>
      </c>
      <c r="AM439" t="s">
        <v>5555</v>
      </c>
      <c r="AN439" t="s">
        <v>5556</v>
      </c>
      <c r="AO439" t="s">
        <v>8557</v>
      </c>
      <c r="AP439" t="s">
        <v>8558</v>
      </c>
      <c r="AQ439" t="s">
        <v>74</v>
      </c>
      <c r="AR439" t="s">
        <v>8559</v>
      </c>
      <c r="AS439" t="s">
        <v>8560</v>
      </c>
      <c r="AT439" t="s">
        <v>74</v>
      </c>
      <c r="AU439">
        <v>2017</v>
      </c>
      <c r="AV439">
        <v>71</v>
      </c>
      <c r="AW439">
        <v>2</v>
      </c>
      <c r="AX439" t="s">
        <v>74</v>
      </c>
      <c r="AY439" t="s">
        <v>74</v>
      </c>
      <c r="AZ439" t="s">
        <v>74</v>
      </c>
      <c r="BA439" t="s">
        <v>74</v>
      </c>
      <c r="BB439">
        <v>155</v>
      </c>
      <c r="BC439">
        <v>169</v>
      </c>
      <c r="BD439" t="s">
        <v>74</v>
      </c>
      <c r="BE439" t="s">
        <v>8561</v>
      </c>
      <c r="BF439" t="str">
        <f>HYPERLINK("http://dx.doi.org/10.3354/cr01436","http://dx.doi.org/10.3354/cr01436")</f>
        <v>http://dx.doi.org/10.3354/cr01436</v>
      </c>
      <c r="BG439" t="s">
        <v>74</v>
      </c>
      <c r="BH439" t="s">
        <v>74</v>
      </c>
      <c r="BI439">
        <v>15</v>
      </c>
      <c r="BJ439" t="s">
        <v>981</v>
      </c>
      <c r="BK439" t="s">
        <v>101</v>
      </c>
      <c r="BL439" t="s">
        <v>982</v>
      </c>
      <c r="BM439" t="s">
        <v>8562</v>
      </c>
      <c r="BN439" t="s">
        <v>74</v>
      </c>
      <c r="BO439" t="s">
        <v>1223</v>
      </c>
      <c r="BP439" t="s">
        <v>74</v>
      </c>
      <c r="BQ439" t="s">
        <v>74</v>
      </c>
      <c r="BR439" t="s">
        <v>105</v>
      </c>
      <c r="BS439" t="s">
        <v>8563</v>
      </c>
      <c r="BT439" t="str">
        <f>HYPERLINK("https%3A%2F%2Fwww.webofscience.com%2Fwos%2Fwoscc%2Ffull-record%2FWOS:000394182500005","View Full Record in Web of Science")</f>
        <v>View Full Record in Web of Science</v>
      </c>
    </row>
    <row r="440" spans="1:72" x14ac:dyDescent="0.15">
      <c r="A440" t="s">
        <v>72</v>
      </c>
      <c r="B440" t="s">
        <v>8564</v>
      </c>
      <c r="C440" t="s">
        <v>74</v>
      </c>
      <c r="D440" t="s">
        <v>74</v>
      </c>
      <c r="E440" t="s">
        <v>74</v>
      </c>
      <c r="F440" t="s">
        <v>8565</v>
      </c>
      <c r="G440" t="s">
        <v>74</v>
      </c>
      <c r="H440" t="s">
        <v>74</v>
      </c>
      <c r="I440" t="s">
        <v>8566</v>
      </c>
      <c r="J440" t="s">
        <v>8567</v>
      </c>
      <c r="K440" t="s">
        <v>74</v>
      </c>
      <c r="L440" t="s">
        <v>74</v>
      </c>
      <c r="M440" t="s">
        <v>78</v>
      </c>
      <c r="N440" t="s">
        <v>1980</v>
      </c>
      <c r="O440" t="s">
        <v>8568</v>
      </c>
      <c r="P440" t="s">
        <v>8569</v>
      </c>
      <c r="Q440" t="s">
        <v>8570</v>
      </c>
      <c r="R440" t="s">
        <v>74</v>
      </c>
      <c r="S440" t="s">
        <v>74</v>
      </c>
      <c r="T440" t="s">
        <v>8571</v>
      </c>
      <c r="U440" t="s">
        <v>8572</v>
      </c>
      <c r="V440" t="s">
        <v>8573</v>
      </c>
      <c r="W440" t="s">
        <v>8574</v>
      </c>
      <c r="X440" t="s">
        <v>8575</v>
      </c>
      <c r="Y440" t="s">
        <v>8576</v>
      </c>
      <c r="Z440" t="s">
        <v>8577</v>
      </c>
      <c r="AA440" t="s">
        <v>74</v>
      </c>
      <c r="AB440" t="s">
        <v>8578</v>
      </c>
      <c r="AC440" t="s">
        <v>8579</v>
      </c>
      <c r="AD440" t="s">
        <v>8580</v>
      </c>
      <c r="AE440" t="s">
        <v>8581</v>
      </c>
      <c r="AF440" t="s">
        <v>74</v>
      </c>
      <c r="AG440">
        <v>38</v>
      </c>
      <c r="AH440">
        <v>5</v>
      </c>
      <c r="AI440">
        <v>5</v>
      </c>
      <c r="AJ440">
        <v>0</v>
      </c>
      <c r="AK440">
        <v>5</v>
      </c>
      <c r="AL440" t="s">
        <v>7877</v>
      </c>
      <c r="AM440" t="s">
        <v>7878</v>
      </c>
      <c r="AN440" t="s">
        <v>7879</v>
      </c>
      <c r="AO440" t="s">
        <v>8582</v>
      </c>
      <c r="AP440" t="s">
        <v>8583</v>
      </c>
      <c r="AQ440" t="s">
        <v>74</v>
      </c>
      <c r="AR440" t="s">
        <v>8584</v>
      </c>
      <c r="AS440" t="s">
        <v>8585</v>
      </c>
      <c r="AT440" t="s">
        <v>2136</v>
      </c>
      <c r="AU440">
        <v>2017</v>
      </c>
      <c r="AV440">
        <v>64</v>
      </c>
      <c r="AW440">
        <v>1</v>
      </c>
      <c r="AX440">
        <v>1</v>
      </c>
      <c r="AY440" t="s">
        <v>74</v>
      </c>
      <c r="AZ440" t="s">
        <v>74</v>
      </c>
      <c r="BA440" t="s">
        <v>74</v>
      </c>
      <c r="BB440">
        <v>622</v>
      </c>
      <c r="BC440">
        <v>629</v>
      </c>
      <c r="BD440" t="s">
        <v>74</v>
      </c>
      <c r="BE440" t="s">
        <v>8586</v>
      </c>
      <c r="BF440" t="str">
        <f>HYPERLINK("http://dx.doi.org/10.1109/TNS.2016.2614540","http://dx.doi.org/10.1109/TNS.2016.2614540")</f>
        <v>http://dx.doi.org/10.1109/TNS.2016.2614540</v>
      </c>
      <c r="BG440" t="s">
        <v>74</v>
      </c>
      <c r="BH440" t="s">
        <v>74</v>
      </c>
      <c r="BI440">
        <v>8</v>
      </c>
      <c r="BJ440" t="s">
        <v>8587</v>
      </c>
      <c r="BK440" t="s">
        <v>2004</v>
      </c>
      <c r="BL440" t="s">
        <v>8588</v>
      </c>
      <c r="BM440" t="s">
        <v>8589</v>
      </c>
      <c r="BN440" t="s">
        <v>74</v>
      </c>
      <c r="BO440" t="s">
        <v>506</v>
      </c>
      <c r="BP440" t="s">
        <v>74</v>
      </c>
      <c r="BQ440" t="s">
        <v>74</v>
      </c>
      <c r="BR440" t="s">
        <v>105</v>
      </c>
      <c r="BS440" t="s">
        <v>8590</v>
      </c>
      <c r="BT440" t="str">
        <f>HYPERLINK("https%3A%2F%2Fwww.webofscience.com%2Fwos%2Fwoscc%2Ffull-record%2FWOS:000396404500087","View Full Record in Web of Science")</f>
        <v>View Full Record in Web of Science</v>
      </c>
    </row>
    <row r="441" spans="1:72" x14ac:dyDescent="0.15">
      <c r="A441" t="s">
        <v>72</v>
      </c>
      <c r="B441" t="s">
        <v>8591</v>
      </c>
      <c r="C441" t="s">
        <v>74</v>
      </c>
      <c r="D441" t="s">
        <v>74</v>
      </c>
      <c r="E441" t="s">
        <v>74</v>
      </c>
      <c r="F441" t="s">
        <v>8592</v>
      </c>
      <c r="G441" t="s">
        <v>74</v>
      </c>
      <c r="H441" t="s">
        <v>74</v>
      </c>
      <c r="I441" t="s">
        <v>8593</v>
      </c>
      <c r="J441" t="s">
        <v>8594</v>
      </c>
      <c r="K441" t="s">
        <v>74</v>
      </c>
      <c r="L441" t="s">
        <v>74</v>
      </c>
      <c r="M441" t="s">
        <v>78</v>
      </c>
      <c r="N441" t="s">
        <v>79</v>
      </c>
      <c r="O441" t="s">
        <v>74</v>
      </c>
      <c r="P441" t="s">
        <v>74</v>
      </c>
      <c r="Q441" t="s">
        <v>74</v>
      </c>
      <c r="R441" t="s">
        <v>74</v>
      </c>
      <c r="S441" t="s">
        <v>74</v>
      </c>
      <c r="T441" t="s">
        <v>8595</v>
      </c>
      <c r="U441" t="s">
        <v>8596</v>
      </c>
      <c r="V441" t="s">
        <v>8597</v>
      </c>
      <c r="W441" t="s">
        <v>8598</v>
      </c>
      <c r="X441" t="s">
        <v>3590</v>
      </c>
      <c r="Y441" t="s">
        <v>8599</v>
      </c>
      <c r="Z441" t="s">
        <v>8600</v>
      </c>
      <c r="AA441" t="s">
        <v>8601</v>
      </c>
      <c r="AB441" t="s">
        <v>8602</v>
      </c>
      <c r="AC441" t="s">
        <v>8603</v>
      </c>
      <c r="AD441" t="s">
        <v>8604</v>
      </c>
      <c r="AE441" t="s">
        <v>8605</v>
      </c>
      <c r="AF441" t="s">
        <v>74</v>
      </c>
      <c r="AG441">
        <v>97</v>
      </c>
      <c r="AH441">
        <v>8</v>
      </c>
      <c r="AI441">
        <v>10</v>
      </c>
      <c r="AJ441">
        <v>0</v>
      </c>
      <c r="AK441">
        <v>19</v>
      </c>
      <c r="AL441" t="s">
        <v>8606</v>
      </c>
      <c r="AM441" t="s">
        <v>187</v>
      </c>
      <c r="AN441" t="s">
        <v>8607</v>
      </c>
      <c r="AO441" t="s">
        <v>8608</v>
      </c>
      <c r="AP441" t="s">
        <v>8609</v>
      </c>
      <c r="AQ441" t="s">
        <v>74</v>
      </c>
      <c r="AR441" t="s">
        <v>8610</v>
      </c>
      <c r="AS441" t="s">
        <v>8611</v>
      </c>
      <c r="AT441" t="s">
        <v>2136</v>
      </c>
      <c r="AU441">
        <v>2017</v>
      </c>
      <c r="AV441">
        <v>71</v>
      </c>
      <c r="AW441" t="s">
        <v>74</v>
      </c>
      <c r="AX441" t="s">
        <v>74</v>
      </c>
      <c r="AY441" t="s">
        <v>74</v>
      </c>
      <c r="AZ441" t="s">
        <v>74</v>
      </c>
      <c r="BA441" t="s">
        <v>74</v>
      </c>
      <c r="BB441">
        <v>104</v>
      </c>
      <c r="BC441">
        <v>115</v>
      </c>
      <c r="BD441" t="s">
        <v>74</v>
      </c>
      <c r="BE441" t="s">
        <v>8612</v>
      </c>
      <c r="BF441" t="str">
        <f>HYPERLINK("http://dx.doi.org/10.1016/j.jmgm.2016.11.004","http://dx.doi.org/10.1016/j.jmgm.2016.11.004")</f>
        <v>http://dx.doi.org/10.1016/j.jmgm.2016.11.004</v>
      </c>
      <c r="BG441" t="s">
        <v>74</v>
      </c>
      <c r="BH441" t="s">
        <v>74</v>
      </c>
      <c r="BI441">
        <v>12</v>
      </c>
      <c r="BJ441" t="s">
        <v>8613</v>
      </c>
      <c r="BK441" t="s">
        <v>101</v>
      </c>
      <c r="BL441" t="s">
        <v>8614</v>
      </c>
      <c r="BM441" t="s">
        <v>8615</v>
      </c>
      <c r="BN441">
        <v>27894019</v>
      </c>
      <c r="BO441" t="s">
        <v>301</v>
      </c>
      <c r="BP441" t="s">
        <v>74</v>
      </c>
      <c r="BQ441" t="s">
        <v>74</v>
      </c>
      <c r="BR441" t="s">
        <v>105</v>
      </c>
      <c r="BS441" t="s">
        <v>8616</v>
      </c>
      <c r="BT441" t="str">
        <f>HYPERLINK("https%3A%2F%2Fwww.webofscience.com%2Fwos%2Fwoscc%2Ffull-record%2FWOS:000394062800011","View Full Record in Web of Science")</f>
        <v>View Full Record in Web of Science</v>
      </c>
    </row>
    <row r="442" spans="1:72" x14ac:dyDescent="0.15">
      <c r="A442" t="s">
        <v>72</v>
      </c>
      <c r="B442" t="s">
        <v>8617</v>
      </c>
      <c r="C442" t="s">
        <v>74</v>
      </c>
      <c r="D442" t="s">
        <v>74</v>
      </c>
      <c r="E442" t="s">
        <v>74</v>
      </c>
      <c r="F442" t="s">
        <v>8618</v>
      </c>
      <c r="G442" t="s">
        <v>74</v>
      </c>
      <c r="H442" t="s">
        <v>74</v>
      </c>
      <c r="I442" t="s">
        <v>8619</v>
      </c>
      <c r="J442" t="s">
        <v>8620</v>
      </c>
      <c r="K442" t="s">
        <v>74</v>
      </c>
      <c r="L442" t="s">
        <v>74</v>
      </c>
      <c r="M442" t="s">
        <v>78</v>
      </c>
      <c r="N442" t="s">
        <v>2034</v>
      </c>
      <c r="O442" t="s">
        <v>74</v>
      </c>
      <c r="P442" t="s">
        <v>74</v>
      </c>
      <c r="Q442" t="s">
        <v>74</v>
      </c>
      <c r="R442" t="s">
        <v>74</v>
      </c>
      <c r="S442" t="s">
        <v>74</v>
      </c>
      <c r="T442" t="s">
        <v>8621</v>
      </c>
      <c r="U442" t="s">
        <v>8622</v>
      </c>
      <c r="V442" t="s">
        <v>8623</v>
      </c>
      <c r="W442" t="s">
        <v>8624</v>
      </c>
      <c r="X442" t="s">
        <v>8625</v>
      </c>
      <c r="Y442" t="s">
        <v>8626</v>
      </c>
      <c r="Z442" t="s">
        <v>8627</v>
      </c>
      <c r="AA442" t="s">
        <v>8628</v>
      </c>
      <c r="AB442" t="s">
        <v>74</v>
      </c>
      <c r="AC442" t="s">
        <v>8629</v>
      </c>
      <c r="AD442" t="s">
        <v>5364</v>
      </c>
      <c r="AE442" t="s">
        <v>8630</v>
      </c>
      <c r="AF442" t="s">
        <v>74</v>
      </c>
      <c r="AG442">
        <v>134</v>
      </c>
      <c r="AH442">
        <v>9</v>
      </c>
      <c r="AI442">
        <v>13</v>
      </c>
      <c r="AJ442">
        <v>0</v>
      </c>
      <c r="AK442">
        <v>33</v>
      </c>
      <c r="AL442" t="s">
        <v>7449</v>
      </c>
      <c r="AM442" t="s">
        <v>187</v>
      </c>
      <c r="AN442" t="s">
        <v>7450</v>
      </c>
      <c r="AO442" t="s">
        <v>8631</v>
      </c>
      <c r="AP442" t="s">
        <v>8632</v>
      </c>
      <c r="AQ442" t="s">
        <v>74</v>
      </c>
      <c r="AR442" t="s">
        <v>8633</v>
      </c>
      <c r="AS442" t="s">
        <v>8634</v>
      </c>
      <c r="AT442" t="s">
        <v>2136</v>
      </c>
      <c r="AU442">
        <v>2017</v>
      </c>
      <c r="AV442">
        <v>53</v>
      </c>
      <c r="AW442">
        <v>1</v>
      </c>
      <c r="AX442" t="s">
        <v>74</v>
      </c>
      <c r="AY442" t="s">
        <v>74</v>
      </c>
      <c r="AZ442" t="s">
        <v>74</v>
      </c>
      <c r="BA442" t="s">
        <v>74</v>
      </c>
      <c r="BB442">
        <v>21</v>
      </c>
      <c r="BC442">
        <v>38</v>
      </c>
      <c r="BD442" t="s">
        <v>74</v>
      </c>
      <c r="BE442" t="s">
        <v>8635</v>
      </c>
      <c r="BF442" t="str">
        <f>HYPERLINK("http://dx.doi.org/10.1134/S1022795417010069","http://dx.doi.org/10.1134/S1022795417010069")</f>
        <v>http://dx.doi.org/10.1134/S1022795417010069</v>
      </c>
      <c r="BG442" t="s">
        <v>74</v>
      </c>
      <c r="BH442" t="s">
        <v>74</v>
      </c>
      <c r="BI442">
        <v>18</v>
      </c>
      <c r="BJ442" t="s">
        <v>4921</v>
      </c>
      <c r="BK442" t="s">
        <v>101</v>
      </c>
      <c r="BL442" t="s">
        <v>4921</v>
      </c>
      <c r="BM442" t="s">
        <v>8636</v>
      </c>
      <c r="BN442" t="s">
        <v>74</v>
      </c>
      <c r="BO442" t="s">
        <v>74</v>
      </c>
      <c r="BP442" t="s">
        <v>74</v>
      </c>
      <c r="BQ442" t="s">
        <v>74</v>
      </c>
      <c r="BR442" t="s">
        <v>105</v>
      </c>
      <c r="BS442" t="s">
        <v>8637</v>
      </c>
      <c r="BT442" t="str">
        <f>HYPERLINK("https%3A%2F%2Fwww.webofscience.com%2Fwos%2Fwoscc%2Ffull-record%2FWOS:000394159700003","View Full Record in Web of Science")</f>
        <v>View Full Record in Web of Science</v>
      </c>
    </row>
    <row r="443" spans="1:72" x14ac:dyDescent="0.15">
      <c r="A443" t="s">
        <v>72</v>
      </c>
      <c r="B443" t="s">
        <v>8638</v>
      </c>
      <c r="C443" t="s">
        <v>74</v>
      </c>
      <c r="D443" t="s">
        <v>74</v>
      </c>
      <c r="E443" t="s">
        <v>74</v>
      </c>
      <c r="F443" t="s">
        <v>8639</v>
      </c>
      <c r="G443" t="s">
        <v>74</v>
      </c>
      <c r="H443" t="s">
        <v>74</v>
      </c>
      <c r="I443" t="s">
        <v>8640</v>
      </c>
      <c r="J443" t="s">
        <v>8641</v>
      </c>
      <c r="K443" t="s">
        <v>74</v>
      </c>
      <c r="L443" t="s">
        <v>74</v>
      </c>
      <c r="M443" t="s">
        <v>78</v>
      </c>
      <c r="N443" t="s">
        <v>79</v>
      </c>
      <c r="O443" t="s">
        <v>74</v>
      </c>
      <c r="P443" t="s">
        <v>74</v>
      </c>
      <c r="Q443" t="s">
        <v>74</v>
      </c>
      <c r="R443" t="s">
        <v>74</v>
      </c>
      <c r="S443" t="s">
        <v>74</v>
      </c>
      <c r="T443" t="s">
        <v>74</v>
      </c>
      <c r="U443" t="s">
        <v>8642</v>
      </c>
      <c r="V443" t="s">
        <v>8643</v>
      </c>
      <c r="W443" t="s">
        <v>8644</v>
      </c>
      <c r="X443" t="s">
        <v>8645</v>
      </c>
      <c r="Y443" t="s">
        <v>8646</v>
      </c>
      <c r="Z443" t="s">
        <v>8647</v>
      </c>
      <c r="AA443" t="s">
        <v>8648</v>
      </c>
      <c r="AB443" t="s">
        <v>8649</v>
      </c>
      <c r="AC443" t="s">
        <v>8650</v>
      </c>
      <c r="AD443" t="s">
        <v>8651</v>
      </c>
      <c r="AE443" t="s">
        <v>8652</v>
      </c>
      <c r="AF443" t="s">
        <v>74</v>
      </c>
      <c r="AG443">
        <v>97</v>
      </c>
      <c r="AH443">
        <v>8</v>
      </c>
      <c r="AI443">
        <v>9</v>
      </c>
      <c r="AJ443">
        <v>0</v>
      </c>
      <c r="AK443">
        <v>18</v>
      </c>
      <c r="AL443" t="s">
        <v>2377</v>
      </c>
      <c r="AM443" t="s">
        <v>2378</v>
      </c>
      <c r="AN443" t="s">
        <v>2379</v>
      </c>
      <c r="AO443" t="s">
        <v>8653</v>
      </c>
      <c r="AP443" t="s">
        <v>8654</v>
      </c>
      <c r="AQ443" t="s">
        <v>74</v>
      </c>
      <c r="AR443" t="s">
        <v>8655</v>
      </c>
      <c r="AS443" t="s">
        <v>8656</v>
      </c>
      <c r="AT443" t="s">
        <v>74</v>
      </c>
      <c r="AU443">
        <v>2017</v>
      </c>
      <c r="AV443">
        <v>29</v>
      </c>
      <c r="AW443" t="s">
        <v>98</v>
      </c>
      <c r="AX443" t="s">
        <v>74</v>
      </c>
      <c r="AY443" t="s">
        <v>8657</v>
      </c>
      <c r="AZ443" t="s">
        <v>74</v>
      </c>
      <c r="BA443" t="s">
        <v>74</v>
      </c>
      <c r="BB443">
        <v>255</v>
      </c>
      <c r="BC443">
        <v>276</v>
      </c>
      <c r="BD443" t="s">
        <v>74</v>
      </c>
      <c r="BE443" t="s">
        <v>8658</v>
      </c>
      <c r="BF443" t="str">
        <f>HYPERLINK("http://dx.doi.org/10.1111/bre.12148","http://dx.doi.org/10.1111/bre.12148")</f>
        <v>http://dx.doi.org/10.1111/bre.12148</v>
      </c>
      <c r="BG443" t="s">
        <v>74</v>
      </c>
      <c r="BH443" t="s">
        <v>74</v>
      </c>
      <c r="BI443">
        <v>22</v>
      </c>
      <c r="BJ443" t="s">
        <v>669</v>
      </c>
      <c r="BK443" t="s">
        <v>101</v>
      </c>
      <c r="BL443" t="s">
        <v>670</v>
      </c>
      <c r="BM443" t="s">
        <v>8659</v>
      </c>
      <c r="BN443" t="s">
        <v>74</v>
      </c>
      <c r="BO443" t="s">
        <v>378</v>
      </c>
      <c r="BP443" t="s">
        <v>74</v>
      </c>
      <c r="BQ443" t="s">
        <v>74</v>
      </c>
      <c r="BR443" t="s">
        <v>105</v>
      </c>
      <c r="BS443" t="s">
        <v>8660</v>
      </c>
      <c r="BT443" t="str">
        <f>HYPERLINK("https%3A%2F%2Fwww.webofscience.com%2Fwos%2Fwoscc%2Ffull-record%2FWOS:000393612500013","View Full Record in Web of Science")</f>
        <v>View Full Record in Web of Science</v>
      </c>
    </row>
    <row r="444" spans="1:72" x14ac:dyDescent="0.15">
      <c r="A444" t="s">
        <v>72</v>
      </c>
      <c r="B444" t="s">
        <v>8661</v>
      </c>
      <c r="C444" t="s">
        <v>74</v>
      </c>
      <c r="D444" t="s">
        <v>74</v>
      </c>
      <c r="E444" t="s">
        <v>74</v>
      </c>
      <c r="F444" t="s">
        <v>8662</v>
      </c>
      <c r="G444" t="s">
        <v>74</v>
      </c>
      <c r="H444" t="s">
        <v>74</v>
      </c>
      <c r="I444" t="s">
        <v>8663</v>
      </c>
      <c r="J444" t="s">
        <v>8664</v>
      </c>
      <c r="K444" t="s">
        <v>74</v>
      </c>
      <c r="L444" t="s">
        <v>74</v>
      </c>
      <c r="M444" t="s">
        <v>78</v>
      </c>
      <c r="N444" t="s">
        <v>1980</v>
      </c>
      <c r="O444" t="s">
        <v>8665</v>
      </c>
      <c r="P444" t="s">
        <v>8666</v>
      </c>
      <c r="Q444" t="s">
        <v>8667</v>
      </c>
      <c r="R444" t="s">
        <v>74</v>
      </c>
      <c r="S444" t="s">
        <v>74</v>
      </c>
      <c r="T444" t="s">
        <v>8668</v>
      </c>
      <c r="U444" t="s">
        <v>8669</v>
      </c>
      <c r="V444" t="s">
        <v>8670</v>
      </c>
      <c r="W444" t="s">
        <v>8671</v>
      </c>
      <c r="X444" t="s">
        <v>8672</v>
      </c>
      <c r="Y444" t="s">
        <v>8673</v>
      </c>
      <c r="Z444" t="s">
        <v>8674</v>
      </c>
      <c r="AA444" t="s">
        <v>8675</v>
      </c>
      <c r="AB444" t="s">
        <v>8676</v>
      </c>
      <c r="AC444" t="s">
        <v>8677</v>
      </c>
      <c r="AD444" t="s">
        <v>8678</v>
      </c>
      <c r="AE444" t="s">
        <v>8679</v>
      </c>
      <c r="AF444" t="s">
        <v>74</v>
      </c>
      <c r="AG444">
        <v>59</v>
      </c>
      <c r="AH444">
        <v>17</v>
      </c>
      <c r="AI444">
        <v>17</v>
      </c>
      <c r="AJ444">
        <v>1</v>
      </c>
      <c r="AK444">
        <v>41</v>
      </c>
      <c r="AL444" t="s">
        <v>3841</v>
      </c>
      <c r="AM444" t="s">
        <v>3261</v>
      </c>
      <c r="AN444" t="s">
        <v>8680</v>
      </c>
      <c r="AO444" t="s">
        <v>8681</v>
      </c>
      <c r="AP444" t="s">
        <v>8682</v>
      </c>
      <c r="AQ444" t="s">
        <v>74</v>
      </c>
      <c r="AR444" t="s">
        <v>8664</v>
      </c>
      <c r="AS444" t="s">
        <v>8683</v>
      </c>
      <c r="AT444" t="s">
        <v>2136</v>
      </c>
      <c r="AU444">
        <v>2017</v>
      </c>
      <c r="AV444">
        <v>21</v>
      </c>
      <c r="AW444">
        <v>1</v>
      </c>
      <c r="AX444" t="s">
        <v>74</v>
      </c>
      <c r="AY444" t="s">
        <v>74</v>
      </c>
      <c r="AZ444" t="s">
        <v>74</v>
      </c>
      <c r="BA444" t="s">
        <v>74</v>
      </c>
      <c r="BB444">
        <v>187</v>
      </c>
      <c r="BC444">
        <v>200</v>
      </c>
      <c r="BD444" t="s">
        <v>74</v>
      </c>
      <c r="BE444" t="s">
        <v>8684</v>
      </c>
      <c r="BF444" t="str">
        <f>HYPERLINK("http://dx.doi.org/10.1007/s00792-016-0894-y","http://dx.doi.org/10.1007/s00792-016-0894-y")</f>
        <v>http://dx.doi.org/10.1007/s00792-016-0894-y</v>
      </c>
      <c r="BG444" t="s">
        <v>74</v>
      </c>
      <c r="BH444" t="s">
        <v>74</v>
      </c>
      <c r="BI444">
        <v>14</v>
      </c>
      <c r="BJ444" t="s">
        <v>8685</v>
      </c>
      <c r="BK444" t="s">
        <v>2004</v>
      </c>
      <c r="BL444" t="s">
        <v>8685</v>
      </c>
      <c r="BM444" t="s">
        <v>8686</v>
      </c>
      <c r="BN444">
        <v>27888351</v>
      </c>
      <c r="BO444" t="s">
        <v>74</v>
      </c>
      <c r="BP444" t="s">
        <v>74</v>
      </c>
      <c r="BQ444" t="s">
        <v>74</v>
      </c>
      <c r="BR444" t="s">
        <v>105</v>
      </c>
      <c r="BS444" t="s">
        <v>8687</v>
      </c>
      <c r="BT444" t="str">
        <f>HYPERLINK("https%3A%2F%2Fwww.webofscience.com%2Fwos%2Fwoscc%2Ffull-record%2FWOS:000393644900017","View Full Record in Web of Science")</f>
        <v>View Full Record in Web of Science</v>
      </c>
    </row>
    <row r="445" spans="1:72" x14ac:dyDescent="0.15">
      <c r="A445" t="s">
        <v>72</v>
      </c>
      <c r="B445" t="s">
        <v>8688</v>
      </c>
      <c r="C445" t="s">
        <v>74</v>
      </c>
      <c r="D445" t="s">
        <v>74</v>
      </c>
      <c r="E445" t="s">
        <v>74</v>
      </c>
      <c r="F445" t="s">
        <v>8689</v>
      </c>
      <c r="G445" t="s">
        <v>74</v>
      </c>
      <c r="H445" t="s">
        <v>74</v>
      </c>
      <c r="I445" t="s">
        <v>8690</v>
      </c>
      <c r="J445" t="s">
        <v>649</v>
      </c>
      <c r="K445" t="s">
        <v>74</v>
      </c>
      <c r="L445" t="s">
        <v>74</v>
      </c>
      <c r="M445" t="s">
        <v>78</v>
      </c>
      <c r="N445" t="s">
        <v>79</v>
      </c>
      <c r="O445" t="s">
        <v>74</v>
      </c>
      <c r="P445" t="s">
        <v>74</v>
      </c>
      <c r="Q445" t="s">
        <v>74</v>
      </c>
      <c r="R445" t="s">
        <v>74</v>
      </c>
      <c r="S445" t="s">
        <v>74</v>
      </c>
      <c r="T445" t="s">
        <v>8691</v>
      </c>
      <c r="U445" t="s">
        <v>8692</v>
      </c>
      <c r="V445" t="s">
        <v>8693</v>
      </c>
      <c r="W445" t="s">
        <v>8694</v>
      </c>
      <c r="X445" t="s">
        <v>8695</v>
      </c>
      <c r="Y445" t="s">
        <v>8696</v>
      </c>
      <c r="Z445" t="s">
        <v>8697</v>
      </c>
      <c r="AA445" t="s">
        <v>8698</v>
      </c>
      <c r="AB445" t="s">
        <v>8699</v>
      </c>
      <c r="AC445" t="s">
        <v>8700</v>
      </c>
      <c r="AD445" t="s">
        <v>8701</v>
      </c>
      <c r="AE445" t="s">
        <v>8702</v>
      </c>
      <c r="AF445" t="s">
        <v>74</v>
      </c>
      <c r="AG445">
        <v>33</v>
      </c>
      <c r="AH445">
        <v>9</v>
      </c>
      <c r="AI445">
        <v>11</v>
      </c>
      <c r="AJ445">
        <v>2</v>
      </c>
      <c r="AK445">
        <v>17</v>
      </c>
      <c r="AL445" t="s">
        <v>661</v>
      </c>
      <c r="AM445" t="s">
        <v>142</v>
      </c>
      <c r="AN445" t="s">
        <v>662</v>
      </c>
      <c r="AO445" t="s">
        <v>663</v>
      </c>
      <c r="AP445" t="s">
        <v>664</v>
      </c>
      <c r="AQ445" t="s">
        <v>74</v>
      </c>
      <c r="AR445" t="s">
        <v>665</v>
      </c>
      <c r="AS445" t="s">
        <v>666</v>
      </c>
      <c r="AT445" t="s">
        <v>2136</v>
      </c>
      <c r="AU445">
        <v>2017</v>
      </c>
      <c r="AV445">
        <v>44</v>
      </c>
      <c r="AW445">
        <v>1</v>
      </c>
      <c r="AX445" t="s">
        <v>74</v>
      </c>
      <c r="AY445" t="s">
        <v>74</v>
      </c>
      <c r="AZ445" t="s">
        <v>74</v>
      </c>
      <c r="BA445" t="s">
        <v>74</v>
      </c>
      <c r="BB445">
        <v>277</v>
      </c>
      <c r="BC445">
        <v>285</v>
      </c>
      <c r="BD445" t="s">
        <v>74</v>
      </c>
      <c r="BE445" t="s">
        <v>8703</v>
      </c>
      <c r="BF445" t="str">
        <f>HYPERLINK("http://dx.doi.org/10.1002/2016GL069039","http://dx.doi.org/10.1002/2016GL069039")</f>
        <v>http://dx.doi.org/10.1002/2016GL069039</v>
      </c>
      <c r="BG445" t="s">
        <v>74</v>
      </c>
      <c r="BH445" t="s">
        <v>74</v>
      </c>
      <c r="BI445">
        <v>9</v>
      </c>
      <c r="BJ445" t="s">
        <v>669</v>
      </c>
      <c r="BK445" t="s">
        <v>101</v>
      </c>
      <c r="BL445" t="s">
        <v>670</v>
      </c>
      <c r="BM445" t="s">
        <v>8704</v>
      </c>
      <c r="BN445" t="s">
        <v>74</v>
      </c>
      <c r="BO445" t="s">
        <v>2028</v>
      </c>
      <c r="BP445" t="s">
        <v>74</v>
      </c>
      <c r="BQ445" t="s">
        <v>74</v>
      </c>
      <c r="BR445" t="s">
        <v>105</v>
      </c>
      <c r="BS445" t="s">
        <v>8705</v>
      </c>
      <c r="BT445" t="str">
        <f>HYPERLINK("https%3A%2F%2Fwww.webofscience.com%2Fwos%2Fwoscc%2Ffull-record%2FWOS:000393954900033","View Full Record in Web of Science")</f>
        <v>View Full Record in Web of Science</v>
      </c>
    </row>
    <row r="446" spans="1:72" x14ac:dyDescent="0.15">
      <c r="A446" t="s">
        <v>72</v>
      </c>
      <c r="B446" t="s">
        <v>8706</v>
      </c>
      <c r="C446" t="s">
        <v>74</v>
      </c>
      <c r="D446" t="s">
        <v>74</v>
      </c>
      <c r="E446" t="s">
        <v>74</v>
      </c>
      <c r="F446" t="s">
        <v>8707</v>
      </c>
      <c r="G446" t="s">
        <v>74</v>
      </c>
      <c r="H446" t="s">
        <v>74</v>
      </c>
      <c r="I446" t="s">
        <v>8708</v>
      </c>
      <c r="J446" t="s">
        <v>649</v>
      </c>
      <c r="K446" t="s">
        <v>74</v>
      </c>
      <c r="L446" t="s">
        <v>74</v>
      </c>
      <c r="M446" t="s">
        <v>78</v>
      </c>
      <c r="N446" t="s">
        <v>79</v>
      </c>
      <c r="O446" t="s">
        <v>74</v>
      </c>
      <c r="P446" t="s">
        <v>74</v>
      </c>
      <c r="Q446" t="s">
        <v>74</v>
      </c>
      <c r="R446" t="s">
        <v>74</v>
      </c>
      <c r="S446" t="s">
        <v>74</v>
      </c>
      <c r="T446" t="s">
        <v>8709</v>
      </c>
      <c r="U446" t="s">
        <v>8710</v>
      </c>
      <c r="V446" t="s">
        <v>8711</v>
      </c>
      <c r="W446" t="s">
        <v>8712</v>
      </c>
      <c r="X446" t="s">
        <v>8713</v>
      </c>
      <c r="Y446" t="s">
        <v>8714</v>
      </c>
      <c r="Z446" t="s">
        <v>8715</v>
      </c>
      <c r="AA446" t="s">
        <v>8716</v>
      </c>
      <c r="AB446" t="s">
        <v>8717</v>
      </c>
      <c r="AC446" t="s">
        <v>8718</v>
      </c>
      <c r="AD446" t="s">
        <v>8719</v>
      </c>
      <c r="AE446" t="s">
        <v>8720</v>
      </c>
      <c r="AF446" t="s">
        <v>74</v>
      </c>
      <c r="AG446">
        <v>33</v>
      </c>
      <c r="AH446">
        <v>69</v>
      </c>
      <c r="AI446">
        <v>84</v>
      </c>
      <c r="AJ446">
        <v>1</v>
      </c>
      <c r="AK446">
        <v>24</v>
      </c>
      <c r="AL446" t="s">
        <v>661</v>
      </c>
      <c r="AM446" t="s">
        <v>142</v>
      </c>
      <c r="AN446" t="s">
        <v>662</v>
      </c>
      <c r="AO446" t="s">
        <v>663</v>
      </c>
      <c r="AP446" t="s">
        <v>664</v>
      </c>
      <c r="AQ446" t="s">
        <v>74</v>
      </c>
      <c r="AR446" t="s">
        <v>665</v>
      </c>
      <c r="AS446" t="s">
        <v>666</v>
      </c>
      <c r="AT446" t="s">
        <v>2136</v>
      </c>
      <c r="AU446">
        <v>2017</v>
      </c>
      <c r="AV446">
        <v>44</v>
      </c>
      <c r="AW446">
        <v>1</v>
      </c>
      <c r="AX446" t="s">
        <v>74</v>
      </c>
      <c r="AY446" t="s">
        <v>74</v>
      </c>
      <c r="AZ446" t="s">
        <v>74</v>
      </c>
      <c r="BA446" t="s">
        <v>74</v>
      </c>
      <c r="BB446">
        <v>338</v>
      </c>
      <c r="BC446">
        <v>345</v>
      </c>
      <c r="BD446" t="s">
        <v>74</v>
      </c>
      <c r="BE446" t="s">
        <v>8721</v>
      </c>
      <c r="BF446" t="str">
        <f>HYPERLINK("http://dx.doi.org/10.1002/2016GL071205","http://dx.doi.org/10.1002/2016GL071205")</f>
        <v>http://dx.doi.org/10.1002/2016GL071205</v>
      </c>
      <c r="BG446" t="s">
        <v>74</v>
      </c>
      <c r="BH446" t="s">
        <v>74</v>
      </c>
      <c r="BI446">
        <v>8</v>
      </c>
      <c r="BJ446" t="s">
        <v>669</v>
      </c>
      <c r="BK446" t="s">
        <v>101</v>
      </c>
      <c r="BL446" t="s">
        <v>670</v>
      </c>
      <c r="BM446" t="s">
        <v>8704</v>
      </c>
      <c r="BN446" t="s">
        <v>74</v>
      </c>
      <c r="BO446" t="s">
        <v>1591</v>
      </c>
      <c r="BP446" t="s">
        <v>74</v>
      </c>
      <c r="BQ446" t="s">
        <v>74</v>
      </c>
      <c r="BR446" t="s">
        <v>105</v>
      </c>
      <c r="BS446" t="s">
        <v>8722</v>
      </c>
      <c r="BT446" t="str">
        <f>HYPERLINK("https%3A%2F%2Fwww.webofscience.com%2Fwos%2Fwoscc%2Ffull-record%2FWOS:000393954900040","View Full Record in Web of Science")</f>
        <v>View Full Record in Web of Science</v>
      </c>
    </row>
    <row r="447" spans="1:72" x14ac:dyDescent="0.15">
      <c r="A447" t="s">
        <v>72</v>
      </c>
      <c r="B447" t="s">
        <v>8723</v>
      </c>
      <c r="C447" t="s">
        <v>74</v>
      </c>
      <c r="D447" t="s">
        <v>74</v>
      </c>
      <c r="E447" t="s">
        <v>74</v>
      </c>
      <c r="F447" t="s">
        <v>8724</v>
      </c>
      <c r="G447" t="s">
        <v>74</v>
      </c>
      <c r="H447" t="s">
        <v>74</v>
      </c>
      <c r="I447" t="s">
        <v>8725</v>
      </c>
      <c r="J447" t="s">
        <v>8726</v>
      </c>
      <c r="K447" t="s">
        <v>74</v>
      </c>
      <c r="L447" t="s">
        <v>74</v>
      </c>
      <c r="M447" t="s">
        <v>78</v>
      </c>
      <c r="N447" t="s">
        <v>79</v>
      </c>
      <c r="O447" t="s">
        <v>74</v>
      </c>
      <c r="P447" t="s">
        <v>74</v>
      </c>
      <c r="Q447" t="s">
        <v>74</v>
      </c>
      <c r="R447" t="s">
        <v>74</v>
      </c>
      <c r="S447" t="s">
        <v>74</v>
      </c>
      <c r="T447" t="s">
        <v>8727</v>
      </c>
      <c r="U447" t="s">
        <v>8728</v>
      </c>
      <c r="V447" t="s">
        <v>8729</v>
      </c>
      <c r="W447" t="s">
        <v>8730</v>
      </c>
      <c r="X447" t="s">
        <v>8731</v>
      </c>
      <c r="Y447" t="s">
        <v>8732</v>
      </c>
      <c r="Z447" t="s">
        <v>8733</v>
      </c>
      <c r="AA447" t="s">
        <v>8734</v>
      </c>
      <c r="AB447" t="s">
        <v>8735</v>
      </c>
      <c r="AC447" t="s">
        <v>8736</v>
      </c>
      <c r="AD447" t="s">
        <v>8737</v>
      </c>
      <c r="AE447" t="s">
        <v>8738</v>
      </c>
      <c r="AF447" t="s">
        <v>74</v>
      </c>
      <c r="AG447">
        <v>85</v>
      </c>
      <c r="AH447">
        <v>18</v>
      </c>
      <c r="AI447">
        <v>21</v>
      </c>
      <c r="AJ447">
        <v>1</v>
      </c>
      <c r="AK447">
        <v>30</v>
      </c>
      <c r="AL447" t="s">
        <v>168</v>
      </c>
      <c r="AM447" t="s">
        <v>169</v>
      </c>
      <c r="AN447" t="s">
        <v>170</v>
      </c>
      <c r="AO447" t="s">
        <v>8739</v>
      </c>
      <c r="AP447" t="s">
        <v>8740</v>
      </c>
      <c r="AQ447" t="s">
        <v>74</v>
      </c>
      <c r="AR447" t="s">
        <v>8741</v>
      </c>
      <c r="AS447" t="s">
        <v>8742</v>
      </c>
      <c r="AT447" t="s">
        <v>2136</v>
      </c>
      <c r="AU447">
        <v>2017</v>
      </c>
      <c r="AV447">
        <v>148</v>
      </c>
      <c r="AW447" t="s">
        <v>74</v>
      </c>
      <c r="AX447" t="s">
        <v>74</v>
      </c>
      <c r="AY447" t="s">
        <v>74</v>
      </c>
      <c r="AZ447" t="s">
        <v>74</v>
      </c>
      <c r="BA447" t="s">
        <v>74</v>
      </c>
      <c r="BB447">
        <v>29</v>
      </c>
      <c r="BC447">
        <v>41</v>
      </c>
      <c r="BD447" t="s">
        <v>74</v>
      </c>
      <c r="BE447" t="s">
        <v>8743</v>
      </c>
      <c r="BF447" t="str">
        <f>HYPERLINK("http://dx.doi.org/10.1016/j.gloplacha.2016.11.005","http://dx.doi.org/10.1016/j.gloplacha.2016.11.005")</f>
        <v>http://dx.doi.org/10.1016/j.gloplacha.2016.11.005</v>
      </c>
      <c r="BG447" t="s">
        <v>74</v>
      </c>
      <c r="BH447" t="s">
        <v>74</v>
      </c>
      <c r="BI447">
        <v>13</v>
      </c>
      <c r="BJ447" t="s">
        <v>615</v>
      </c>
      <c r="BK447" t="s">
        <v>101</v>
      </c>
      <c r="BL447" t="s">
        <v>616</v>
      </c>
      <c r="BM447" t="s">
        <v>8744</v>
      </c>
      <c r="BN447" t="s">
        <v>74</v>
      </c>
      <c r="BO447" t="s">
        <v>74</v>
      </c>
      <c r="BP447" t="s">
        <v>74</v>
      </c>
      <c r="BQ447" t="s">
        <v>74</v>
      </c>
      <c r="BR447" t="s">
        <v>105</v>
      </c>
      <c r="BS447" t="s">
        <v>8745</v>
      </c>
      <c r="BT447" t="str">
        <f>HYPERLINK("https%3A%2F%2Fwww.webofscience.com%2Fwos%2Fwoscc%2Ffull-record%2FWOS:000393528200004","View Full Record in Web of Science")</f>
        <v>View Full Record in Web of Science</v>
      </c>
    </row>
    <row r="448" spans="1:72" x14ac:dyDescent="0.15">
      <c r="A448" t="s">
        <v>72</v>
      </c>
      <c r="B448" t="s">
        <v>8746</v>
      </c>
      <c r="C448" t="s">
        <v>74</v>
      </c>
      <c r="D448" t="s">
        <v>74</v>
      </c>
      <c r="E448" t="s">
        <v>74</v>
      </c>
      <c r="F448" t="s">
        <v>8747</v>
      </c>
      <c r="G448" t="s">
        <v>74</v>
      </c>
      <c r="H448" t="s">
        <v>74</v>
      </c>
      <c r="I448" t="s">
        <v>8748</v>
      </c>
      <c r="J448" t="s">
        <v>6887</v>
      </c>
      <c r="K448" t="s">
        <v>74</v>
      </c>
      <c r="L448" t="s">
        <v>74</v>
      </c>
      <c r="M448" t="s">
        <v>78</v>
      </c>
      <c r="N448" t="s">
        <v>79</v>
      </c>
      <c r="O448" t="s">
        <v>74</v>
      </c>
      <c r="P448" t="s">
        <v>74</v>
      </c>
      <c r="Q448" t="s">
        <v>74</v>
      </c>
      <c r="R448" t="s">
        <v>74</v>
      </c>
      <c r="S448" t="s">
        <v>74</v>
      </c>
      <c r="T448" t="s">
        <v>8749</v>
      </c>
      <c r="U448" t="s">
        <v>8750</v>
      </c>
      <c r="V448" t="s">
        <v>8751</v>
      </c>
      <c r="W448" t="s">
        <v>8752</v>
      </c>
      <c r="X448" t="s">
        <v>8753</v>
      </c>
      <c r="Y448" t="s">
        <v>8754</v>
      </c>
      <c r="Z448" t="s">
        <v>8755</v>
      </c>
      <c r="AA448" t="s">
        <v>2488</v>
      </c>
      <c r="AB448" t="s">
        <v>8756</v>
      </c>
      <c r="AC448" t="s">
        <v>8757</v>
      </c>
      <c r="AD448" t="s">
        <v>8758</v>
      </c>
      <c r="AE448" t="s">
        <v>8759</v>
      </c>
      <c r="AF448" t="s">
        <v>74</v>
      </c>
      <c r="AG448">
        <v>107</v>
      </c>
      <c r="AH448">
        <v>21</v>
      </c>
      <c r="AI448">
        <v>24</v>
      </c>
      <c r="AJ448">
        <v>0</v>
      </c>
      <c r="AK448">
        <v>17</v>
      </c>
      <c r="AL448" t="s">
        <v>1967</v>
      </c>
      <c r="AM448" t="s">
        <v>1910</v>
      </c>
      <c r="AN448" t="s">
        <v>1968</v>
      </c>
      <c r="AO448" t="s">
        <v>6897</v>
      </c>
      <c r="AP448" t="s">
        <v>6898</v>
      </c>
      <c r="AQ448" t="s">
        <v>74</v>
      </c>
      <c r="AR448" t="s">
        <v>6899</v>
      </c>
      <c r="AS448" t="s">
        <v>6900</v>
      </c>
      <c r="AT448" t="s">
        <v>74</v>
      </c>
      <c r="AU448">
        <v>2017</v>
      </c>
      <c r="AV448">
        <v>15</v>
      </c>
      <c r="AW448">
        <v>2</v>
      </c>
      <c r="AX448" t="s">
        <v>74</v>
      </c>
      <c r="AY448" t="s">
        <v>74</v>
      </c>
      <c r="AZ448" t="s">
        <v>74</v>
      </c>
      <c r="BA448" t="s">
        <v>74</v>
      </c>
      <c r="BB448">
        <v>147</v>
      </c>
      <c r="BC448">
        <v>170</v>
      </c>
      <c r="BD448" t="s">
        <v>74</v>
      </c>
      <c r="BE448" t="s">
        <v>8760</v>
      </c>
      <c r="BF448" t="str">
        <f>HYPERLINK("http://dx.doi.org/10.1080/14772019.2016.1151958","http://dx.doi.org/10.1080/14772019.2016.1151958")</f>
        <v>http://dx.doi.org/10.1080/14772019.2016.1151958</v>
      </c>
      <c r="BG448" t="s">
        <v>74</v>
      </c>
      <c r="BH448" t="s">
        <v>74</v>
      </c>
      <c r="BI448">
        <v>24</v>
      </c>
      <c r="BJ448" t="s">
        <v>6902</v>
      </c>
      <c r="BK448" t="s">
        <v>101</v>
      </c>
      <c r="BL448" t="s">
        <v>6902</v>
      </c>
      <c r="BM448" t="s">
        <v>8761</v>
      </c>
      <c r="BN448">
        <v>28077930</v>
      </c>
      <c r="BO448" t="s">
        <v>812</v>
      </c>
      <c r="BP448" t="s">
        <v>74</v>
      </c>
      <c r="BQ448" t="s">
        <v>74</v>
      </c>
      <c r="BR448" t="s">
        <v>105</v>
      </c>
      <c r="BS448" t="s">
        <v>8762</v>
      </c>
      <c r="BT448" t="str">
        <f>HYPERLINK("https%3A%2F%2Fwww.webofscience.com%2Fwos%2Fwoscc%2Ffull-record%2FWOS:000393784400003","View Full Record in Web of Science")</f>
        <v>View Full Record in Web of Science</v>
      </c>
    </row>
    <row r="449" spans="1:72" x14ac:dyDescent="0.15">
      <c r="A449" t="s">
        <v>72</v>
      </c>
      <c r="B449" t="s">
        <v>8763</v>
      </c>
      <c r="C449" t="s">
        <v>74</v>
      </c>
      <c r="D449" t="s">
        <v>74</v>
      </c>
      <c r="E449" t="s">
        <v>74</v>
      </c>
      <c r="F449" t="s">
        <v>8764</v>
      </c>
      <c r="G449" t="s">
        <v>74</v>
      </c>
      <c r="H449" t="s">
        <v>74</v>
      </c>
      <c r="I449" t="s">
        <v>8765</v>
      </c>
      <c r="J449" t="s">
        <v>730</v>
      </c>
      <c r="K449" t="s">
        <v>74</v>
      </c>
      <c r="L449" t="s">
        <v>74</v>
      </c>
      <c r="M449" t="s">
        <v>78</v>
      </c>
      <c r="N449" t="s">
        <v>79</v>
      </c>
      <c r="O449" t="s">
        <v>74</v>
      </c>
      <c r="P449" t="s">
        <v>74</v>
      </c>
      <c r="Q449" t="s">
        <v>74</v>
      </c>
      <c r="R449" t="s">
        <v>74</v>
      </c>
      <c r="S449" t="s">
        <v>74</v>
      </c>
      <c r="T449" t="s">
        <v>74</v>
      </c>
      <c r="U449" t="s">
        <v>8766</v>
      </c>
      <c r="V449" t="s">
        <v>8767</v>
      </c>
      <c r="W449" t="s">
        <v>8768</v>
      </c>
      <c r="X449" t="s">
        <v>8769</v>
      </c>
      <c r="Y449" t="s">
        <v>8770</v>
      </c>
      <c r="Z449" t="s">
        <v>8771</v>
      </c>
      <c r="AA449" t="s">
        <v>8772</v>
      </c>
      <c r="AB449" t="s">
        <v>8773</v>
      </c>
      <c r="AC449" t="s">
        <v>8774</v>
      </c>
      <c r="AD449" t="s">
        <v>8775</v>
      </c>
      <c r="AE449" t="s">
        <v>8776</v>
      </c>
      <c r="AF449" t="s">
        <v>74</v>
      </c>
      <c r="AG449">
        <v>62</v>
      </c>
      <c r="AH449">
        <v>34</v>
      </c>
      <c r="AI449">
        <v>35</v>
      </c>
      <c r="AJ449">
        <v>0</v>
      </c>
      <c r="AK449">
        <v>19</v>
      </c>
      <c r="AL449" t="s">
        <v>661</v>
      </c>
      <c r="AM449" t="s">
        <v>142</v>
      </c>
      <c r="AN449" t="s">
        <v>662</v>
      </c>
      <c r="AO449" t="s">
        <v>742</v>
      </c>
      <c r="AP449" t="s">
        <v>743</v>
      </c>
      <c r="AQ449" t="s">
        <v>74</v>
      </c>
      <c r="AR449" t="s">
        <v>744</v>
      </c>
      <c r="AS449" t="s">
        <v>745</v>
      </c>
      <c r="AT449" t="s">
        <v>2136</v>
      </c>
      <c r="AU449">
        <v>2017</v>
      </c>
      <c r="AV449">
        <v>122</v>
      </c>
      <c r="AW449">
        <v>1</v>
      </c>
      <c r="AX449" t="s">
        <v>74</v>
      </c>
      <c r="AY449" t="s">
        <v>74</v>
      </c>
      <c r="AZ449" t="s">
        <v>74</v>
      </c>
      <c r="BA449" t="s">
        <v>74</v>
      </c>
      <c r="BB449">
        <v>3</v>
      </c>
      <c r="BC449">
        <v>19</v>
      </c>
      <c r="BD449" t="s">
        <v>74</v>
      </c>
      <c r="BE449" t="s">
        <v>8777</v>
      </c>
      <c r="BF449" t="str">
        <f>HYPERLINK("http://dx.doi.org/10.1002/2016JD025834","http://dx.doi.org/10.1002/2016JD025834")</f>
        <v>http://dx.doi.org/10.1002/2016JD025834</v>
      </c>
      <c r="BG449" t="s">
        <v>74</v>
      </c>
      <c r="BH449" t="s">
        <v>74</v>
      </c>
      <c r="BI449">
        <v>17</v>
      </c>
      <c r="BJ449" t="s">
        <v>747</v>
      </c>
      <c r="BK449" t="s">
        <v>101</v>
      </c>
      <c r="BL449" t="s">
        <v>747</v>
      </c>
      <c r="BM449" t="s">
        <v>8778</v>
      </c>
      <c r="BN449" t="s">
        <v>74</v>
      </c>
      <c r="BO449" t="s">
        <v>463</v>
      </c>
      <c r="BP449" t="s">
        <v>74</v>
      </c>
      <c r="BQ449" t="s">
        <v>74</v>
      </c>
      <c r="BR449" t="s">
        <v>105</v>
      </c>
      <c r="BS449" t="s">
        <v>8779</v>
      </c>
      <c r="BT449" t="str">
        <f>HYPERLINK("https%3A%2F%2Fwww.webofscience.com%2Fwos%2Fwoscc%2Ffull-record%2FWOS:000393877800001","View Full Record in Web of Science")</f>
        <v>View Full Record in Web of Science</v>
      </c>
    </row>
    <row r="450" spans="1:72" x14ac:dyDescent="0.15">
      <c r="A450" t="s">
        <v>72</v>
      </c>
      <c r="B450" t="s">
        <v>8780</v>
      </c>
      <c r="C450" t="s">
        <v>74</v>
      </c>
      <c r="D450" t="s">
        <v>74</v>
      </c>
      <c r="E450" t="s">
        <v>74</v>
      </c>
      <c r="F450" t="s">
        <v>8781</v>
      </c>
      <c r="G450" t="s">
        <v>74</v>
      </c>
      <c r="H450" t="s">
        <v>74</v>
      </c>
      <c r="I450" t="s">
        <v>8782</v>
      </c>
      <c r="J450" t="s">
        <v>8783</v>
      </c>
      <c r="K450" t="s">
        <v>74</v>
      </c>
      <c r="L450" t="s">
        <v>74</v>
      </c>
      <c r="M450" t="s">
        <v>78</v>
      </c>
      <c r="N450" t="s">
        <v>79</v>
      </c>
      <c r="O450" t="s">
        <v>74</v>
      </c>
      <c r="P450" t="s">
        <v>74</v>
      </c>
      <c r="Q450" t="s">
        <v>74</v>
      </c>
      <c r="R450" t="s">
        <v>74</v>
      </c>
      <c r="S450" t="s">
        <v>74</v>
      </c>
      <c r="T450" t="s">
        <v>74</v>
      </c>
      <c r="U450" t="s">
        <v>8784</v>
      </c>
      <c r="V450" t="s">
        <v>8785</v>
      </c>
      <c r="W450" t="s">
        <v>8786</v>
      </c>
      <c r="X450" t="s">
        <v>8787</v>
      </c>
      <c r="Y450" t="s">
        <v>8788</v>
      </c>
      <c r="Z450" t="s">
        <v>8789</v>
      </c>
      <c r="AA450" t="s">
        <v>74</v>
      </c>
      <c r="AB450" t="s">
        <v>8790</v>
      </c>
      <c r="AC450" t="s">
        <v>8791</v>
      </c>
      <c r="AD450" t="s">
        <v>8792</v>
      </c>
      <c r="AE450" t="s">
        <v>8793</v>
      </c>
      <c r="AF450" t="s">
        <v>74</v>
      </c>
      <c r="AG450">
        <v>47</v>
      </c>
      <c r="AH450">
        <v>2</v>
      </c>
      <c r="AI450">
        <v>2</v>
      </c>
      <c r="AJ450">
        <v>1</v>
      </c>
      <c r="AK450">
        <v>7</v>
      </c>
      <c r="AL450" t="s">
        <v>2603</v>
      </c>
      <c r="AM450" t="s">
        <v>2604</v>
      </c>
      <c r="AN450" t="s">
        <v>2605</v>
      </c>
      <c r="AO450" t="s">
        <v>8794</v>
      </c>
      <c r="AP450" t="s">
        <v>8795</v>
      </c>
      <c r="AQ450" t="s">
        <v>74</v>
      </c>
      <c r="AR450" t="s">
        <v>8796</v>
      </c>
      <c r="AS450" t="s">
        <v>8797</v>
      </c>
      <c r="AT450" t="s">
        <v>2136</v>
      </c>
      <c r="AU450">
        <v>2017</v>
      </c>
      <c r="AV450">
        <v>47</v>
      </c>
      <c r="AW450">
        <v>1</v>
      </c>
      <c r="AX450" t="s">
        <v>74</v>
      </c>
      <c r="AY450" t="s">
        <v>74</v>
      </c>
      <c r="AZ450" t="s">
        <v>74</v>
      </c>
      <c r="BA450" t="s">
        <v>74</v>
      </c>
      <c r="BB450">
        <v>101</v>
      </c>
      <c r="BC450">
        <v>122</v>
      </c>
      <c r="BD450" t="s">
        <v>74</v>
      </c>
      <c r="BE450" t="s">
        <v>8798</v>
      </c>
      <c r="BF450" t="str">
        <f>HYPERLINK("http://dx.doi.org/10.1175/JPO-D-16-0124.1","http://dx.doi.org/10.1175/JPO-D-16-0124.1")</f>
        <v>http://dx.doi.org/10.1175/JPO-D-16-0124.1</v>
      </c>
      <c r="BG450" t="s">
        <v>74</v>
      </c>
      <c r="BH450" t="s">
        <v>74</v>
      </c>
      <c r="BI450">
        <v>22</v>
      </c>
      <c r="BJ450" t="s">
        <v>2164</v>
      </c>
      <c r="BK450" t="s">
        <v>101</v>
      </c>
      <c r="BL450" t="s">
        <v>2164</v>
      </c>
      <c r="BM450" t="s">
        <v>8799</v>
      </c>
      <c r="BN450" t="s">
        <v>74</v>
      </c>
      <c r="BO450" t="s">
        <v>301</v>
      </c>
      <c r="BP450" t="s">
        <v>74</v>
      </c>
      <c r="BQ450" t="s">
        <v>74</v>
      </c>
      <c r="BR450" t="s">
        <v>105</v>
      </c>
      <c r="BS450" t="s">
        <v>8800</v>
      </c>
      <c r="BT450" t="str">
        <f>HYPERLINK("https%3A%2F%2Fwww.webofscience.com%2Fwos%2Fwoscc%2Ffull-record%2FWOS:000393300700007","View Full Record in Web of Science")</f>
        <v>View Full Record in Web of Science</v>
      </c>
    </row>
    <row r="451" spans="1:72" x14ac:dyDescent="0.15">
      <c r="A451" t="s">
        <v>72</v>
      </c>
      <c r="B451" t="s">
        <v>8801</v>
      </c>
      <c r="C451" t="s">
        <v>74</v>
      </c>
      <c r="D451" t="s">
        <v>74</v>
      </c>
      <c r="E451" t="s">
        <v>74</v>
      </c>
      <c r="F451" t="s">
        <v>8802</v>
      </c>
      <c r="G451" t="s">
        <v>74</v>
      </c>
      <c r="H451" t="s">
        <v>74</v>
      </c>
      <c r="I451" t="s">
        <v>8803</v>
      </c>
      <c r="J451" t="s">
        <v>8783</v>
      </c>
      <c r="K451" t="s">
        <v>74</v>
      </c>
      <c r="L451" t="s">
        <v>74</v>
      </c>
      <c r="M451" t="s">
        <v>78</v>
      </c>
      <c r="N451" t="s">
        <v>79</v>
      </c>
      <c r="O451" t="s">
        <v>74</v>
      </c>
      <c r="P451" t="s">
        <v>74</v>
      </c>
      <c r="Q451" t="s">
        <v>74</v>
      </c>
      <c r="R451" t="s">
        <v>74</v>
      </c>
      <c r="S451" t="s">
        <v>74</v>
      </c>
      <c r="T451" t="s">
        <v>74</v>
      </c>
      <c r="U451" t="s">
        <v>8804</v>
      </c>
      <c r="V451" t="s">
        <v>8805</v>
      </c>
      <c r="W451" t="s">
        <v>8806</v>
      </c>
      <c r="X451" t="s">
        <v>8807</v>
      </c>
      <c r="Y451" t="s">
        <v>8808</v>
      </c>
      <c r="Z451" t="s">
        <v>8809</v>
      </c>
      <c r="AA451" t="s">
        <v>8810</v>
      </c>
      <c r="AB451" t="s">
        <v>8811</v>
      </c>
      <c r="AC451" t="s">
        <v>8812</v>
      </c>
      <c r="AD451" t="s">
        <v>8813</v>
      </c>
      <c r="AE451" t="s">
        <v>8814</v>
      </c>
      <c r="AF451" t="s">
        <v>74</v>
      </c>
      <c r="AG451">
        <v>53</v>
      </c>
      <c r="AH451">
        <v>29</v>
      </c>
      <c r="AI451">
        <v>31</v>
      </c>
      <c r="AJ451">
        <v>2</v>
      </c>
      <c r="AK451">
        <v>38</v>
      </c>
      <c r="AL451" t="s">
        <v>2603</v>
      </c>
      <c r="AM451" t="s">
        <v>2604</v>
      </c>
      <c r="AN451" t="s">
        <v>2605</v>
      </c>
      <c r="AO451" t="s">
        <v>8794</v>
      </c>
      <c r="AP451" t="s">
        <v>8795</v>
      </c>
      <c r="AQ451" t="s">
        <v>74</v>
      </c>
      <c r="AR451" t="s">
        <v>8796</v>
      </c>
      <c r="AS451" t="s">
        <v>8797</v>
      </c>
      <c r="AT451" t="s">
        <v>2136</v>
      </c>
      <c r="AU451">
        <v>2017</v>
      </c>
      <c r="AV451">
        <v>47</v>
      </c>
      <c r="AW451">
        <v>1</v>
      </c>
      <c r="AX451" t="s">
        <v>74</v>
      </c>
      <c r="AY451" t="s">
        <v>74</v>
      </c>
      <c r="AZ451" t="s">
        <v>74</v>
      </c>
      <c r="BA451" t="s">
        <v>74</v>
      </c>
      <c r="BB451">
        <v>135</v>
      </c>
      <c r="BC451">
        <v>153</v>
      </c>
      <c r="BD451" t="s">
        <v>74</v>
      </c>
      <c r="BE451" t="s">
        <v>8815</v>
      </c>
      <c r="BF451" t="str">
        <f>HYPERLINK("http://dx.doi.org/10.1175/JPO-D-16-0176.1","http://dx.doi.org/10.1175/JPO-D-16-0176.1")</f>
        <v>http://dx.doi.org/10.1175/JPO-D-16-0176.1</v>
      </c>
      <c r="BG451" t="s">
        <v>74</v>
      </c>
      <c r="BH451" t="s">
        <v>74</v>
      </c>
      <c r="BI451">
        <v>19</v>
      </c>
      <c r="BJ451" t="s">
        <v>2164</v>
      </c>
      <c r="BK451" t="s">
        <v>101</v>
      </c>
      <c r="BL451" t="s">
        <v>2164</v>
      </c>
      <c r="BM451" t="s">
        <v>8799</v>
      </c>
      <c r="BN451" t="s">
        <v>74</v>
      </c>
      <c r="BO451" t="s">
        <v>1695</v>
      </c>
      <c r="BP451" t="s">
        <v>74</v>
      </c>
      <c r="BQ451" t="s">
        <v>74</v>
      </c>
      <c r="BR451" t="s">
        <v>105</v>
      </c>
      <c r="BS451" t="s">
        <v>8816</v>
      </c>
      <c r="BT451" t="str">
        <f>HYPERLINK("https%3A%2F%2Fwww.webofscience.com%2Fwos%2Fwoscc%2Ffull-record%2FWOS:000393300700009","View Full Record in Web of Science")</f>
        <v>View Full Record in Web of Science</v>
      </c>
    </row>
    <row r="452" spans="1:72" x14ac:dyDescent="0.15">
      <c r="A452" t="s">
        <v>72</v>
      </c>
      <c r="B452" t="s">
        <v>8817</v>
      </c>
      <c r="C452" t="s">
        <v>74</v>
      </c>
      <c r="D452" t="s">
        <v>74</v>
      </c>
      <c r="E452" t="s">
        <v>74</v>
      </c>
      <c r="F452" t="s">
        <v>8818</v>
      </c>
      <c r="G452" t="s">
        <v>74</v>
      </c>
      <c r="H452" t="s">
        <v>74</v>
      </c>
      <c r="I452" t="s">
        <v>8819</v>
      </c>
      <c r="J452" t="s">
        <v>8783</v>
      </c>
      <c r="K452" t="s">
        <v>74</v>
      </c>
      <c r="L452" t="s">
        <v>74</v>
      </c>
      <c r="M452" t="s">
        <v>78</v>
      </c>
      <c r="N452" t="s">
        <v>79</v>
      </c>
      <c r="O452" t="s">
        <v>74</v>
      </c>
      <c r="P452" t="s">
        <v>74</v>
      </c>
      <c r="Q452" t="s">
        <v>74</v>
      </c>
      <c r="R452" t="s">
        <v>74</v>
      </c>
      <c r="S452" t="s">
        <v>74</v>
      </c>
      <c r="T452" t="s">
        <v>74</v>
      </c>
      <c r="U452" t="s">
        <v>8820</v>
      </c>
      <c r="V452" t="s">
        <v>8821</v>
      </c>
      <c r="W452" t="s">
        <v>8822</v>
      </c>
      <c r="X452" t="s">
        <v>8823</v>
      </c>
      <c r="Y452" t="s">
        <v>8824</v>
      </c>
      <c r="Z452" t="s">
        <v>8825</v>
      </c>
      <c r="AA452" t="s">
        <v>8826</v>
      </c>
      <c r="AB452" t="s">
        <v>74</v>
      </c>
      <c r="AC452" t="s">
        <v>8827</v>
      </c>
      <c r="AD452" t="s">
        <v>8828</v>
      </c>
      <c r="AE452" t="s">
        <v>8829</v>
      </c>
      <c r="AF452" t="s">
        <v>74</v>
      </c>
      <c r="AG452">
        <v>36</v>
      </c>
      <c r="AH452">
        <v>77</v>
      </c>
      <c r="AI452">
        <v>82</v>
      </c>
      <c r="AJ452">
        <v>2</v>
      </c>
      <c r="AK452">
        <v>16</v>
      </c>
      <c r="AL452" t="s">
        <v>2603</v>
      </c>
      <c r="AM452" t="s">
        <v>2604</v>
      </c>
      <c r="AN452" t="s">
        <v>2605</v>
      </c>
      <c r="AO452" t="s">
        <v>8794</v>
      </c>
      <c r="AP452" t="s">
        <v>8795</v>
      </c>
      <c r="AQ452" t="s">
        <v>74</v>
      </c>
      <c r="AR452" t="s">
        <v>8796</v>
      </c>
      <c r="AS452" t="s">
        <v>8797</v>
      </c>
      <c r="AT452" t="s">
        <v>2136</v>
      </c>
      <c r="AU452">
        <v>2017</v>
      </c>
      <c r="AV452">
        <v>47</v>
      </c>
      <c r="AW452">
        <v>1</v>
      </c>
      <c r="AX452" t="s">
        <v>74</v>
      </c>
      <c r="AY452" t="s">
        <v>74</v>
      </c>
      <c r="AZ452" t="s">
        <v>74</v>
      </c>
      <c r="BA452" t="s">
        <v>74</v>
      </c>
      <c r="BB452">
        <v>181</v>
      </c>
      <c r="BC452">
        <v>198</v>
      </c>
      <c r="BD452" t="s">
        <v>74</v>
      </c>
      <c r="BE452" t="s">
        <v>8830</v>
      </c>
      <c r="BF452" t="str">
        <f>HYPERLINK("http://dx.doi.org/10.1175/JPO-D-16-0117.1","http://dx.doi.org/10.1175/JPO-D-16-0117.1")</f>
        <v>http://dx.doi.org/10.1175/JPO-D-16-0117.1</v>
      </c>
      <c r="BG452" t="s">
        <v>74</v>
      </c>
      <c r="BH452" t="s">
        <v>74</v>
      </c>
      <c r="BI452">
        <v>18</v>
      </c>
      <c r="BJ452" t="s">
        <v>2164</v>
      </c>
      <c r="BK452" t="s">
        <v>101</v>
      </c>
      <c r="BL452" t="s">
        <v>2164</v>
      </c>
      <c r="BM452" t="s">
        <v>8799</v>
      </c>
      <c r="BN452" t="s">
        <v>74</v>
      </c>
      <c r="BO452" t="s">
        <v>301</v>
      </c>
      <c r="BP452" t="s">
        <v>74</v>
      </c>
      <c r="BQ452" t="s">
        <v>74</v>
      </c>
      <c r="BR452" t="s">
        <v>105</v>
      </c>
      <c r="BS452" t="s">
        <v>8831</v>
      </c>
      <c r="BT452" t="str">
        <f>HYPERLINK("https%3A%2F%2Fwww.webofscience.com%2Fwos%2Fwoscc%2Ffull-record%2FWOS:000393300700011","View Full Record in Web of Science")</f>
        <v>View Full Record in Web of Science</v>
      </c>
    </row>
    <row r="453" spans="1:72" x14ac:dyDescent="0.15">
      <c r="A453" t="s">
        <v>72</v>
      </c>
      <c r="B453" t="s">
        <v>8832</v>
      </c>
      <c r="C453" t="s">
        <v>74</v>
      </c>
      <c r="D453" t="s">
        <v>74</v>
      </c>
      <c r="E453" t="s">
        <v>74</v>
      </c>
      <c r="F453" t="s">
        <v>8833</v>
      </c>
      <c r="G453" t="s">
        <v>74</v>
      </c>
      <c r="H453" t="s">
        <v>74</v>
      </c>
      <c r="I453" t="s">
        <v>8834</v>
      </c>
      <c r="J453" t="s">
        <v>8835</v>
      </c>
      <c r="K453" t="s">
        <v>74</v>
      </c>
      <c r="L453" t="s">
        <v>74</v>
      </c>
      <c r="M453" t="s">
        <v>78</v>
      </c>
      <c r="N453" t="s">
        <v>79</v>
      </c>
      <c r="O453" t="s">
        <v>74</v>
      </c>
      <c r="P453" t="s">
        <v>74</v>
      </c>
      <c r="Q453" t="s">
        <v>74</v>
      </c>
      <c r="R453" t="s">
        <v>74</v>
      </c>
      <c r="S453" t="s">
        <v>74</v>
      </c>
      <c r="T453" t="s">
        <v>74</v>
      </c>
      <c r="U453" t="s">
        <v>8836</v>
      </c>
      <c r="V453" t="s">
        <v>8837</v>
      </c>
      <c r="W453" t="s">
        <v>8838</v>
      </c>
      <c r="X453" t="s">
        <v>8839</v>
      </c>
      <c r="Y453" t="s">
        <v>8840</v>
      </c>
      <c r="Z453" t="s">
        <v>8841</v>
      </c>
      <c r="AA453" t="s">
        <v>74</v>
      </c>
      <c r="AB453" t="s">
        <v>74</v>
      </c>
      <c r="AC453" t="s">
        <v>8842</v>
      </c>
      <c r="AD453" t="s">
        <v>8843</v>
      </c>
      <c r="AE453" t="s">
        <v>8844</v>
      </c>
      <c r="AF453" t="s">
        <v>74</v>
      </c>
      <c r="AG453">
        <v>14</v>
      </c>
      <c r="AH453">
        <v>1</v>
      </c>
      <c r="AI453">
        <v>2</v>
      </c>
      <c r="AJ453">
        <v>0</v>
      </c>
      <c r="AK453">
        <v>5</v>
      </c>
      <c r="AL453" t="s">
        <v>8845</v>
      </c>
      <c r="AM453" t="s">
        <v>2378</v>
      </c>
      <c r="AN453" t="s">
        <v>2379</v>
      </c>
      <c r="AO453" t="s">
        <v>8846</v>
      </c>
      <c r="AP453" t="s">
        <v>8847</v>
      </c>
      <c r="AQ453" t="s">
        <v>74</v>
      </c>
      <c r="AR453" t="s">
        <v>8848</v>
      </c>
      <c r="AS453" t="s">
        <v>8849</v>
      </c>
      <c r="AT453" t="s">
        <v>2136</v>
      </c>
      <c r="AU453">
        <v>2017</v>
      </c>
      <c r="AV453">
        <v>52</v>
      </c>
      <c r="AW453">
        <v>1</v>
      </c>
      <c r="AX453" t="s">
        <v>74</v>
      </c>
      <c r="AY453" t="s">
        <v>74</v>
      </c>
      <c r="AZ453" t="s">
        <v>74</v>
      </c>
      <c r="BA453" t="s">
        <v>74</v>
      </c>
      <c r="BB453">
        <v>191</v>
      </c>
      <c r="BC453">
        <v>194</v>
      </c>
      <c r="BD453" t="s">
        <v>74</v>
      </c>
      <c r="BE453" t="s">
        <v>8850</v>
      </c>
      <c r="BF453" t="str">
        <f>HYPERLINK("http://dx.doi.org/10.1111/maps.12741","http://dx.doi.org/10.1111/maps.12741")</f>
        <v>http://dx.doi.org/10.1111/maps.12741</v>
      </c>
      <c r="BG453" t="s">
        <v>74</v>
      </c>
      <c r="BH453" t="s">
        <v>74</v>
      </c>
      <c r="BI453">
        <v>4</v>
      </c>
      <c r="BJ453" t="s">
        <v>299</v>
      </c>
      <c r="BK453" t="s">
        <v>101</v>
      </c>
      <c r="BL453" t="s">
        <v>299</v>
      </c>
      <c r="BM453" t="s">
        <v>8851</v>
      </c>
      <c r="BN453" t="s">
        <v>74</v>
      </c>
      <c r="BO453" t="s">
        <v>301</v>
      </c>
      <c r="BP453" t="s">
        <v>74</v>
      </c>
      <c r="BQ453" t="s">
        <v>74</v>
      </c>
      <c r="BR453" t="s">
        <v>105</v>
      </c>
      <c r="BS453" t="s">
        <v>8852</v>
      </c>
      <c r="BT453" t="str">
        <f>HYPERLINK("https%3A%2F%2Fwww.webofscience.com%2Fwos%2Fwoscc%2Ffull-record%2FWOS:000393683100011","View Full Record in Web of Science")</f>
        <v>View Full Record in Web of Science</v>
      </c>
    </row>
    <row r="454" spans="1:72" x14ac:dyDescent="0.15">
      <c r="A454" t="s">
        <v>72</v>
      </c>
      <c r="B454" t="s">
        <v>8853</v>
      </c>
      <c r="C454" t="s">
        <v>74</v>
      </c>
      <c r="D454" t="s">
        <v>74</v>
      </c>
      <c r="E454" t="s">
        <v>74</v>
      </c>
      <c r="F454" t="s">
        <v>8854</v>
      </c>
      <c r="G454" t="s">
        <v>74</v>
      </c>
      <c r="H454" t="s">
        <v>74</v>
      </c>
      <c r="I454" t="s">
        <v>8855</v>
      </c>
      <c r="J454" t="s">
        <v>8856</v>
      </c>
      <c r="K454" t="s">
        <v>74</v>
      </c>
      <c r="L454" t="s">
        <v>74</v>
      </c>
      <c r="M454" t="s">
        <v>78</v>
      </c>
      <c r="N454" t="s">
        <v>79</v>
      </c>
      <c r="O454" t="s">
        <v>74</v>
      </c>
      <c r="P454" t="s">
        <v>74</v>
      </c>
      <c r="Q454" t="s">
        <v>74</v>
      </c>
      <c r="R454" t="s">
        <v>74</v>
      </c>
      <c r="S454" t="s">
        <v>74</v>
      </c>
      <c r="T454" t="s">
        <v>8857</v>
      </c>
      <c r="U454" t="s">
        <v>8858</v>
      </c>
      <c r="V454" t="s">
        <v>8859</v>
      </c>
      <c r="W454" t="s">
        <v>8860</v>
      </c>
      <c r="X454" t="s">
        <v>8861</v>
      </c>
      <c r="Y454" t="s">
        <v>8862</v>
      </c>
      <c r="Z454" t="s">
        <v>8863</v>
      </c>
      <c r="AA454" t="s">
        <v>74</v>
      </c>
      <c r="AB454" t="s">
        <v>8864</v>
      </c>
      <c r="AC454" t="s">
        <v>8865</v>
      </c>
      <c r="AD454" t="s">
        <v>8865</v>
      </c>
      <c r="AE454" t="s">
        <v>8866</v>
      </c>
      <c r="AF454" t="s">
        <v>74</v>
      </c>
      <c r="AG454">
        <v>56</v>
      </c>
      <c r="AH454">
        <v>33</v>
      </c>
      <c r="AI454">
        <v>39</v>
      </c>
      <c r="AJ454">
        <v>0</v>
      </c>
      <c r="AK454">
        <v>31</v>
      </c>
      <c r="AL454" t="s">
        <v>2377</v>
      </c>
      <c r="AM454" t="s">
        <v>2378</v>
      </c>
      <c r="AN454" t="s">
        <v>2379</v>
      </c>
      <c r="AO454" t="s">
        <v>8867</v>
      </c>
      <c r="AP454" t="s">
        <v>8868</v>
      </c>
      <c r="AQ454" t="s">
        <v>74</v>
      </c>
      <c r="AR454" t="s">
        <v>8869</v>
      </c>
      <c r="AS454" t="s">
        <v>8870</v>
      </c>
      <c r="AT454" t="s">
        <v>2136</v>
      </c>
      <c r="AU454">
        <v>2017</v>
      </c>
      <c r="AV454">
        <v>8</v>
      </c>
      <c r="AW454">
        <v>1</v>
      </c>
      <c r="AX454" t="s">
        <v>74</v>
      </c>
      <c r="AY454" t="s">
        <v>74</v>
      </c>
      <c r="AZ454" t="s">
        <v>74</v>
      </c>
      <c r="BA454" t="s">
        <v>74</v>
      </c>
      <c r="BB454">
        <v>12</v>
      </c>
      <c r="BC454">
        <v>21</v>
      </c>
      <c r="BD454" t="s">
        <v>74</v>
      </c>
      <c r="BE454" t="s">
        <v>8871</v>
      </c>
      <c r="BF454" t="str">
        <f>HYPERLINK("http://dx.doi.org/10.1111/2041-210X.12645","http://dx.doi.org/10.1111/2041-210X.12645")</f>
        <v>http://dx.doi.org/10.1111/2041-210X.12645</v>
      </c>
      <c r="BG454" t="s">
        <v>74</v>
      </c>
      <c r="BH454" t="s">
        <v>74</v>
      </c>
      <c r="BI454">
        <v>10</v>
      </c>
      <c r="BJ454" t="s">
        <v>1739</v>
      </c>
      <c r="BK454" t="s">
        <v>101</v>
      </c>
      <c r="BL454" t="s">
        <v>178</v>
      </c>
      <c r="BM454" t="s">
        <v>8872</v>
      </c>
      <c r="BN454" t="s">
        <v>74</v>
      </c>
      <c r="BO454" t="s">
        <v>812</v>
      </c>
      <c r="BP454" t="s">
        <v>74</v>
      </c>
      <c r="BQ454" t="s">
        <v>74</v>
      </c>
      <c r="BR454" t="s">
        <v>105</v>
      </c>
      <c r="BS454" t="s">
        <v>8873</v>
      </c>
      <c r="BT454" t="str">
        <f>HYPERLINK("https%3A%2F%2Fwww.webofscience.com%2Fwos%2Fwoscc%2Ffull-record%2FWOS:000393305300002","View Full Record in Web of Science")</f>
        <v>View Full Record in Web of Science</v>
      </c>
    </row>
    <row r="455" spans="1:72" x14ac:dyDescent="0.15">
      <c r="A455" t="s">
        <v>72</v>
      </c>
      <c r="B455" t="s">
        <v>8874</v>
      </c>
      <c r="C455" t="s">
        <v>74</v>
      </c>
      <c r="D455" t="s">
        <v>74</v>
      </c>
      <c r="E455" t="s">
        <v>74</v>
      </c>
      <c r="F455" t="s">
        <v>8875</v>
      </c>
      <c r="G455" t="s">
        <v>74</v>
      </c>
      <c r="H455" t="s">
        <v>74</v>
      </c>
      <c r="I455" t="s">
        <v>8876</v>
      </c>
      <c r="J455" t="s">
        <v>8856</v>
      </c>
      <c r="K455" t="s">
        <v>74</v>
      </c>
      <c r="L455" t="s">
        <v>74</v>
      </c>
      <c r="M455" t="s">
        <v>78</v>
      </c>
      <c r="N455" t="s">
        <v>79</v>
      </c>
      <c r="O455" t="s">
        <v>74</v>
      </c>
      <c r="P455" t="s">
        <v>74</v>
      </c>
      <c r="Q455" t="s">
        <v>74</v>
      </c>
      <c r="R455" t="s">
        <v>74</v>
      </c>
      <c r="S455" t="s">
        <v>74</v>
      </c>
      <c r="T455" t="s">
        <v>8877</v>
      </c>
      <c r="U455" t="s">
        <v>8878</v>
      </c>
      <c r="V455" t="s">
        <v>8879</v>
      </c>
      <c r="W455" t="s">
        <v>8880</v>
      </c>
      <c r="X455" t="s">
        <v>8881</v>
      </c>
      <c r="Y455" t="s">
        <v>8882</v>
      </c>
      <c r="Z455" t="s">
        <v>8883</v>
      </c>
      <c r="AA455" t="s">
        <v>8884</v>
      </c>
      <c r="AB455" t="s">
        <v>8885</v>
      </c>
      <c r="AC455" t="s">
        <v>8886</v>
      </c>
      <c r="AD455" t="s">
        <v>8887</v>
      </c>
      <c r="AE455" t="s">
        <v>8888</v>
      </c>
      <c r="AF455" t="s">
        <v>74</v>
      </c>
      <c r="AG455">
        <v>50</v>
      </c>
      <c r="AH455">
        <v>78</v>
      </c>
      <c r="AI455">
        <v>86</v>
      </c>
      <c r="AJ455">
        <v>1</v>
      </c>
      <c r="AK455">
        <v>71</v>
      </c>
      <c r="AL455" t="s">
        <v>2377</v>
      </c>
      <c r="AM455" t="s">
        <v>2378</v>
      </c>
      <c r="AN455" t="s">
        <v>2379</v>
      </c>
      <c r="AO455" t="s">
        <v>8867</v>
      </c>
      <c r="AP455" t="s">
        <v>8868</v>
      </c>
      <c r="AQ455" t="s">
        <v>74</v>
      </c>
      <c r="AR455" t="s">
        <v>8869</v>
      </c>
      <c r="AS455" t="s">
        <v>8870</v>
      </c>
      <c r="AT455" t="s">
        <v>2136</v>
      </c>
      <c r="AU455">
        <v>2017</v>
      </c>
      <c r="AV455">
        <v>8</v>
      </c>
      <c r="AW455">
        <v>1</v>
      </c>
      <c r="AX455" t="s">
        <v>74</v>
      </c>
      <c r="AY455" t="s">
        <v>74</v>
      </c>
      <c r="AZ455" t="s">
        <v>74</v>
      </c>
      <c r="BA455" t="s">
        <v>74</v>
      </c>
      <c r="BB455">
        <v>57</v>
      </c>
      <c r="BC455">
        <v>67</v>
      </c>
      <c r="BD455" t="s">
        <v>74</v>
      </c>
      <c r="BE455" t="s">
        <v>8889</v>
      </c>
      <c r="BF455" t="str">
        <f>HYPERLINK("http://dx.doi.org/10.1111/2041-210X.12641","http://dx.doi.org/10.1111/2041-210X.12641")</f>
        <v>http://dx.doi.org/10.1111/2041-210X.12641</v>
      </c>
      <c r="BG455" t="s">
        <v>74</v>
      </c>
      <c r="BH455" t="s">
        <v>74</v>
      </c>
      <c r="BI455">
        <v>11</v>
      </c>
      <c r="BJ455" t="s">
        <v>1739</v>
      </c>
      <c r="BK455" t="s">
        <v>101</v>
      </c>
      <c r="BL455" t="s">
        <v>178</v>
      </c>
      <c r="BM455" t="s">
        <v>8872</v>
      </c>
      <c r="BN455" t="s">
        <v>74</v>
      </c>
      <c r="BO455" t="s">
        <v>8890</v>
      </c>
      <c r="BP455" t="s">
        <v>74</v>
      </c>
      <c r="BQ455" t="s">
        <v>74</v>
      </c>
      <c r="BR455" t="s">
        <v>105</v>
      </c>
      <c r="BS455" t="s">
        <v>8891</v>
      </c>
      <c r="BT455" t="str">
        <f>HYPERLINK("https%3A%2F%2Fwww.webofscience.com%2Fwos%2Fwoscc%2Ffull-record%2FWOS:000393305300007","View Full Record in Web of Science")</f>
        <v>View Full Record in Web of Science</v>
      </c>
    </row>
    <row r="456" spans="1:72" x14ac:dyDescent="0.15">
      <c r="A456" t="s">
        <v>72</v>
      </c>
      <c r="B456" t="s">
        <v>8892</v>
      </c>
      <c r="C456" t="s">
        <v>74</v>
      </c>
      <c r="D456" t="s">
        <v>74</v>
      </c>
      <c r="E456" t="s">
        <v>74</v>
      </c>
      <c r="F456" t="s">
        <v>8893</v>
      </c>
      <c r="G456" t="s">
        <v>74</v>
      </c>
      <c r="H456" t="s">
        <v>74</v>
      </c>
      <c r="I456" t="s">
        <v>8894</v>
      </c>
      <c r="J456" t="s">
        <v>77</v>
      </c>
      <c r="K456" t="s">
        <v>74</v>
      </c>
      <c r="L456" t="s">
        <v>74</v>
      </c>
      <c r="M456" t="s">
        <v>78</v>
      </c>
      <c r="N456" t="s">
        <v>7075</v>
      </c>
      <c r="O456" t="s">
        <v>74</v>
      </c>
      <c r="P456" t="s">
        <v>74</v>
      </c>
      <c r="Q456" t="s">
        <v>74</v>
      </c>
      <c r="R456" t="s">
        <v>74</v>
      </c>
      <c r="S456" t="s">
        <v>74</v>
      </c>
      <c r="T456" t="s">
        <v>74</v>
      </c>
      <c r="U456" t="s">
        <v>74</v>
      </c>
      <c r="V456" t="s">
        <v>74</v>
      </c>
      <c r="W456" t="s">
        <v>74</v>
      </c>
      <c r="X456" t="s">
        <v>74</v>
      </c>
      <c r="Y456" t="s">
        <v>74</v>
      </c>
      <c r="Z456" t="s">
        <v>74</v>
      </c>
      <c r="AA456" t="s">
        <v>74</v>
      </c>
      <c r="AB456" t="s">
        <v>74</v>
      </c>
      <c r="AC456" t="s">
        <v>74</v>
      </c>
      <c r="AD456" t="s">
        <v>74</v>
      </c>
      <c r="AE456" t="s">
        <v>74</v>
      </c>
      <c r="AF456" t="s">
        <v>74</v>
      </c>
      <c r="AG456">
        <v>1</v>
      </c>
      <c r="AH456">
        <v>1</v>
      </c>
      <c r="AI456">
        <v>1</v>
      </c>
      <c r="AJ456">
        <v>0</v>
      </c>
      <c r="AK456">
        <v>6</v>
      </c>
      <c r="AL456" t="s">
        <v>92</v>
      </c>
      <c r="AM456" t="s">
        <v>93</v>
      </c>
      <c r="AN456" t="s">
        <v>94</v>
      </c>
      <c r="AO456" t="s">
        <v>95</v>
      </c>
      <c r="AP456" t="s">
        <v>74</v>
      </c>
      <c r="AQ456" t="s">
        <v>74</v>
      </c>
      <c r="AR456" t="s">
        <v>96</v>
      </c>
      <c r="AS456" t="s">
        <v>97</v>
      </c>
      <c r="AT456" t="s">
        <v>2136</v>
      </c>
      <c r="AU456">
        <v>2017</v>
      </c>
      <c r="AV456">
        <v>4</v>
      </c>
      <c r="AW456">
        <v>1</v>
      </c>
      <c r="AX456" t="s">
        <v>74</v>
      </c>
      <c r="AY456" t="s">
        <v>74</v>
      </c>
      <c r="AZ456" t="s">
        <v>74</v>
      </c>
      <c r="BA456" t="s">
        <v>74</v>
      </c>
      <c r="BB456" t="s">
        <v>74</v>
      </c>
      <c r="BC456" t="s">
        <v>74</v>
      </c>
      <c r="BD456">
        <v>160937</v>
      </c>
      <c r="BE456" t="s">
        <v>8895</v>
      </c>
      <c r="BF456" t="str">
        <f>HYPERLINK("http://dx.doi.org/10.1098/rsos.160937","http://dx.doi.org/10.1098/rsos.160937")</f>
        <v>http://dx.doi.org/10.1098/rsos.160937</v>
      </c>
      <c r="BG456" t="s">
        <v>74</v>
      </c>
      <c r="BH456" t="s">
        <v>74</v>
      </c>
      <c r="BI456">
        <v>2</v>
      </c>
      <c r="BJ456" t="s">
        <v>100</v>
      </c>
      <c r="BK456" t="s">
        <v>101</v>
      </c>
      <c r="BL456" t="s">
        <v>102</v>
      </c>
      <c r="BM456" t="s">
        <v>3196</v>
      </c>
      <c r="BN456">
        <v>28280591</v>
      </c>
      <c r="BO456" t="s">
        <v>591</v>
      </c>
      <c r="BP456" t="s">
        <v>74</v>
      </c>
      <c r="BQ456" t="s">
        <v>74</v>
      </c>
      <c r="BR456" t="s">
        <v>105</v>
      </c>
      <c r="BS456" t="s">
        <v>8896</v>
      </c>
      <c r="BT456" t="str">
        <f>HYPERLINK("https%3A%2F%2Fwww.webofscience.com%2Fwos%2Fwoscc%2Ffull-record%2FWOS:000393395100049","View Full Record in Web of Science")</f>
        <v>View Full Record in Web of Science</v>
      </c>
    </row>
    <row r="457" spans="1:72" x14ac:dyDescent="0.15">
      <c r="A457" t="s">
        <v>72</v>
      </c>
      <c r="B457" t="s">
        <v>8897</v>
      </c>
      <c r="C457" t="s">
        <v>74</v>
      </c>
      <c r="D457" t="s">
        <v>74</v>
      </c>
      <c r="E457" t="s">
        <v>74</v>
      </c>
      <c r="F457" t="s">
        <v>8898</v>
      </c>
      <c r="G457" t="s">
        <v>74</v>
      </c>
      <c r="H457" t="s">
        <v>74</v>
      </c>
      <c r="I457" t="s">
        <v>8899</v>
      </c>
      <c r="J457" t="s">
        <v>2459</v>
      </c>
      <c r="K457" t="s">
        <v>74</v>
      </c>
      <c r="L457" t="s">
        <v>74</v>
      </c>
      <c r="M457" t="s">
        <v>78</v>
      </c>
      <c r="N457" t="s">
        <v>79</v>
      </c>
      <c r="O457" t="s">
        <v>74</v>
      </c>
      <c r="P457" t="s">
        <v>74</v>
      </c>
      <c r="Q457" t="s">
        <v>74</v>
      </c>
      <c r="R457" t="s">
        <v>74</v>
      </c>
      <c r="S457" t="s">
        <v>74</v>
      </c>
      <c r="T457" t="s">
        <v>8900</v>
      </c>
      <c r="U457" t="s">
        <v>8901</v>
      </c>
      <c r="V457" t="s">
        <v>8902</v>
      </c>
      <c r="W457" t="s">
        <v>8903</v>
      </c>
      <c r="X457" t="s">
        <v>8904</v>
      </c>
      <c r="Y457" t="s">
        <v>8905</v>
      </c>
      <c r="Z457" t="s">
        <v>8906</v>
      </c>
      <c r="AA457" t="s">
        <v>8907</v>
      </c>
      <c r="AB457" t="s">
        <v>8908</v>
      </c>
      <c r="AC457" t="s">
        <v>8909</v>
      </c>
      <c r="AD457" t="s">
        <v>8910</v>
      </c>
      <c r="AE457" t="s">
        <v>8911</v>
      </c>
      <c r="AF457" t="s">
        <v>74</v>
      </c>
      <c r="AG457">
        <v>50</v>
      </c>
      <c r="AH457">
        <v>13</v>
      </c>
      <c r="AI457">
        <v>14</v>
      </c>
      <c r="AJ457">
        <v>1</v>
      </c>
      <c r="AK457">
        <v>19</v>
      </c>
      <c r="AL457" t="s">
        <v>168</v>
      </c>
      <c r="AM457" t="s">
        <v>169</v>
      </c>
      <c r="AN457" t="s">
        <v>170</v>
      </c>
      <c r="AO457" t="s">
        <v>2470</v>
      </c>
      <c r="AP457" t="s">
        <v>2471</v>
      </c>
      <c r="AQ457" t="s">
        <v>74</v>
      </c>
      <c r="AR457" t="s">
        <v>2459</v>
      </c>
      <c r="AS457" t="s">
        <v>2472</v>
      </c>
      <c r="AT457" t="s">
        <v>2136</v>
      </c>
      <c r="AU457">
        <v>2017</v>
      </c>
      <c r="AV457">
        <v>61</v>
      </c>
      <c r="AW457" t="s">
        <v>74</v>
      </c>
      <c r="AX457" t="s">
        <v>74</v>
      </c>
      <c r="AY457" t="s">
        <v>74</v>
      </c>
      <c r="AZ457" t="s">
        <v>74</v>
      </c>
      <c r="BA457" t="s">
        <v>74</v>
      </c>
      <c r="BB457">
        <v>46</v>
      </c>
      <c r="BC457">
        <v>55</v>
      </c>
      <c r="BD457" t="s">
        <v>74</v>
      </c>
      <c r="BE457" t="s">
        <v>8912</v>
      </c>
      <c r="BF457" t="str">
        <f>HYPERLINK("http://dx.doi.org/10.1016/j.hal.2016.11.014","http://dx.doi.org/10.1016/j.hal.2016.11.014")</f>
        <v>http://dx.doi.org/10.1016/j.hal.2016.11.014</v>
      </c>
      <c r="BG457" t="s">
        <v>74</v>
      </c>
      <c r="BH457" t="s">
        <v>74</v>
      </c>
      <c r="BI457">
        <v>10</v>
      </c>
      <c r="BJ457" t="s">
        <v>2474</v>
      </c>
      <c r="BK457" t="s">
        <v>101</v>
      </c>
      <c r="BL457" t="s">
        <v>2474</v>
      </c>
      <c r="BM457" t="s">
        <v>2475</v>
      </c>
      <c r="BN457" t="s">
        <v>74</v>
      </c>
      <c r="BO457" t="s">
        <v>74</v>
      </c>
      <c r="BP457" t="s">
        <v>74</v>
      </c>
      <c r="BQ457" t="s">
        <v>74</v>
      </c>
      <c r="BR457" t="s">
        <v>105</v>
      </c>
      <c r="BS457" t="s">
        <v>8913</v>
      </c>
      <c r="BT457" t="str">
        <f>HYPERLINK("https%3A%2F%2Fwww.webofscience.com%2Fwos%2Fwoscc%2Ffull-record%2FWOS:000392890000005","View Full Record in Web of Science")</f>
        <v>View Full Record in Web of Science</v>
      </c>
    </row>
    <row r="458" spans="1:72" x14ac:dyDescent="0.15">
      <c r="A458" t="s">
        <v>72</v>
      </c>
      <c r="B458" t="s">
        <v>8914</v>
      </c>
      <c r="C458" t="s">
        <v>74</v>
      </c>
      <c r="D458" t="s">
        <v>74</v>
      </c>
      <c r="E458" t="s">
        <v>74</v>
      </c>
      <c r="F458" t="s">
        <v>8915</v>
      </c>
      <c r="G458" t="s">
        <v>74</v>
      </c>
      <c r="H458" t="s">
        <v>74</v>
      </c>
      <c r="I458" t="s">
        <v>8916</v>
      </c>
      <c r="J458" t="s">
        <v>8917</v>
      </c>
      <c r="K458" t="s">
        <v>74</v>
      </c>
      <c r="L458" t="s">
        <v>74</v>
      </c>
      <c r="M458" t="s">
        <v>78</v>
      </c>
      <c r="N458" t="s">
        <v>79</v>
      </c>
      <c r="O458" t="s">
        <v>74</v>
      </c>
      <c r="P458" t="s">
        <v>74</v>
      </c>
      <c r="Q458" t="s">
        <v>74</v>
      </c>
      <c r="R458" t="s">
        <v>74</v>
      </c>
      <c r="S458" t="s">
        <v>74</v>
      </c>
      <c r="T458" t="s">
        <v>8918</v>
      </c>
      <c r="U458" t="s">
        <v>8919</v>
      </c>
      <c r="V458" t="s">
        <v>8920</v>
      </c>
      <c r="W458" t="s">
        <v>8921</v>
      </c>
      <c r="X458" t="s">
        <v>8922</v>
      </c>
      <c r="Y458" t="s">
        <v>8923</v>
      </c>
      <c r="Z458" t="s">
        <v>8924</v>
      </c>
      <c r="AA458" t="s">
        <v>8925</v>
      </c>
      <c r="AB458" t="s">
        <v>8926</v>
      </c>
      <c r="AC458" t="s">
        <v>8927</v>
      </c>
      <c r="AD458" t="s">
        <v>8928</v>
      </c>
      <c r="AE458" t="s">
        <v>8929</v>
      </c>
      <c r="AF458" t="s">
        <v>74</v>
      </c>
      <c r="AG458">
        <v>20</v>
      </c>
      <c r="AH458">
        <v>16</v>
      </c>
      <c r="AI458">
        <v>17</v>
      </c>
      <c r="AJ458">
        <v>0</v>
      </c>
      <c r="AK458">
        <v>19</v>
      </c>
      <c r="AL458" t="s">
        <v>291</v>
      </c>
      <c r="AM458" t="s">
        <v>292</v>
      </c>
      <c r="AN458" t="s">
        <v>293</v>
      </c>
      <c r="AO458" t="s">
        <v>8930</v>
      </c>
      <c r="AP458" t="s">
        <v>74</v>
      </c>
      <c r="AQ458" t="s">
        <v>74</v>
      </c>
      <c r="AR458" t="s">
        <v>8917</v>
      </c>
      <c r="AS458" t="s">
        <v>8931</v>
      </c>
      <c r="AT458" t="s">
        <v>2136</v>
      </c>
      <c r="AU458">
        <v>2017</v>
      </c>
      <c r="AV458">
        <v>125</v>
      </c>
      <c r="AW458" t="s">
        <v>74</v>
      </c>
      <c r="AX458" t="s">
        <v>74</v>
      </c>
      <c r="AY458" t="s">
        <v>74</v>
      </c>
      <c r="AZ458" t="s">
        <v>74</v>
      </c>
      <c r="BA458" t="s">
        <v>74</v>
      </c>
      <c r="BB458">
        <v>110</v>
      </c>
      <c r="BC458">
        <v>119</v>
      </c>
      <c r="BD458" t="s">
        <v>74</v>
      </c>
      <c r="BE458" t="s">
        <v>8932</v>
      </c>
      <c r="BF458" t="str">
        <f>HYPERLINK("http://dx.doi.org/10.1016/j.toxicon.2016.11.262","http://dx.doi.org/10.1016/j.toxicon.2016.11.262")</f>
        <v>http://dx.doi.org/10.1016/j.toxicon.2016.11.262</v>
      </c>
      <c r="BG458" t="s">
        <v>74</v>
      </c>
      <c r="BH458" t="s">
        <v>74</v>
      </c>
      <c r="BI458">
        <v>10</v>
      </c>
      <c r="BJ458" t="s">
        <v>8933</v>
      </c>
      <c r="BK458" t="s">
        <v>101</v>
      </c>
      <c r="BL458" t="s">
        <v>8933</v>
      </c>
      <c r="BM458" t="s">
        <v>8934</v>
      </c>
      <c r="BN458">
        <v>27914887</v>
      </c>
      <c r="BO458" t="s">
        <v>1223</v>
      </c>
      <c r="BP458" t="s">
        <v>74</v>
      </c>
      <c r="BQ458" t="s">
        <v>74</v>
      </c>
      <c r="BR458" t="s">
        <v>105</v>
      </c>
      <c r="BS458" t="s">
        <v>8935</v>
      </c>
      <c r="BT458" t="str">
        <f>HYPERLINK("https%3A%2F%2Fwww.webofscience.com%2Fwos%2Fwoscc%2Ffull-record%2FWOS:000392895800016","View Full Record in Web of Science")</f>
        <v>View Full Record in Web of Science</v>
      </c>
    </row>
    <row r="459" spans="1:72" x14ac:dyDescent="0.15">
      <c r="A459" t="s">
        <v>72</v>
      </c>
      <c r="B459" t="s">
        <v>8936</v>
      </c>
      <c r="C459" t="s">
        <v>74</v>
      </c>
      <c r="D459" t="s">
        <v>74</v>
      </c>
      <c r="E459" t="s">
        <v>74</v>
      </c>
      <c r="F459" t="s">
        <v>8937</v>
      </c>
      <c r="G459" t="s">
        <v>74</v>
      </c>
      <c r="H459" t="s">
        <v>74</v>
      </c>
      <c r="I459" t="s">
        <v>8938</v>
      </c>
      <c r="J459" t="s">
        <v>8939</v>
      </c>
      <c r="K459" t="s">
        <v>74</v>
      </c>
      <c r="L459" t="s">
        <v>74</v>
      </c>
      <c r="M459" t="s">
        <v>78</v>
      </c>
      <c r="N459" t="s">
        <v>79</v>
      </c>
      <c r="O459" t="s">
        <v>74</v>
      </c>
      <c r="P459" t="s">
        <v>74</v>
      </c>
      <c r="Q459" t="s">
        <v>74</v>
      </c>
      <c r="R459" t="s">
        <v>74</v>
      </c>
      <c r="S459" t="s">
        <v>74</v>
      </c>
      <c r="T459" t="s">
        <v>8940</v>
      </c>
      <c r="U459" t="s">
        <v>8941</v>
      </c>
      <c r="V459" t="s">
        <v>8942</v>
      </c>
      <c r="W459" t="s">
        <v>8943</v>
      </c>
      <c r="X459" t="s">
        <v>8944</v>
      </c>
      <c r="Y459" t="s">
        <v>8945</v>
      </c>
      <c r="Z459" t="s">
        <v>8946</v>
      </c>
      <c r="AA459" t="s">
        <v>8947</v>
      </c>
      <c r="AB459" t="s">
        <v>8948</v>
      </c>
      <c r="AC459" t="s">
        <v>8949</v>
      </c>
      <c r="AD459" t="s">
        <v>8950</v>
      </c>
      <c r="AE459" t="s">
        <v>8951</v>
      </c>
      <c r="AF459" t="s">
        <v>74</v>
      </c>
      <c r="AG459">
        <v>40</v>
      </c>
      <c r="AH459">
        <v>12</v>
      </c>
      <c r="AI459">
        <v>12</v>
      </c>
      <c r="AJ459">
        <v>0</v>
      </c>
      <c r="AK459">
        <v>19</v>
      </c>
      <c r="AL459" t="s">
        <v>2377</v>
      </c>
      <c r="AM459" t="s">
        <v>2378</v>
      </c>
      <c r="AN459" t="s">
        <v>2379</v>
      </c>
      <c r="AO459" t="s">
        <v>8952</v>
      </c>
      <c r="AP459" t="s">
        <v>8953</v>
      </c>
      <c r="AQ459" t="s">
        <v>74</v>
      </c>
      <c r="AR459" t="s">
        <v>8954</v>
      </c>
      <c r="AS459" t="s">
        <v>8955</v>
      </c>
      <c r="AT459" t="s">
        <v>2136</v>
      </c>
      <c r="AU459">
        <v>2017</v>
      </c>
      <c r="AV459">
        <v>90</v>
      </c>
      <c r="AW459">
        <v>1</v>
      </c>
      <c r="AX459" t="s">
        <v>74</v>
      </c>
      <c r="AY459" t="s">
        <v>74</v>
      </c>
      <c r="AZ459" t="s">
        <v>74</v>
      </c>
      <c r="BA459" t="s">
        <v>74</v>
      </c>
      <c r="BB459">
        <v>39</v>
      </c>
      <c r="BC459">
        <v>60</v>
      </c>
      <c r="BD459" t="s">
        <v>74</v>
      </c>
      <c r="BE459" t="s">
        <v>8956</v>
      </c>
      <c r="BF459" t="str">
        <f>HYPERLINK("http://dx.doi.org/10.1111/jfb.13102","http://dx.doi.org/10.1111/jfb.13102")</f>
        <v>http://dx.doi.org/10.1111/jfb.13102</v>
      </c>
      <c r="BG459" t="s">
        <v>74</v>
      </c>
      <c r="BH459" t="s">
        <v>74</v>
      </c>
      <c r="BI459">
        <v>22</v>
      </c>
      <c r="BJ459" t="s">
        <v>6883</v>
      </c>
      <c r="BK459" t="s">
        <v>101</v>
      </c>
      <c r="BL459" t="s">
        <v>6883</v>
      </c>
      <c r="BM459" t="s">
        <v>8957</v>
      </c>
      <c r="BN459">
        <v>27774596</v>
      </c>
      <c r="BO459" t="s">
        <v>74</v>
      </c>
      <c r="BP459" t="s">
        <v>74</v>
      </c>
      <c r="BQ459" t="s">
        <v>74</v>
      </c>
      <c r="BR459" t="s">
        <v>105</v>
      </c>
      <c r="BS459" t="s">
        <v>8958</v>
      </c>
      <c r="BT459" t="str">
        <f>HYPERLINK("https%3A%2F%2Fwww.webofscience.com%2Fwos%2Fwoscc%2Ffull-record%2FWOS:000392427500002","View Full Record in Web of Science")</f>
        <v>View Full Record in Web of Science</v>
      </c>
    </row>
    <row r="460" spans="1:72" x14ac:dyDescent="0.15">
      <c r="A460" t="s">
        <v>72</v>
      </c>
      <c r="B460" t="s">
        <v>8959</v>
      </c>
      <c r="C460" t="s">
        <v>74</v>
      </c>
      <c r="D460" t="s">
        <v>74</v>
      </c>
      <c r="E460" t="s">
        <v>74</v>
      </c>
      <c r="F460" t="s">
        <v>8960</v>
      </c>
      <c r="G460" t="s">
        <v>74</v>
      </c>
      <c r="H460" t="s">
        <v>74</v>
      </c>
      <c r="I460" t="s">
        <v>8961</v>
      </c>
      <c r="J460" t="s">
        <v>6624</v>
      </c>
      <c r="K460" t="s">
        <v>74</v>
      </c>
      <c r="L460" t="s">
        <v>74</v>
      </c>
      <c r="M460" t="s">
        <v>78</v>
      </c>
      <c r="N460" t="s">
        <v>79</v>
      </c>
      <c r="O460" t="s">
        <v>74</v>
      </c>
      <c r="P460" t="s">
        <v>74</v>
      </c>
      <c r="Q460" t="s">
        <v>74</v>
      </c>
      <c r="R460" t="s">
        <v>74</v>
      </c>
      <c r="S460" t="s">
        <v>74</v>
      </c>
      <c r="T460" t="s">
        <v>74</v>
      </c>
      <c r="U460" t="s">
        <v>8962</v>
      </c>
      <c r="V460" t="s">
        <v>8963</v>
      </c>
      <c r="W460" t="s">
        <v>8964</v>
      </c>
      <c r="X460" t="s">
        <v>8965</v>
      </c>
      <c r="Y460" t="s">
        <v>8966</v>
      </c>
      <c r="Z460" t="s">
        <v>8967</v>
      </c>
      <c r="AA460" t="s">
        <v>8968</v>
      </c>
      <c r="AB460" t="s">
        <v>8969</v>
      </c>
      <c r="AC460" t="s">
        <v>8970</v>
      </c>
      <c r="AD460" t="s">
        <v>8971</v>
      </c>
      <c r="AE460" t="s">
        <v>8972</v>
      </c>
      <c r="AF460" t="s">
        <v>74</v>
      </c>
      <c r="AG460">
        <v>33</v>
      </c>
      <c r="AH460">
        <v>2</v>
      </c>
      <c r="AI460">
        <v>2</v>
      </c>
      <c r="AJ460">
        <v>1</v>
      </c>
      <c r="AK460">
        <v>7</v>
      </c>
      <c r="AL460" t="s">
        <v>6635</v>
      </c>
      <c r="AM460" t="s">
        <v>93</v>
      </c>
      <c r="AN460" t="s">
        <v>6636</v>
      </c>
      <c r="AO460" t="s">
        <v>6637</v>
      </c>
      <c r="AP460" t="s">
        <v>6638</v>
      </c>
      <c r="AQ460" t="s">
        <v>74</v>
      </c>
      <c r="AR460" t="s">
        <v>6639</v>
      </c>
      <c r="AS460" t="s">
        <v>6640</v>
      </c>
      <c r="AT460" t="s">
        <v>74</v>
      </c>
      <c r="AU460">
        <v>2017</v>
      </c>
      <c r="AV460">
        <v>2017</v>
      </c>
      <c r="AW460" t="s">
        <v>74</v>
      </c>
      <c r="AX460" t="s">
        <v>74</v>
      </c>
      <c r="AY460" t="s">
        <v>74</v>
      </c>
      <c r="AZ460" t="s">
        <v>74</v>
      </c>
      <c r="BA460" t="s">
        <v>74</v>
      </c>
      <c r="BB460" t="s">
        <v>74</v>
      </c>
      <c r="BC460" t="s">
        <v>74</v>
      </c>
      <c r="BD460">
        <v>7686540</v>
      </c>
      <c r="BE460" t="s">
        <v>8973</v>
      </c>
      <c r="BF460" t="str">
        <f>HYPERLINK("http://dx.doi.org/10.1155/2017/7686540","http://dx.doi.org/10.1155/2017/7686540")</f>
        <v>http://dx.doi.org/10.1155/2017/7686540</v>
      </c>
      <c r="BG460" t="s">
        <v>74</v>
      </c>
      <c r="BH460" t="s">
        <v>74</v>
      </c>
      <c r="BI460">
        <v>11</v>
      </c>
      <c r="BJ460" t="s">
        <v>747</v>
      </c>
      <c r="BK460" t="s">
        <v>101</v>
      </c>
      <c r="BL460" t="s">
        <v>747</v>
      </c>
      <c r="BM460" t="s">
        <v>8974</v>
      </c>
      <c r="BN460" t="s">
        <v>74</v>
      </c>
      <c r="BO460" t="s">
        <v>790</v>
      </c>
      <c r="BP460" t="s">
        <v>74</v>
      </c>
      <c r="BQ460" t="s">
        <v>74</v>
      </c>
      <c r="BR460" t="s">
        <v>105</v>
      </c>
      <c r="BS460" t="s">
        <v>8975</v>
      </c>
      <c r="BT460" t="str">
        <f>HYPERLINK("https%3A%2F%2Fwww.webofscience.com%2Fwos%2Fwoscc%2Ffull-record%2FWOS:000392577200001","View Full Record in Web of Science")</f>
        <v>View Full Record in Web of Science</v>
      </c>
    </row>
    <row r="461" spans="1:72" x14ac:dyDescent="0.15">
      <c r="A461" t="s">
        <v>72</v>
      </c>
      <c r="B461" t="s">
        <v>8976</v>
      </c>
      <c r="C461" t="s">
        <v>74</v>
      </c>
      <c r="D461" t="s">
        <v>74</v>
      </c>
      <c r="E461" t="s">
        <v>74</v>
      </c>
      <c r="F461" t="s">
        <v>8977</v>
      </c>
      <c r="G461" t="s">
        <v>74</v>
      </c>
      <c r="H461" t="s">
        <v>74</v>
      </c>
      <c r="I461" t="s">
        <v>8978</v>
      </c>
      <c r="J461" t="s">
        <v>8979</v>
      </c>
      <c r="K461" t="s">
        <v>74</v>
      </c>
      <c r="L461" t="s">
        <v>74</v>
      </c>
      <c r="M461" t="s">
        <v>78</v>
      </c>
      <c r="N461" t="s">
        <v>79</v>
      </c>
      <c r="O461" t="s">
        <v>74</v>
      </c>
      <c r="P461" t="s">
        <v>74</v>
      </c>
      <c r="Q461" t="s">
        <v>74</v>
      </c>
      <c r="R461" t="s">
        <v>74</v>
      </c>
      <c r="S461" t="s">
        <v>74</v>
      </c>
      <c r="T461" t="s">
        <v>8980</v>
      </c>
      <c r="U461" t="s">
        <v>8981</v>
      </c>
      <c r="V461" t="s">
        <v>8982</v>
      </c>
      <c r="W461" t="s">
        <v>8983</v>
      </c>
      <c r="X461" t="s">
        <v>8984</v>
      </c>
      <c r="Y461" t="s">
        <v>8985</v>
      </c>
      <c r="Z461" t="s">
        <v>8986</v>
      </c>
      <c r="AA461" t="s">
        <v>8987</v>
      </c>
      <c r="AB461" t="s">
        <v>8988</v>
      </c>
      <c r="AC461" t="s">
        <v>8989</v>
      </c>
      <c r="AD461" t="s">
        <v>8990</v>
      </c>
      <c r="AE461" t="s">
        <v>8991</v>
      </c>
      <c r="AF461" t="s">
        <v>74</v>
      </c>
      <c r="AG461">
        <v>55</v>
      </c>
      <c r="AH461">
        <v>14</v>
      </c>
      <c r="AI461">
        <v>14</v>
      </c>
      <c r="AJ461">
        <v>1</v>
      </c>
      <c r="AK461">
        <v>18</v>
      </c>
      <c r="AL461" t="s">
        <v>2377</v>
      </c>
      <c r="AM461" t="s">
        <v>2378</v>
      </c>
      <c r="AN461" t="s">
        <v>2379</v>
      </c>
      <c r="AO461" t="s">
        <v>8992</v>
      </c>
      <c r="AP461" t="s">
        <v>74</v>
      </c>
      <c r="AQ461" t="s">
        <v>74</v>
      </c>
      <c r="AR461" t="s">
        <v>8993</v>
      </c>
      <c r="AS461" t="s">
        <v>8994</v>
      </c>
      <c r="AT461" t="s">
        <v>2136</v>
      </c>
      <c r="AU461">
        <v>2017</v>
      </c>
      <c r="AV461">
        <v>7</v>
      </c>
      <c r="AW461">
        <v>2</v>
      </c>
      <c r="AX461" t="s">
        <v>74</v>
      </c>
      <c r="AY461" t="s">
        <v>74</v>
      </c>
      <c r="AZ461" t="s">
        <v>74</v>
      </c>
      <c r="BA461" t="s">
        <v>74</v>
      </c>
      <c r="BB461">
        <v>606</v>
      </c>
      <c r="BC461">
        <v>618</v>
      </c>
      <c r="BD461" t="s">
        <v>74</v>
      </c>
      <c r="BE461" t="s">
        <v>8995</v>
      </c>
      <c r="BF461" t="str">
        <f>HYPERLINK("http://dx.doi.org/10.1002/ece3.2652","http://dx.doi.org/10.1002/ece3.2652")</f>
        <v>http://dx.doi.org/10.1002/ece3.2652</v>
      </c>
      <c r="BG461" t="s">
        <v>74</v>
      </c>
      <c r="BH461" t="s">
        <v>74</v>
      </c>
      <c r="BI461">
        <v>13</v>
      </c>
      <c r="BJ461" t="s">
        <v>8996</v>
      </c>
      <c r="BK461" t="s">
        <v>101</v>
      </c>
      <c r="BL461" t="s">
        <v>8997</v>
      </c>
      <c r="BM461" t="s">
        <v>8998</v>
      </c>
      <c r="BN461">
        <v>28116057</v>
      </c>
      <c r="BO461" t="s">
        <v>1368</v>
      </c>
      <c r="BP461" t="s">
        <v>74</v>
      </c>
      <c r="BQ461" t="s">
        <v>74</v>
      </c>
      <c r="BR461" t="s">
        <v>105</v>
      </c>
      <c r="BS461" t="s">
        <v>8999</v>
      </c>
      <c r="BT461" t="str">
        <f>HYPERLINK("https%3A%2F%2Fwww.webofscience.com%2Fwos%2Fwoscc%2Ffull-record%2FWOS:000392075300014","View Full Record in Web of Science")</f>
        <v>View Full Record in Web of Science</v>
      </c>
    </row>
    <row r="462" spans="1:72" x14ac:dyDescent="0.15">
      <c r="A462" t="s">
        <v>72</v>
      </c>
      <c r="B462" t="s">
        <v>9000</v>
      </c>
      <c r="C462" t="s">
        <v>74</v>
      </c>
      <c r="D462" t="s">
        <v>74</v>
      </c>
      <c r="E462" t="s">
        <v>74</v>
      </c>
      <c r="F462" t="s">
        <v>9001</v>
      </c>
      <c r="G462" t="s">
        <v>74</v>
      </c>
      <c r="H462" t="s">
        <v>74</v>
      </c>
      <c r="I462" t="s">
        <v>9002</v>
      </c>
      <c r="J462" t="s">
        <v>9003</v>
      </c>
      <c r="K462" t="s">
        <v>74</v>
      </c>
      <c r="L462" t="s">
        <v>74</v>
      </c>
      <c r="M462" t="s">
        <v>78</v>
      </c>
      <c r="N462" t="s">
        <v>79</v>
      </c>
      <c r="O462" t="s">
        <v>74</v>
      </c>
      <c r="P462" t="s">
        <v>74</v>
      </c>
      <c r="Q462" t="s">
        <v>74</v>
      </c>
      <c r="R462" t="s">
        <v>74</v>
      </c>
      <c r="S462" t="s">
        <v>74</v>
      </c>
      <c r="T462" t="s">
        <v>9004</v>
      </c>
      <c r="U462" t="s">
        <v>9005</v>
      </c>
      <c r="V462" t="s">
        <v>9006</v>
      </c>
      <c r="W462" t="s">
        <v>9007</v>
      </c>
      <c r="X462" t="s">
        <v>9008</v>
      </c>
      <c r="Y462" t="s">
        <v>9009</v>
      </c>
      <c r="Z462" t="s">
        <v>9010</v>
      </c>
      <c r="AA462" t="s">
        <v>9011</v>
      </c>
      <c r="AB462" t="s">
        <v>9012</v>
      </c>
      <c r="AC462" t="s">
        <v>9013</v>
      </c>
      <c r="AD462" t="s">
        <v>9014</v>
      </c>
      <c r="AE462" t="s">
        <v>9015</v>
      </c>
      <c r="AF462" t="s">
        <v>74</v>
      </c>
      <c r="AG462">
        <v>19</v>
      </c>
      <c r="AH462">
        <v>3</v>
      </c>
      <c r="AI462">
        <v>3</v>
      </c>
      <c r="AJ462">
        <v>0</v>
      </c>
      <c r="AK462">
        <v>8</v>
      </c>
      <c r="AL462" t="s">
        <v>3841</v>
      </c>
      <c r="AM462" t="s">
        <v>3261</v>
      </c>
      <c r="AN462" t="s">
        <v>8680</v>
      </c>
      <c r="AO462" t="s">
        <v>9016</v>
      </c>
      <c r="AP462" t="s">
        <v>9017</v>
      </c>
      <c r="AQ462" t="s">
        <v>74</v>
      </c>
      <c r="AR462" t="s">
        <v>9018</v>
      </c>
      <c r="AS462" t="s">
        <v>9019</v>
      </c>
      <c r="AT462" t="s">
        <v>2136</v>
      </c>
      <c r="AU462">
        <v>2017</v>
      </c>
      <c r="AV462">
        <v>35</v>
      </c>
      <c r="AW462">
        <v>1</v>
      </c>
      <c r="AX462" t="s">
        <v>74</v>
      </c>
      <c r="AY462" t="s">
        <v>74</v>
      </c>
      <c r="AZ462" t="s">
        <v>74</v>
      </c>
      <c r="BA462" t="s">
        <v>74</v>
      </c>
      <c r="BB462">
        <v>131</v>
      </c>
      <c r="BC462">
        <v>135</v>
      </c>
      <c r="BD462" t="s">
        <v>74</v>
      </c>
      <c r="BE462" t="s">
        <v>9020</v>
      </c>
      <c r="BF462" t="str">
        <f>HYPERLINK("http://dx.doi.org/10.1007/s10164-016-0500-x","http://dx.doi.org/10.1007/s10164-016-0500-x")</f>
        <v>http://dx.doi.org/10.1007/s10164-016-0500-x</v>
      </c>
      <c r="BG462" t="s">
        <v>74</v>
      </c>
      <c r="BH462" t="s">
        <v>74</v>
      </c>
      <c r="BI462">
        <v>5</v>
      </c>
      <c r="BJ462" t="s">
        <v>9021</v>
      </c>
      <c r="BK462" t="s">
        <v>101</v>
      </c>
      <c r="BL462" t="s">
        <v>9021</v>
      </c>
      <c r="BM462" t="s">
        <v>9022</v>
      </c>
      <c r="BN462" t="s">
        <v>74</v>
      </c>
      <c r="BO462" t="s">
        <v>74</v>
      </c>
      <c r="BP462" t="s">
        <v>74</v>
      </c>
      <c r="BQ462" t="s">
        <v>74</v>
      </c>
      <c r="BR462" t="s">
        <v>105</v>
      </c>
      <c r="BS462" t="s">
        <v>9023</v>
      </c>
      <c r="BT462" t="str">
        <f>HYPERLINK("https%3A%2F%2Fwww.webofscience.com%2Fwos%2Fwoscc%2Ffull-record%2FWOS:000392031600015","View Full Record in Web of Science")</f>
        <v>View Full Record in Web of Science</v>
      </c>
    </row>
    <row r="463" spans="1:72" x14ac:dyDescent="0.15">
      <c r="A463" t="s">
        <v>72</v>
      </c>
      <c r="B463" t="s">
        <v>9024</v>
      </c>
      <c r="C463" t="s">
        <v>74</v>
      </c>
      <c r="D463" t="s">
        <v>74</v>
      </c>
      <c r="E463" t="s">
        <v>74</v>
      </c>
      <c r="F463" t="s">
        <v>9025</v>
      </c>
      <c r="G463" t="s">
        <v>74</v>
      </c>
      <c r="H463" t="s">
        <v>74</v>
      </c>
      <c r="I463" t="s">
        <v>9026</v>
      </c>
      <c r="J463" t="s">
        <v>9027</v>
      </c>
      <c r="K463" t="s">
        <v>74</v>
      </c>
      <c r="L463" t="s">
        <v>74</v>
      </c>
      <c r="M463" t="s">
        <v>78</v>
      </c>
      <c r="N463" t="s">
        <v>79</v>
      </c>
      <c r="O463" t="s">
        <v>74</v>
      </c>
      <c r="P463" t="s">
        <v>74</v>
      </c>
      <c r="Q463" t="s">
        <v>74</v>
      </c>
      <c r="R463" t="s">
        <v>74</v>
      </c>
      <c r="S463" t="s">
        <v>74</v>
      </c>
      <c r="T463" t="s">
        <v>74</v>
      </c>
      <c r="U463" t="s">
        <v>9028</v>
      </c>
      <c r="V463" t="s">
        <v>9029</v>
      </c>
      <c r="W463" t="s">
        <v>9030</v>
      </c>
      <c r="X463" t="s">
        <v>9031</v>
      </c>
      <c r="Y463" t="s">
        <v>9032</v>
      </c>
      <c r="Z463" t="s">
        <v>9033</v>
      </c>
      <c r="AA463" t="s">
        <v>9034</v>
      </c>
      <c r="AB463" t="s">
        <v>9035</v>
      </c>
      <c r="AC463" t="s">
        <v>9036</v>
      </c>
      <c r="AD463" t="s">
        <v>9037</v>
      </c>
      <c r="AE463" t="s">
        <v>9038</v>
      </c>
      <c r="AF463" t="s">
        <v>74</v>
      </c>
      <c r="AG463">
        <v>43</v>
      </c>
      <c r="AH463">
        <v>173</v>
      </c>
      <c r="AI463">
        <v>184</v>
      </c>
      <c r="AJ463">
        <v>3</v>
      </c>
      <c r="AK463">
        <v>29</v>
      </c>
      <c r="AL463" t="s">
        <v>2603</v>
      </c>
      <c r="AM463" t="s">
        <v>2604</v>
      </c>
      <c r="AN463" t="s">
        <v>2605</v>
      </c>
      <c r="AO463" t="s">
        <v>9039</v>
      </c>
      <c r="AP463" t="s">
        <v>9040</v>
      </c>
      <c r="AQ463" t="s">
        <v>74</v>
      </c>
      <c r="AR463" t="s">
        <v>9041</v>
      </c>
      <c r="AS463" t="s">
        <v>9042</v>
      </c>
      <c r="AT463" t="s">
        <v>2136</v>
      </c>
      <c r="AU463">
        <v>2017</v>
      </c>
      <c r="AV463">
        <v>74</v>
      </c>
      <c r="AW463">
        <v>1</v>
      </c>
      <c r="AX463" t="s">
        <v>74</v>
      </c>
      <c r="AY463" t="s">
        <v>74</v>
      </c>
      <c r="AZ463" t="s">
        <v>74</v>
      </c>
      <c r="BA463" t="s">
        <v>74</v>
      </c>
      <c r="BB463">
        <v>275</v>
      </c>
      <c r="BC463">
        <v>291</v>
      </c>
      <c r="BD463" t="s">
        <v>74</v>
      </c>
      <c r="BE463" t="s">
        <v>9043</v>
      </c>
      <c r="BF463" t="str">
        <f>HYPERLINK("http://dx.doi.org/10.1175/JAS-D-16-0104.1","http://dx.doi.org/10.1175/JAS-D-16-0104.1")</f>
        <v>http://dx.doi.org/10.1175/JAS-D-16-0104.1</v>
      </c>
      <c r="BG463" t="s">
        <v>74</v>
      </c>
      <c r="BH463" t="s">
        <v>74</v>
      </c>
      <c r="BI463">
        <v>17</v>
      </c>
      <c r="BJ463" t="s">
        <v>747</v>
      </c>
      <c r="BK463" t="s">
        <v>101</v>
      </c>
      <c r="BL463" t="s">
        <v>747</v>
      </c>
      <c r="BM463" t="s">
        <v>9044</v>
      </c>
      <c r="BN463" t="s">
        <v>74</v>
      </c>
      <c r="BO463" t="s">
        <v>74</v>
      </c>
      <c r="BP463" t="s">
        <v>813</v>
      </c>
      <c r="BQ463" t="s">
        <v>814</v>
      </c>
      <c r="BR463" t="s">
        <v>105</v>
      </c>
      <c r="BS463" t="s">
        <v>9045</v>
      </c>
      <c r="BT463" t="str">
        <f>HYPERLINK("https%3A%2F%2Fwww.webofscience.com%2Fwos%2Fwoscc%2Ffull-record%2FWOS:000392419300016","View Full Record in Web of Science")</f>
        <v>View Full Record in Web of Science</v>
      </c>
    </row>
    <row r="464" spans="1:72" x14ac:dyDescent="0.15">
      <c r="A464" t="s">
        <v>72</v>
      </c>
      <c r="B464" t="s">
        <v>9046</v>
      </c>
      <c r="C464" t="s">
        <v>74</v>
      </c>
      <c r="D464" t="s">
        <v>74</v>
      </c>
      <c r="E464" t="s">
        <v>74</v>
      </c>
      <c r="F464" t="s">
        <v>9047</v>
      </c>
      <c r="G464" t="s">
        <v>74</v>
      </c>
      <c r="H464" t="s">
        <v>74</v>
      </c>
      <c r="I464" t="s">
        <v>9048</v>
      </c>
      <c r="J464" t="s">
        <v>2837</v>
      </c>
      <c r="K464" t="s">
        <v>74</v>
      </c>
      <c r="L464" t="s">
        <v>74</v>
      </c>
      <c r="M464" t="s">
        <v>78</v>
      </c>
      <c r="N464" t="s">
        <v>79</v>
      </c>
      <c r="O464" t="s">
        <v>74</v>
      </c>
      <c r="P464" t="s">
        <v>74</v>
      </c>
      <c r="Q464" t="s">
        <v>74</v>
      </c>
      <c r="R464" t="s">
        <v>74</v>
      </c>
      <c r="S464" t="s">
        <v>74</v>
      </c>
      <c r="T464" t="s">
        <v>74</v>
      </c>
      <c r="U464" t="s">
        <v>9049</v>
      </c>
      <c r="V464" t="s">
        <v>9050</v>
      </c>
      <c r="W464" t="s">
        <v>9051</v>
      </c>
      <c r="X464" t="s">
        <v>9052</v>
      </c>
      <c r="Y464" t="s">
        <v>9053</v>
      </c>
      <c r="Z464" t="s">
        <v>9054</v>
      </c>
      <c r="AA464" t="s">
        <v>9055</v>
      </c>
      <c r="AB464" t="s">
        <v>9056</v>
      </c>
      <c r="AC464" t="s">
        <v>9057</v>
      </c>
      <c r="AD464" t="s">
        <v>9058</v>
      </c>
      <c r="AE464" t="s">
        <v>9059</v>
      </c>
      <c r="AF464" t="s">
        <v>74</v>
      </c>
      <c r="AG464">
        <v>91</v>
      </c>
      <c r="AH464">
        <v>25</v>
      </c>
      <c r="AI464">
        <v>25</v>
      </c>
      <c r="AJ464">
        <v>4</v>
      </c>
      <c r="AK464">
        <v>68</v>
      </c>
      <c r="AL464" t="s">
        <v>2351</v>
      </c>
      <c r="AM464" t="s">
        <v>2352</v>
      </c>
      <c r="AN464" t="s">
        <v>2353</v>
      </c>
      <c r="AO464" t="s">
        <v>2849</v>
      </c>
      <c r="AP464" t="s">
        <v>2850</v>
      </c>
      <c r="AQ464" t="s">
        <v>74</v>
      </c>
      <c r="AR464" t="s">
        <v>2851</v>
      </c>
      <c r="AS464" t="s">
        <v>2852</v>
      </c>
      <c r="AT464" t="s">
        <v>2136</v>
      </c>
      <c r="AU464">
        <v>2017</v>
      </c>
      <c r="AV464">
        <v>164</v>
      </c>
      <c r="AW464">
        <v>1</v>
      </c>
      <c r="AX464" t="s">
        <v>74</v>
      </c>
      <c r="AY464" t="s">
        <v>74</v>
      </c>
      <c r="AZ464" t="s">
        <v>74</v>
      </c>
      <c r="BA464" t="s">
        <v>74</v>
      </c>
      <c r="BB464" t="s">
        <v>74</v>
      </c>
      <c r="BC464" t="s">
        <v>74</v>
      </c>
      <c r="BD464">
        <v>7</v>
      </c>
      <c r="BE464" t="s">
        <v>9060</v>
      </c>
      <c r="BF464" t="str">
        <f>HYPERLINK("http://dx.doi.org/10.1007/s00227-016-3039-z","http://dx.doi.org/10.1007/s00227-016-3039-z")</f>
        <v>http://dx.doi.org/10.1007/s00227-016-3039-z</v>
      </c>
      <c r="BG464" t="s">
        <v>74</v>
      </c>
      <c r="BH464" t="s">
        <v>74</v>
      </c>
      <c r="BI464">
        <v>13</v>
      </c>
      <c r="BJ464" t="s">
        <v>2474</v>
      </c>
      <c r="BK464" t="s">
        <v>101</v>
      </c>
      <c r="BL464" t="s">
        <v>2474</v>
      </c>
      <c r="BM464" t="s">
        <v>2854</v>
      </c>
      <c r="BN464" t="s">
        <v>74</v>
      </c>
      <c r="BO464" t="s">
        <v>74</v>
      </c>
      <c r="BP464" t="s">
        <v>74</v>
      </c>
      <c r="BQ464" t="s">
        <v>74</v>
      </c>
      <c r="BR464" t="s">
        <v>105</v>
      </c>
      <c r="BS464" t="s">
        <v>9061</v>
      </c>
      <c r="BT464" t="str">
        <f>HYPERLINK("https%3A%2F%2Fwww.webofscience.com%2Fwos%2Fwoscc%2Ffull-record%2FWOS:000392332900007","View Full Record in Web of Science")</f>
        <v>View Full Record in Web of Science</v>
      </c>
    </row>
    <row r="465" spans="1:72" x14ac:dyDescent="0.15">
      <c r="A465" t="s">
        <v>72</v>
      </c>
      <c r="B465" t="s">
        <v>9062</v>
      </c>
      <c r="C465" t="s">
        <v>74</v>
      </c>
      <c r="D465" t="s">
        <v>74</v>
      </c>
      <c r="E465" t="s">
        <v>74</v>
      </c>
      <c r="F465" t="s">
        <v>9063</v>
      </c>
      <c r="G465" t="s">
        <v>74</v>
      </c>
      <c r="H465" t="s">
        <v>74</v>
      </c>
      <c r="I465" t="s">
        <v>9064</v>
      </c>
      <c r="J465" t="s">
        <v>9065</v>
      </c>
      <c r="K465" t="s">
        <v>74</v>
      </c>
      <c r="L465" t="s">
        <v>74</v>
      </c>
      <c r="M465" t="s">
        <v>78</v>
      </c>
      <c r="N465" t="s">
        <v>79</v>
      </c>
      <c r="O465" t="s">
        <v>74</v>
      </c>
      <c r="P465" t="s">
        <v>74</v>
      </c>
      <c r="Q465" t="s">
        <v>74</v>
      </c>
      <c r="R465" t="s">
        <v>74</v>
      </c>
      <c r="S465" t="s">
        <v>74</v>
      </c>
      <c r="T465" t="s">
        <v>9066</v>
      </c>
      <c r="U465" t="s">
        <v>9067</v>
      </c>
      <c r="V465" t="s">
        <v>9068</v>
      </c>
      <c r="W465" t="s">
        <v>9069</v>
      </c>
      <c r="X465" t="s">
        <v>9070</v>
      </c>
      <c r="Y465" t="s">
        <v>9071</v>
      </c>
      <c r="Z465" t="s">
        <v>9072</v>
      </c>
      <c r="AA465" t="s">
        <v>74</v>
      </c>
      <c r="AB465" t="s">
        <v>74</v>
      </c>
      <c r="AC465" t="s">
        <v>9073</v>
      </c>
      <c r="AD465" t="s">
        <v>9074</v>
      </c>
      <c r="AE465" t="s">
        <v>9075</v>
      </c>
      <c r="AF465" t="s">
        <v>74</v>
      </c>
      <c r="AG465">
        <v>28</v>
      </c>
      <c r="AH465">
        <v>14</v>
      </c>
      <c r="AI465">
        <v>21</v>
      </c>
      <c r="AJ465">
        <v>0</v>
      </c>
      <c r="AK465">
        <v>43</v>
      </c>
      <c r="AL465" t="s">
        <v>2325</v>
      </c>
      <c r="AM465" t="s">
        <v>292</v>
      </c>
      <c r="AN465" t="s">
        <v>2326</v>
      </c>
      <c r="AO465" t="s">
        <v>9076</v>
      </c>
      <c r="AP465" t="s">
        <v>9077</v>
      </c>
      <c r="AQ465" t="s">
        <v>74</v>
      </c>
      <c r="AR465" t="s">
        <v>9078</v>
      </c>
      <c r="AS465" t="s">
        <v>9079</v>
      </c>
      <c r="AT465" t="s">
        <v>2136</v>
      </c>
      <c r="AU465">
        <v>2017</v>
      </c>
      <c r="AV465">
        <v>75</v>
      </c>
      <c r="AW465" t="s">
        <v>74</v>
      </c>
      <c r="AX465" t="s">
        <v>74</v>
      </c>
      <c r="AY465" t="s">
        <v>74</v>
      </c>
      <c r="AZ465" t="s">
        <v>74</v>
      </c>
      <c r="BA465" t="s">
        <v>74</v>
      </c>
      <c r="BB465">
        <v>68</v>
      </c>
      <c r="BC465">
        <v>74</v>
      </c>
      <c r="BD465" t="s">
        <v>74</v>
      </c>
      <c r="BE465" t="s">
        <v>9080</v>
      </c>
      <c r="BF465" t="str">
        <f>HYPERLINK("http://dx.doi.org/10.1016/j.marpol.2016.10.010","http://dx.doi.org/10.1016/j.marpol.2016.10.010")</f>
        <v>http://dx.doi.org/10.1016/j.marpol.2016.10.010</v>
      </c>
      <c r="BG465" t="s">
        <v>74</v>
      </c>
      <c r="BH465" t="s">
        <v>74</v>
      </c>
      <c r="BI465">
        <v>7</v>
      </c>
      <c r="BJ465" t="s">
        <v>9081</v>
      </c>
      <c r="BK465" t="s">
        <v>1918</v>
      </c>
      <c r="BL465" t="s">
        <v>9082</v>
      </c>
      <c r="BM465" t="s">
        <v>9083</v>
      </c>
      <c r="BN465" t="s">
        <v>74</v>
      </c>
      <c r="BO465" t="s">
        <v>74</v>
      </c>
      <c r="BP465" t="s">
        <v>74</v>
      </c>
      <c r="BQ465" t="s">
        <v>74</v>
      </c>
      <c r="BR465" t="s">
        <v>105</v>
      </c>
      <c r="BS465" t="s">
        <v>9084</v>
      </c>
      <c r="BT465" t="str">
        <f>HYPERLINK("https%3A%2F%2Fwww.webofscience.com%2Fwos%2Fwoscc%2Ffull-record%2FWOS:000391904500009","View Full Record in Web of Science")</f>
        <v>View Full Record in Web of Science</v>
      </c>
    </row>
    <row r="466" spans="1:72" x14ac:dyDescent="0.15">
      <c r="A466" t="s">
        <v>72</v>
      </c>
      <c r="B466" t="s">
        <v>9085</v>
      </c>
      <c r="C466" t="s">
        <v>74</v>
      </c>
      <c r="D466" t="s">
        <v>74</v>
      </c>
      <c r="E466" t="s">
        <v>74</v>
      </c>
      <c r="F466" t="s">
        <v>9086</v>
      </c>
      <c r="G466" t="s">
        <v>74</v>
      </c>
      <c r="H466" t="s">
        <v>74</v>
      </c>
      <c r="I466" t="s">
        <v>9087</v>
      </c>
      <c r="J466" t="s">
        <v>9088</v>
      </c>
      <c r="K466" t="s">
        <v>74</v>
      </c>
      <c r="L466" t="s">
        <v>74</v>
      </c>
      <c r="M466" t="s">
        <v>78</v>
      </c>
      <c r="N466" t="s">
        <v>79</v>
      </c>
      <c r="O466" t="s">
        <v>74</v>
      </c>
      <c r="P466" t="s">
        <v>74</v>
      </c>
      <c r="Q466" t="s">
        <v>74</v>
      </c>
      <c r="R466" t="s">
        <v>74</v>
      </c>
      <c r="S466" t="s">
        <v>74</v>
      </c>
      <c r="T466" t="s">
        <v>9089</v>
      </c>
      <c r="U466" t="s">
        <v>9090</v>
      </c>
      <c r="V466" t="s">
        <v>9091</v>
      </c>
      <c r="W466" t="s">
        <v>9092</v>
      </c>
      <c r="X466" t="s">
        <v>9093</v>
      </c>
      <c r="Y466" t="s">
        <v>9094</v>
      </c>
      <c r="Z466" t="s">
        <v>9095</v>
      </c>
      <c r="AA466" t="s">
        <v>9096</v>
      </c>
      <c r="AB466" t="s">
        <v>9097</v>
      </c>
      <c r="AC466" t="s">
        <v>9098</v>
      </c>
      <c r="AD466" t="s">
        <v>9099</v>
      </c>
      <c r="AE466" t="s">
        <v>9100</v>
      </c>
      <c r="AF466" t="s">
        <v>74</v>
      </c>
      <c r="AG466">
        <v>36</v>
      </c>
      <c r="AH466">
        <v>7</v>
      </c>
      <c r="AI466">
        <v>7</v>
      </c>
      <c r="AJ466">
        <v>0</v>
      </c>
      <c r="AK466">
        <v>4</v>
      </c>
      <c r="AL466" t="s">
        <v>1967</v>
      </c>
      <c r="AM466" t="s">
        <v>1910</v>
      </c>
      <c r="AN466" t="s">
        <v>1968</v>
      </c>
      <c r="AO466" t="s">
        <v>9101</v>
      </c>
      <c r="AP466" t="s">
        <v>9102</v>
      </c>
      <c r="AQ466" t="s">
        <v>74</v>
      </c>
      <c r="AR466" t="s">
        <v>9103</v>
      </c>
      <c r="AS466" t="s">
        <v>9104</v>
      </c>
      <c r="AT466" t="s">
        <v>74</v>
      </c>
      <c r="AU466">
        <v>2017</v>
      </c>
      <c r="AV466">
        <v>15</v>
      </c>
      <c r="AW466">
        <v>2</v>
      </c>
      <c r="AX466" t="s">
        <v>74</v>
      </c>
      <c r="AY466" t="s">
        <v>74</v>
      </c>
      <c r="AZ466" t="s">
        <v>74</v>
      </c>
      <c r="BA466" t="s">
        <v>74</v>
      </c>
      <c r="BB466">
        <v>105</v>
      </c>
      <c r="BC466">
        <v>114</v>
      </c>
      <c r="BD466" t="s">
        <v>74</v>
      </c>
      <c r="BE466" t="s">
        <v>9105</v>
      </c>
      <c r="BF466" t="str">
        <f>HYPERLINK("http://dx.doi.org/10.1080/14772000.2016.1218371","http://dx.doi.org/10.1080/14772000.2016.1218371")</f>
        <v>http://dx.doi.org/10.1080/14772000.2016.1218371</v>
      </c>
      <c r="BG466" t="s">
        <v>74</v>
      </c>
      <c r="BH466" t="s">
        <v>74</v>
      </c>
      <c r="BI466">
        <v>10</v>
      </c>
      <c r="BJ466" t="s">
        <v>9106</v>
      </c>
      <c r="BK466" t="s">
        <v>101</v>
      </c>
      <c r="BL466" t="s">
        <v>9107</v>
      </c>
      <c r="BM466" t="s">
        <v>9108</v>
      </c>
      <c r="BN466" t="s">
        <v>74</v>
      </c>
      <c r="BO466" t="s">
        <v>74</v>
      </c>
      <c r="BP466" t="s">
        <v>74</v>
      </c>
      <c r="BQ466" t="s">
        <v>74</v>
      </c>
      <c r="BR466" t="s">
        <v>105</v>
      </c>
      <c r="BS466" t="s">
        <v>9109</v>
      </c>
      <c r="BT466" t="str">
        <f>HYPERLINK("https%3A%2F%2Fwww.webofscience.com%2Fwos%2Fwoscc%2Ffull-record%2FWOS:000392436900002","View Full Record in Web of Science")</f>
        <v>View Full Record in Web of Science</v>
      </c>
    </row>
    <row r="467" spans="1:72" x14ac:dyDescent="0.15">
      <c r="A467" t="s">
        <v>72</v>
      </c>
      <c r="B467" t="s">
        <v>9110</v>
      </c>
      <c r="C467" t="s">
        <v>74</v>
      </c>
      <c r="D467" t="s">
        <v>74</v>
      </c>
      <c r="E467" t="s">
        <v>74</v>
      </c>
      <c r="F467" t="s">
        <v>9111</v>
      </c>
      <c r="G467" t="s">
        <v>74</v>
      </c>
      <c r="H467" t="s">
        <v>74</v>
      </c>
      <c r="I467" t="s">
        <v>9112</v>
      </c>
      <c r="J467" t="s">
        <v>9113</v>
      </c>
      <c r="K467" t="s">
        <v>74</v>
      </c>
      <c r="L467" t="s">
        <v>74</v>
      </c>
      <c r="M467" t="s">
        <v>78</v>
      </c>
      <c r="N467" t="s">
        <v>79</v>
      </c>
      <c r="O467" t="s">
        <v>74</v>
      </c>
      <c r="P467" t="s">
        <v>74</v>
      </c>
      <c r="Q467" t="s">
        <v>74</v>
      </c>
      <c r="R467" t="s">
        <v>74</v>
      </c>
      <c r="S467" t="s">
        <v>74</v>
      </c>
      <c r="T467" t="s">
        <v>9114</v>
      </c>
      <c r="U467" t="s">
        <v>9115</v>
      </c>
      <c r="V467" t="s">
        <v>9116</v>
      </c>
      <c r="W467" t="s">
        <v>9117</v>
      </c>
      <c r="X467" t="s">
        <v>9118</v>
      </c>
      <c r="Y467" t="s">
        <v>9119</v>
      </c>
      <c r="Z467" t="s">
        <v>7773</v>
      </c>
      <c r="AA467" t="s">
        <v>9120</v>
      </c>
      <c r="AB467" t="s">
        <v>9121</v>
      </c>
      <c r="AC467" t="s">
        <v>9122</v>
      </c>
      <c r="AD467" t="s">
        <v>9123</v>
      </c>
      <c r="AE467" t="s">
        <v>9124</v>
      </c>
      <c r="AF467" t="s">
        <v>74</v>
      </c>
      <c r="AG467">
        <v>41</v>
      </c>
      <c r="AH467">
        <v>9</v>
      </c>
      <c r="AI467">
        <v>11</v>
      </c>
      <c r="AJ467">
        <v>0</v>
      </c>
      <c r="AK467">
        <v>20</v>
      </c>
      <c r="AL467" t="s">
        <v>211</v>
      </c>
      <c r="AM467" t="s">
        <v>187</v>
      </c>
      <c r="AN467" t="s">
        <v>933</v>
      </c>
      <c r="AO467" t="s">
        <v>9125</v>
      </c>
      <c r="AP467" t="s">
        <v>9126</v>
      </c>
      <c r="AQ467" t="s">
        <v>74</v>
      </c>
      <c r="AR467" t="s">
        <v>9127</v>
      </c>
      <c r="AS467" t="s">
        <v>9128</v>
      </c>
      <c r="AT467" t="s">
        <v>2136</v>
      </c>
      <c r="AU467">
        <v>2017</v>
      </c>
      <c r="AV467">
        <v>36</v>
      </c>
      <c r="AW467">
        <v>1</v>
      </c>
      <c r="AX467" t="s">
        <v>74</v>
      </c>
      <c r="AY467" t="s">
        <v>74</v>
      </c>
      <c r="AZ467" t="s">
        <v>74</v>
      </c>
      <c r="BA467" t="s">
        <v>74</v>
      </c>
      <c r="BB467">
        <v>64</v>
      </c>
      <c r="BC467">
        <v>72</v>
      </c>
      <c r="BD467" t="s">
        <v>74</v>
      </c>
      <c r="BE467" t="s">
        <v>9129</v>
      </c>
      <c r="BF467" t="str">
        <f>HYPERLINK("http://dx.doi.org/10.1007/s13131-017-0994-2","http://dx.doi.org/10.1007/s13131-017-0994-2")</f>
        <v>http://dx.doi.org/10.1007/s13131-017-0994-2</v>
      </c>
      <c r="BG467" t="s">
        <v>74</v>
      </c>
      <c r="BH467" t="s">
        <v>74</v>
      </c>
      <c r="BI467">
        <v>9</v>
      </c>
      <c r="BJ467" t="s">
        <v>2164</v>
      </c>
      <c r="BK467" t="s">
        <v>101</v>
      </c>
      <c r="BL467" t="s">
        <v>2164</v>
      </c>
      <c r="BM467" t="s">
        <v>9130</v>
      </c>
      <c r="BN467" t="s">
        <v>74</v>
      </c>
      <c r="BO467" t="s">
        <v>74</v>
      </c>
      <c r="BP467" t="s">
        <v>74</v>
      </c>
      <c r="BQ467" t="s">
        <v>74</v>
      </c>
      <c r="BR467" t="s">
        <v>105</v>
      </c>
      <c r="BS467" t="s">
        <v>9131</v>
      </c>
      <c r="BT467" t="str">
        <f>HYPERLINK("https%3A%2F%2Fwww.webofscience.com%2Fwos%2Fwoscc%2Ffull-record%2FWOS:000391778500008","View Full Record in Web of Science")</f>
        <v>View Full Record in Web of Science</v>
      </c>
    </row>
    <row r="468" spans="1:72" x14ac:dyDescent="0.15">
      <c r="A468" t="s">
        <v>72</v>
      </c>
      <c r="B468" t="s">
        <v>9132</v>
      </c>
      <c r="C468" t="s">
        <v>74</v>
      </c>
      <c r="D468" t="s">
        <v>74</v>
      </c>
      <c r="E468" t="s">
        <v>74</v>
      </c>
      <c r="F468" t="s">
        <v>9133</v>
      </c>
      <c r="G468" t="s">
        <v>74</v>
      </c>
      <c r="H468" t="s">
        <v>74</v>
      </c>
      <c r="I468" t="s">
        <v>9134</v>
      </c>
      <c r="J468" t="s">
        <v>9135</v>
      </c>
      <c r="K468" t="s">
        <v>74</v>
      </c>
      <c r="L468" t="s">
        <v>74</v>
      </c>
      <c r="M468" t="s">
        <v>78</v>
      </c>
      <c r="N468" t="s">
        <v>79</v>
      </c>
      <c r="O468" t="s">
        <v>74</v>
      </c>
      <c r="P468" t="s">
        <v>74</v>
      </c>
      <c r="Q468" t="s">
        <v>74</v>
      </c>
      <c r="R468" t="s">
        <v>74</v>
      </c>
      <c r="S468" t="s">
        <v>74</v>
      </c>
      <c r="T468" t="s">
        <v>9136</v>
      </c>
      <c r="U468" t="s">
        <v>9137</v>
      </c>
      <c r="V468" t="s">
        <v>9138</v>
      </c>
      <c r="W468" t="s">
        <v>9139</v>
      </c>
      <c r="X468" t="s">
        <v>9140</v>
      </c>
      <c r="Y468" t="s">
        <v>9141</v>
      </c>
      <c r="Z468" t="s">
        <v>9142</v>
      </c>
      <c r="AA468" t="s">
        <v>9143</v>
      </c>
      <c r="AB468" t="s">
        <v>9144</v>
      </c>
      <c r="AC468" t="s">
        <v>9145</v>
      </c>
      <c r="AD468" t="s">
        <v>9146</v>
      </c>
      <c r="AE468" t="s">
        <v>9147</v>
      </c>
      <c r="AF468" t="s">
        <v>74</v>
      </c>
      <c r="AG468">
        <v>83</v>
      </c>
      <c r="AH468">
        <v>15</v>
      </c>
      <c r="AI468">
        <v>20</v>
      </c>
      <c r="AJ468">
        <v>0</v>
      </c>
      <c r="AK468">
        <v>35</v>
      </c>
      <c r="AL468" t="s">
        <v>8845</v>
      </c>
      <c r="AM468" t="s">
        <v>2378</v>
      </c>
      <c r="AN468" t="s">
        <v>2379</v>
      </c>
      <c r="AO468" t="s">
        <v>9148</v>
      </c>
      <c r="AP468" t="s">
        <v>9149</v>
      </c>
      <c r="AQ468" t="s">
        <v>74</v>
      </c>
      <c r="AR468" t="s">
        <v>9150</v>
      </c>
      <c r="AS468" t="s">
        <v>9151</v>
      </c>
      <c r="AT468" t="s">
        <v>2136</v>
      </c>
      <c r="AU468">
        <v>2017</v>
      </c>
      <c r="AV468">
        <v>27</v>
      </c>
      <c r="AW468">
        <v>1</v>
      </c>
      <c r="AX468" t="s">
        <v>74</v>
      </c>
      <c r="AY468" t="s">
        <v>74</v>
      </c>
      <c r="AZ468" t="s">
        <v>74</v>
      </c>
      <c r="BA468" t="s">
        <v>74</v>
      </c>
      <c r="BB468">
        <v>10</v>
      </c>
      <c r="BC468">
        <v>25</v>
      </c>
      <c r="BD468" t="s">
        <v>74</v>
      </c>
      <c r="BE468" t="s">
        <v>9152</v>
      </c>
      <c r="BF468" t="str">
        <f>HYPERLINK("http://dx.doi.org/10.1002/eap.1435","http://dx.doi.org/10.1002/eap.1435")</f>
        <v>http://dx.doi.org/10.1002/eap.1435</v>
      </c>
      <c r="BG468" t="s">
        <v>74</v>
      </c>
      <c r="BH468" t="s">
        <v>74</v>
      </c>
      <c r="BI468">
        <v>16</v>
      </c>
      <c r="BJ468" t="s">
        <v>3104</v>
      </c>
      <c r="BK468" t="s">
        <v>101</v>
      </c>
      <c r="BL468" t="s">
        <v>178</v>
      </c>
      <c r="BM468" t="s">
        <v>9153</v>
      </c>
      <c r="BN468">
        <v>28052497</v>
      </c>
      <c r="BO468" t="s">
        <v>2140</v>
      </c>
      <c r="BP468" t="s">
        <v>74</v>
      </c>
      <c r="BQ468" t="s">
        <v>74</v>
      </c>
      <c r="BR468" t="s">
        <v>105</v>
      </c>
      <c r="BS468" t="s">
        <v>9154</v>
      </c>
      <c r="BT468" t="str">
        <f>HYPERLINK("https%3A%2F%2Fwww.webofscience.com%2Fwos%2Fwoscc%2Ffull-record%2FWOS:000391985300002","View Full Record in Web of Science")</f>
        <v>View Full Record in Web of Science</v>
      </c>
    </row>
    <row r="469" spans="1:72" x14ac:dyDescent="0.15">
      <c r="A469" t="s">
        <v>72</v>
      </c>
      <c r="B469" t="s">
        <v>9155</v>
      </c>
      <c r="C469" t="s">
        <v>74</v>
      </c>
      <c r="D469" t="s">
        <v>74</v>
      </c>
      <c r="E469" t="s">
        <v>74</v>
      </c>
      <c r="F469" t="s">
        <v>9156</v>
      </c>
      <c r="G469" t="s">
        <v>74</v>
      </c>
      <c r="H469" t="s">
        <v>74</v>
      </c>
      <c r="I469" t="s">
        <v>9157</v>
      </c>
      <c r="J469" t="s">
        <v>9158</v>
      </c>
      <c r="K469" t="s">
        <v>74</v>
      </c>
      <c r="L469" t="s">
        <v>74</v>
      </c>
      <c r="M469" t="s">
        <v>78</v>
      </c>
      <c r="N469" t="s">
        <v>79</v>
      </c>
      <c r="O469" t="s">
        <v>74</v>
      </c>
      <c r="P469" t="s">
        <v>74</v>
      </c>
      <c r="Q469" t="s">
        <v>74</v>
      </c>
      <c r="R469" t="s">
        <v>74</v>
      </c>
      <c r="S469" t="s">
        <v>74</v>
      </c>
      <c r="T469" t="s">
        <v>9159</v>
      </c>
      <c r="U469" t="s">
        <v>9160</v>
      </c>
      <c r="V469" t="s">
        <v>9161</v>
      </c>
      <c r="W469" t="s">
        <v>9162</v>
      </c>
      <c r="X469" t="s">
        <v>9163</v>
      </c>
      <c r="Y469" t="s">
        <v>9164</v>
      </c>
      <c r="Z469" t="s">
        <v>9165</v>
      </c>
      <c r="AA469" t="s">
        <v>74</v>
      </c>
      <c r="AB469" t="s">
        <v>9166</v>
      </c>
      <c r="AC469" t="s">
        <v>9167</v>
      </c>
      <c r="AD469" t="s">
        <v>9168</v>
      </c>
      <c r="AE469" t="s">
        <v>9169</v>
      </c>
      <c r="AF469" t="s">
        <v>74</v>
      </c>
      <c r="AG469">
        <v>30</v>
      </c>
      <c r="AH469">
        <v>2</v>
      </c>
      <c r="AI469">
        <v>4</v>
      </c>
      <c r="AJ469">
        <v>0</v>
      </c>
      <c r="AK469">
        <v>17</v>
      </c>
      <c r="AL469" t="s">
        <v>9170</v>
      </c>
      <c r="AM469" t="s">
        <v>93</v>
      </c>
      <c r="AN469" t="s">
        <v>9171</v>
      </c>
      <c r="AO469" t="s">
        <v>9172</v>
      </c>
      <c r="AP469" t="s">
        <v>9173</v>
      </c>
      <c r="AQ469" t="s">
        <v>74</v>
      </c>
      <c r="AR469" t="s">
        <v>9158</v>
      </c>
      <c r="AS469" t="s">
        <v>9174</v>
      </c>
      <c r="AT469" t="s">
        <v>2136</v>
      </c>
      <c r="AU469">
        <v>2017</v>
      </c>
      <c r="AV469">
        <v>27</v>
      </c>
      <c r="AW469">
        <v>1</v>
      </c>
      <c r="AX469" t="s">
        <v>74</v>
      </c>
      <c r="AY469" t="s">
        <v>74</v>
      </c>
      <c r="AZ469" t="s">
        <v>74</v>
      </c>
      <c r="BA469" t="s">
        <v>74</v>
      </c>
      <c r="BB469">
        <v>122</v>
      </c>
      <c r="BC469">
        <v>129</v>
      </c>
      <c r="BD469" t="s">
        <v>74</v>
      </c>
      <c r="BE469" t="s">
        <v>9175</v>
      </c>
      <c r="BF469" t="str">
        <f>HYPERLINK("http://dx.doi.org/10.1177/0959683616652708","http://dx.doi.org/10.1177/0959683616652708")</f>
        <v>http://dx.doi.org/10.1177/0959683616652708</v>
      </c>
      <c r="BG469" t="s">
        <v>74</v>
      </c>
      <c r="BH469" t="s">
        <v>74</v>
      </c>
      <c r="BI469">
        <v>8</v>
      </c>
      <c r="BJ469" t="s">
        <v>615</v>
      </c>
      <c r="BK469" t="s">
        <v>101</v>
      </c>
      <c r="BL469" t="s">
        <v>616</v>
      </c>
      <c r="BM469" t="s">
        <v>9176</v>
      </c>
      <c r="BN469" t="s">
        <v>74</v>
      </c>
      <c r="BO469" t="s">
        <v>74</v>
      </c>
      <c r="BP469" t="s">
        <v>74</v>
      </c>
      <c r="BQ469" t="s">
        <v>74</v>
      </c>
      <c r="BR469" t="s">
        <v>105</v>
      </c>
      <c r="BS469" t="s">
        <v>9177</v>
      </c>
      <c r="BT469" t="str">
        <f>HYPERLINK("https%3A%2F%2Fwww.webofscience.com%2Fwos%2Fwoscc%2Ffull-record%2FWOS:000391442600011","View Full Record in Web of Science")</f>
        <v>View Full Record in Web of Science</v>
      </c>
    </row>
    <row r="470" spans="1:72" x14ac:dyDescent="0.15">
      <c r="A470" t="s">
        <v>72</v>
      </c>
      <c r="B470" t="s">
        <v>9178</v>
      </c>
      <c r="C470" t="s">
        <v>74</v>
      </c>
      <c r="D470" t="s">
        <v>74</v>
      </c>
      <c r="E470" t="s">
        <v>74</v>
      </c>
      <c r="F470" t="s">
        <v>9179</v>
      </c>
      <c r="G470" t="s">
        <v>74</v>
      </c>
      <c r="H470" t="s">
        <v>74</v>
      </c>
      <c r="I470" t="s">
        <v>9180</v>
      </c>
      <c r="J470" t="s">
        <v>2591</v>
      </c>
      <c r="K470" t="s">
        <v>74</v>
      </c>
      <c r="L470" t="s">
        <v>74</v>
      </c>
      <c r="M470" t="s">
        <v>78</v>
      </c>
      <c r="N470" t="s">
        <v>79</v>
      </c>
      <c r="O470" t="s">
        <v>74</v>
      </c>
      <c r="P470" t="s">
        <v>74</v>
      </c>
      <c r="Q470" t="s">
        <v>74</v>
      </c>
      <c r="R470" t="s">
        <v>74</v>
      </c>
      <c r="S470" t="s">
        <v>74</v>
      </c>
      <c r="T470" t="s">
        <v>74</v>
      </c>
      <c r="U470" t="s">
        <v>9181</v>
      </c>
      <c r="V470" t="s">
        <v>9182</v>
      </c>
      <c r="W470" t="s">
        <v>9183</v>
      </c>
      <c r="X470" t="s">
        <v>9184</v>
      </c>
      <c r="Y470" t="s">
        <v>9185</v>
      </c>
      <c r="Z470" t="s">
        <v>9186</v>
      </c>
      <c r="AA470" t="s">
        <v>9187</v>
      </c>
      <c r="AB470" t="s">
        <v>9188</v>
      </c>
      <c r="AC470" t="s">
        <v>9189</v>
      </c>
      <c r="AD470" t="s">
        <v>9190</v>
      </c>
      <c r="AE470" t="s">
        <v>9191</v>
      </c>
      <c r="AF470" t="s">
        <v>74</v>
      </c>
      <c r="AG470">
        <v>45</v>
      </c>
      <c r="AH470">
        <v>15</v>
      </c>
      <c r="AI470">
        <v>15</v>
      </c>
      <c r="AJ470">
        <v>0</v>
      </c>
      <c r="AK470">
        <v>22</v>
      </c>
      <c r="AL470" t="s">
        <v>2603</v>
      </c>
      <c r="AM470" t="s">
        <v>2604</v>
      </c>
      <c r="AN470" t="s">
        <v>2605</v>
      </c>
      <c r="AO470" t="s">
        <v>2606</v>
      </c>
      <c r="AP470" t="s">
        <v>2607</v>
      </c>
      <c r="AQ470" t="s">
        <v>74</v>
      </c>
      <c r="AR470" t="s">
        <v>2608</v>
      </c>
      <c r="AS470" t="s">
        <v>2609</v>
      </c>
      <c r="AT470" t="s">
        <v>2136</v>
      </c>
      <c r="AU470">
        <v>2017</v>
      </c>
      <c r="AV470">
        <v>30</v>
      </c>
      <c r="AW470">
        <v>2</v>
      </c>
      <c r="AX470" t="s">
        <v>74</v>
      </c>
      <c r="AY470" t="s">
        <v>74</v>
      </c>
      <c r="AZ470" t="s">
        <v>74</v>
      </c>
      <c r="BA470" t="s">
        <v>74</v>
      </c>
      <c r="BB470">
        <v>527</v>
      </c>
      <c r="BC470">
        <v>536</v>
      </c>
      <c r="BD470" t="s">
        <v>74</v>
      </c>
      <c r="BE470" t="s">
        <v>9192</v>
      </c>
      <c r="BF470" t="str">
        <f>HYPERLINK("http://dx.doi.org/10.1175/JCLI-D-16-0394.1","http://dx.doi.org/10.1175/JCLI-D-16-0394.1")</f>
        <v>http://dx.doi.org/10.1175/JCLI-D-16-0394.1</v>
      </c>
      <c r="BG470" t="s">
        <v>74</v>
      </c>
      <c r="BH470" t="s">
        <v>74</v>
      </c>
      <c r="BI470">
        <v>10</v>
      </c>
      <c r="BJ470" t="s">
        <v>747</v>
      </c>
      <c r="BK470" t="s">
        <v>101</v>
      </c>
      <c r="BL470" t="s">
        <v>747</v>
      </c>
      <c r="BM470" t="s">
        <v>9193</v>
      </c>
      <c r="BN470" t="s">
        <v>74</v>
      </c>
      <c r="BO470" t="s">
        <v>9194</v>
      </c>
      <c r="BP470" t="s">
        <v>74</v>
      </c>
      <c r="BQ470" t="s">
        <v>74</v>
      </c>
      <c r="BR470" t="s">
        <v>105</v>
      </c>
      <c r="BS470" t="s">
        <v>9195</v>
      </c>
      <c r="BT470" t="str">
        <f>HYPERLINK("https%3A%2F%2Fwww.webofscience.com%2Fwos%2Fwoscc%2Ffull-record%2FWOS:000391856300006","View Full Record in Web of Science")</f>
        <v>View Full Record in Web of Science</v>
      </c>
    </row>
    <row r="471" spans="1:72" x14ac:dyDescent="0.15">
      <c r="A471" t="s">
        <v>72</v>
      </c>
      <c r="B471" t="s">
        <v>9196</v>
      </c>
      <c r="C471" t="s">
        <v>74</v>
      </c>
      <c r="D471" t="s">
        <v>74</v>
      </c>
      <c r="E471" t="s">
        <v>74</v>
      </c>
      <c r="F471" t="s">
        <v>9197</v>
      </c>
      <c r="G471" t="s">
        <v>74</v>
      </c>
      <c r="H471" t="s">
        <v>74</v>
      </c>
      <c r="I471" t="s">
        <v>9198</v>
      </c>
      <c r="J471" t="s">
        <v>2591</v>
      </c>
      <c r="K471" t="s">
        <v>74</v>
      </c>
      <c r="L471" t="s">
        <v>74</v>
      </c>
      <c r="M471" t="s">
        <v>78</v>
      </c>
      <c r="N471" t="s">
        <v>79</v>
      </c>
      <c r="O471" t="s">
        <v>74</v>
      </c>
      <c r="P471" t="s">
        <v>74</v>
      </c>
      <c r="Q471" t="s">
        <v>74</v>
      </c>
      <c r="R471" t="s">
        <v>74</v>
      </c>
      <c r="S471" t="s">
        <v>74</v>
      </c>
      <c r="T471" t="s">
        <v>74</v>
      </c>
      <c r="U471" t="s">
        <v>9199</v>
      </c>
      <c r="V471" t="s">
        <v>9200</v>
      </c>
      <c r="W471" t="s">
        <v>9201</v>
      </c>
      <c r="X471" t="s">
        <v>9202</v>
      </c>
      <c r="Y471" t="s">
        <v>9203</v>
      </c>
      <c r="Z471" t="s">
        <v>9204</v>
      </c>
      <c r="AA471" t="s">
        <v>9205</v>
      </c>
      <c r="AB471" t="s">
        <v>9206</v>
      </c>
      <c r="AC471" t="s">
        <v>9207</v>
      </c>
      <c r="AD471" t="s">
        <v>9208</v>
      </c>
      <c r="AE471" t="s">
        <v>9209</v>
      </c>
      <c r="AF471" t="s">
        <v>74</v>
      </c>
      <c r="AG471">
        <v>37</v>
      </c>
      <c r="AH471">
        <v>3</v>
      </c>
      <c r="AI471">
        <v>3</v>
      </c>
      <c r="AJ471">
        <v>0</v>
      </c>
      <c r="AK471">
        <v>20</v>
      </c>
      <c r="AL471" t="s">
        <v>2603</v>
      </c>
      <c r="AM471" t="s">
        <v>2604</v>
      </c>
      <c r="AN471" t="s">
        <v>2605</v>
      </c>
      <c r="AO471" t="s">
        <v>2606</v>
      </c>
      <c r="AP471" t="s">
        <v>2607</v>
      </c>
      <c r="AQ471" t="s">
        <v>74</v>
      </c>
      <c r="AR471" t="s">
        <v>2608</v>
      </c>
      <c r="AS471" t="s">
        <v>2609</v>
      </c>
      <c r="AT471" t="s">
        <v>2136</v>
      </c>
      <c r="AU471">
        <v>2017</v>
      </c>
      <c r="AV471">
        <v>30</v>
      </c>
      <c r="AW471">
        <v>2</v>
      </c>
      <c r="AX471" t="s">
        <v>74</v>
      </c>
      <c r="AY471" t="s">
        <v>74</v>
      </c>
      <c r="AZ471" t="s">
        <v>74</v>
      </c>
      <c r="BA471" t="s">
        <v>74</v>
      </c>
      <c r="BB471">
        <v>631</v>
      </c>
      <c r="BC471">
        <v>647</v>
      </c>
      <c r="BD471" t="s">
        <v>74</v>
      </c>
      <c r="BE471" t="s">
        <v>9210</v>
      </c>
      <c r="BF471" t="str">
        <f>HYPERLINK("http://dx.doi.org/10.1175/JCLI-D-15-0759.1","http://dx.doi.org/10.1175/JCLI-D-15-0759.1")</f>
        <v>http://dx.doi.org/10.1175/JCLI-D-15-0759.1</v>
      </c>
      <c r="BG471" t="s">
        <v>74</v>
      </c>
      <c r="BH471" t="s">
        <v>74</v>
      </c>
      <c r="BI471">
        <v>17</v>
      </c>
      <c r="BJ471" t="s">
        <v>747</v>
      </c>
      <c r="BK471" t="s">
        <v>101</v>
      </c>
      <c r="BL471" t="s">
        <v>747</v>
      </c>
      <c r="BM471" t="s">
        <v>9193</v>
      </c>
      <c r="BN471" t="s">
        <v>74</v>
      </c>
      <c r="BO471" t="s">
        <v>74</v>
      </c>
      <c r="BP471" t="s">
        <v>74</v>
      </c>
      <c r="BQ471" t="s">
        <v>74</v>
      </c>
      <c r="BR471" t="s">
        <v>105</v>
      </c>
      <c r="BS471" t="s">
        <v>9211</v>
      </c>
      <c r="BT471" t="str">
        <f>HYPERLINK("https%3A%2F%2Fwww.webofscience.com%2Fwos%2Fwoscc%2Ffull-record%2FWOS:000391856300013","View Full Record in Web of Science")</f>
        <v>View Full Record in Web of Science</v>
      </c>
    </row>
    <row r="472" spans="1:72" x14ac:dyDescent="0.15">
      <c r="A472" t="s">
        <v>72</v>
      </c>
      <c r="B472" t="s">
        <v>9212</v>
      </c>
      <c r="C472" t="s">
        <v>74</v>
      </c>
      <c r="D472" t="s">
        <v>74</v>
      </c>
      <c r="E472" t="s">
        <v>74</v>
      </c>
      <c r="F472" t="s">
        <v>9213</v>
      </c>
      <c r="G472" t="s">
        <v>74</v>
      </c>
      <c r="H472" t="s">
        <v>74</v>
      </c>
      <c r="I472" t="s">
        <v>9214</v>
      </c>
      <c r="J472" t="s">
        <v>9215</v>
      </c>
      <c r="K472" t="s">
        <v>74</v>
      </c>
      <c r="L472" t="s">
        <v>74</v>
      </c>
      <c r="M472" t="s">
        <v>78</v>
      </c>
      <c r="N472" t="s">
        <v>79</v>
      </c>
      <c r="O472" t="s">
        <v>74</v>
      </c>
      <c r="P472" t="s">
        <v>74</v>
      </c>
      <c r="Q472" t="s">
        <v>74</v>
      </c>
      <c r="R472" t="s">
        <v>74</v>
      </c>
      <c r="S472" t="s">
        <v>74</v>
      </c>
      <c r="T472" t="s">
        <v>9216</v>
      </c>
      <c r="U472" t="s">
        <v>9217</v>
      </c>
      <c r="V472" t="s">
        <v>9218</v>
      </c>
      <c r="W472" t="s">
        <v>9219</v>
      </c>
      <c r="X472" t="s">
        <v>9220</v>
      </c>
      <c r="Y472" t="s">
        <v>9221</v>
      </c>
      <c r="Z472" t="s">
        <v>9222</v>
      </c>
      <c r="AA472" t="s">
        <v>9223</v>
      </c>
      <c r="AB472" t="s">
        <v>9224</v>
      </c>
      <c r="AC472" t="s">
        <v>9225</v>
      </c>
      <c r="AD472" t="s">
        <v>9226</v>
      </c>
      <c r="AE472" t="s">
        <v>9227</v>
      </c>
      <c r="AF472" t="s">
        <v>74</v>
      </c>
      <c r="AG472">
        <v>54</v>
      </c>
      <c r="AH472">
        <v>8</v>
      </c>
      <c r="AI472">
        <v>8</v>
      </c>
      <c r="AJ472">
        <v>0</v>
      </c>
      <c r="AK472">
        <v>9</v>
      </c>
      <c r="AL472" t="s">
        <v>2377</v>
      </c>
      <c r="AM472" t="s">
        <v>2378</v>
      </c>
      <c r="AN472" t="s">
        <v>2379</v>
      </c>
      <c r="AO472" t="s">
        <v>9228</v>
      </c>
      <c r="AP472" t="s">
        <v>9229</v>
      </c>
      <c r="AQ472" t="s">
        <v>74</v>
      </c>
      <c r="AR472" t="s">
        <v>9230</v>
      </c>
      <c r="AS472" t="s">
        <v>9231</v>
      </c>
      <c r="AT472" t="s">
        <v>2054</v>
      </c>
      <c r="AU472">
        <v>2017</v>
      </c>
      <c r="AV472">
        <v>64</v>
      </c>
      <c r="AW472">
        <v>1</v>
      </c>
      <c r="AX472" t="s">
        <v>74</v>
      </c>
      <c r="AY472" t="s">
        <v>74</v>
      </c>
      <c r="AZ472" t="s">
        <v>74</v>
      </c>
      <c r="BA472" t="s">
        <v>74</v>
      </c>
      <c r="BB472">
        <v>56</v>
      </c>
      <c r="BC472">
        <v>66</v>
      </c>
      <c r="BD472" t="s">
        <v>74</v>
      </c>
      <c r="BE472" t="s">
        <v>9232</v>
      </c>
      <c r="BF472" t="str">
        <f>HYPERLINK("http://dx.doi.org/10.1111/jeu.12336","http://dx.doi.org/10.1111/jeu.12336")</f>
        <v>http://dx.doi.org/10.1111/jeu.12336</v>
      </c>
      <c r="BG472" t="s">
        <v>74</v>
      </c>
      <c r="BH472" t="s">
        <v>74</v>
      </c>
      <c r="BI472">
        <v>11</v>
      </c>
      <c r="BJ472" t="s">
        <v>2026</v>
      </c>
      <c r="BK472" t="s">
        <v>101</v>
      </c>
      <c r="BL472" t="s">
        <v>2026</v>
      </c>
      <c r="BM472" t="s">
        <v>9233</v>
      </c>
      <c r="BN472">
        <v>27288198</v>
      </c>
      <c r="BO472" t="s">
        <v>74</v>
      </c>
      <c r="BP472" t="s">
        <v>74</v>
      </c>
      <c r="BQ472" t="s">
        <v>74</v>
      </c>
      <c r="BR472" t="s">
        <v>105</v>
      </c>
      <c r="BS472" t="s">
        <v>9234</v>
      </c>
      <c r="BT472" t="str">
        <f>HYPERLINK("https%3A%2F%2Fwww.webofscience.com%2Fwos%2Fwoscc%2Ffull-record%2FWOS:000391930200005","View Full Record in Web of Science")</f>
        <v>View Full Record in Web of Science</v>
      </c>
    </row>
    <row r="473" spans="1:72" x14ac:dyDescent="0.15">
      <c r="A473" t="s">
        <v>72</v>
      </c>
      <c r="B473" t="s">
        <v>9235</v>
      </c>
      <c r="C473" t="s">
        <v>74</v>
      </c>
      <c r="D473" t="s">
        <v>74</v>
      </c>
      <c r="E473" t="s">
        <v>74</v>
      </c>
      <c r="F473" t="s">
        <v>9236</v>
      </c>
      <c r="G473" t="s">
        <v>74</v>
      </c>
      <c r="H473" t="s">
        <v>74</v>
      </c>
      <c r="I473" t="s">
        <v>9237</v>
      </c>
      <c r="J473" t="s">
        <v>9238</v>
      </c>
      <c r="K473" t="s">
        <v>74</v>
      </c>
      <c r="L473" t="s">
        <v>74</v>
      </c>
      <c r="M473" t="s">
        <v>78</v>
      </c>
      <c r="N473" t="s">
        <v>79</v>
      </c>
      <c r="O473" t="s">
        <v>74</v>
      </c>
      <c r="P473" t="s">
        <v>74</v>
      </c>
      <c r="Q473" t="s">
        <v>74</v>
      </c>
      <c r="R473" t="s">
        <v>74</v>
      </c>
      <c r="S473" t="s">
        <v>74</v>
      </c>
      <c r="T473" t="s">
        <v>9239</v>
      </c>
      <c r="U473" t="s">
        <v>9240</v>
      </c>
      <c r="V473" t="s">
        <v>9241</v>
      </c>
      <c r="W473" t="s">
        <v>9242</v>
      </c>
      <c r="X473" t="s">
        <v>9243</v>
      </c>
      <c r="Y473" t="s">
        <v>9244</v>
      </c>
      <c r="Z473" t="s">
        <v>9245</v>
      </c>
      <c r="AA473" t="s">
        <v>74</v>
      </c>
      <c r="AB473" t="s">
        <v>9246</v>
      </c>
      <c r="AC473" t="s">
        <v>9247</v>
      </c>
      <c r="AD473" t="s">
        <v>9248</v>
      </c>
      <c r="AE473" t="s">
        <v>9249</v>
      </c>
      <c r="AF473" t="s">
        <v>74</v>
      </c>
      <c r="AG473">
        <v>87</v>
      </c>
      <c r="AH473">
        <v>6</v>
      </c>
      <c r="AI473">
        <v>6</v>
      </c>
      <c r="AJ473">
        <v>0</v>
      </c>
      <c r="AK473">
        <v>14</v>
      </c>
      <c r="AL473" t="s">
        <v>211</v>
      </c>
      <c r="AM473" t="s">
        <v>187</v>
      </c>
      <c r="AN473" t="s">
        <v>2131</v>
      </c>
      <c r="AO473" t="s">
        <v>9250</v>
      </c>
      <c r="AP473" t="s">
        <v>9251</v>
      </c>
      <c r="AQ473" t="s">
        <v>74</v>
      </c>
      <c r="AR473" t="s">
        <v>9252</v>
      </c>
      <c r="AS473" t="s">
        <v>9253</v>
      </c>
      <c r="AT473" t="s">
        <v>2136</v>
      </c>
      <c r="AU473">
        <v>2017</v>
      </c>
      <c r="AV473">
        <v>40</v>
      </c>
      <c r="AW473">
        <v>1</v>
      </c>
      <c r="AX473" t="s">
        <v>74</v>
      </c>
      <c r="AY473" t="s">
        <v>74</v>
      </c>
      <c r="AZ473" t="s">
        <v>74</v>
      </c>
      <c r="BA473" t="s">
        <v>74</v>
      </c>
      <c r="BB473">
        <v>1</v>
      </c>
      <c r="BC473">
        <v>11</v>
      </c>
      <c r="BD473" t="s">
        <v>74</v>
      </c>
      <c r="BE473" t="s">
        <v>9254</v>
      </c>
      <c r="BF473" t="str">
        <f>HYPERLINK("http://dx.doi.org/10.1007/s00300-016-1918-x","http://dx.doi.org/10.1007/s00300-016-1918-x")</f>
        <v>http://dx.doi.org/10.1007/s00300-016-1918-x</v>
      </c>
      <c r="BG473" t="s">
        <v>74</v>
      </c>
      <c r="BH473" t="s">
        <v>74</v>
      </c>
      <c r="BI473">
        <v>11</v>
      </c>
      <c r="BJ473" t="s">
        <v>5867</v>
      </c>
      <c r="BK473" t="s">
        <v>101</v>
      </c>
      <c r="BL473" t="s">
        <v>2257</v>
      </c>
      <c r="BM473" t="s">
        <v>9255</v>
      </c>
      <c r="BN473" t="s">
        <v>74</v>
      </c>
      <c r="BO473" t="s">
        <v>74</v>
      </c>
      <c r="BP473" t="s">
        <v>74</v>
      </c>
      <c r="BQ473" t="s">
        <v>74</v>
      </c>
      <c r="BR473" t="s">
        <v>105</v>
      </c>
      <c r="BS473" t="s">
        <v>9256</v>
      </c>
      <c r="BT473" t="str">
        <f>HYPERLINK("https%3A%2F%2Fwww.webofscience.com%2Fwos%2Fwoscc%2Ffull-record%2FWOS:000391401900001","View Full Record in Web of Science")</f>
        <v>View Full Record in Web of Science</v>
      </c>
    </row>
    <row r="474" spans="1:72" x14ac:dyDescent="0.15">
      <c r="A474" t="s">
        <v>72</v>
      </c>
      <c r="B474" t="s">
        <v>9257</v>
      </c>
      <c r="C474" t="s">
        <v>74</v>
      </c>
      <c r="D474" t="s">
        <v>74</v>
      </c>
      <c r="E474" t="s">
        <v>74</v>
      </c>
      <c r="F474" t="s">
        <v>9258</v>
      </c>
      <c r="G474" t="s">
        <v>74</v>
      </c>
      <c r="H474" t="s">
        <v>74</v>
      </c>
      <c r="I474" t="s">
        <v>9259</v>
      </c>
      <c r="J474" t="s">
        <v>9238</v>
      </c>
      <c r="K474" t="s">
        <v>74</v>
      </c>
      <c r="L474" t="s">
        <v>74</v>
      </c>
      <c r="M474" t="s">
        <v>78</v>
      </c>
      <c r="N474" t="s">
        <v>79</v>
      </c>
      <c r="O474" t="s">
        <v>74</v>
      </c>
      <c r="P474" t="s">
        <v>74</v>
      </c>
      <c r="Q474" t="s">
        <v>74</v>
      </c>
      <c r="R474" t="s">
        <v>74</v>
      </c>
      <c r="S474" t="s">
        <v>74</v>
      </c>
      <c r="T474" t="s">
        <v>9260</v>
      </c>
      <c r="U474" t="s">
        <v>9261</v>
      </c>
      <c r="V474" t="s">
        <v>9262</v>
      </c>
      <c r="W474" t="s">
        <v>9263</v>
      </c>
      <c r="X474" t="s">
        <v>9264</v>
      </c>
      <c r="Y474" t="s">
        <v>9265</v>
      </c>
      <c r="Z474" t="s">
        <v>9266</v>
      </c>
      <c r="AA474" t="s">
        <v>9267</v>
      </c>
      <c r="AB474" t="s">
        <v>9268</v>
      </c>
      <c r="AC474" t="s">
        <v>9269</v>
      </c>
      <c r="AD474" t="s">
        <v>9270</v>
      </c>
      <c r="AE474" t="s">
        <v>9271</v>
      </c>
      <c r="AF474" t="s">
        <v>74</v>
      </c>
      <c r="AG474">
        <v>47</v>
      </c>
      <c r="AH474">
        <v>5</v>
      </c>
      <c r="AI474">
        <v>5</v>
      </c>
      <c r="AJ474">
        <v>1</v>
      </c>
      <c r="AK474">
        <v>8</v>
      </c>
      <c r="AL474" t="s">
        <v>211</v>
      </c>
      <c r="AM474" t="s">
        <v>187</v>
      </c>
      <c r="AN474" t="s">
        <v>933</v>
      </c>
      <c r="AO474" t="s">
        <v>9250</v>
      </c>
      <c r="AP474" t="s">
        <v>9251</v>
      </c>
      <c r="AQ474" t="s">
        <v>74</v>
      </c>
      <c r="AR474" t="s">
        <v>9252</v>
      </c>
      <c r="AS474" t="s">
        <v>9253</v>
      </c>
      <c r="AT474" t="s">
        <v>2136</v>
      </c>
      <c r="AU474">
        <v>2017</v>
      </c>
      <c r="AV474">
        <v>40</v>
      </c>
      <c r="AW474">
        <v>1</v>
      </c>
      <c r="AX474" t="s">
        <v>74</v>
      </c>
      <c r="AY474" t="s">
        <v>74</v>
      </c>
      <c r="AZ474" t="s">
        <v>74</v>
      </c>
      <c r="BA474" t="s">
        <v>74</v>
      </c>
      <c r="BB474">
        <v>13</v>
      </c>
      <c r="BC474">
        <v>24</v>
      </c>
      <c r="BD474" t="s">
        <v>74</v>
      </c>
      <c r="BE474" t="s">
        <v>9272</v>
      </c>
      <c r="BF474" t="str">
        <f>HYPERLINK("http://dx.doi.org/10.1007/s00300-016-1919-9","http://dx.doi.org/10.1007/s00300-016-1919-9")</f>
        <v>http://dx.doi.org/10.1007/s00300-016-1919-9</v>
      </c>
      <c r="BG474" t="s">
        <v>74</v>
      </c>
      <c r="BH474" t="s">
        <v>74</v>
      </c>
      <c r="BI474">
        <v>12</v>
      </c>
      <c r="BJ474" t="s">
        <v>5867</v>
      </c>
      <c r="BK474" t="s">
        <v>101</v>
      </c>
      <c r="BL474" t="s">
        <v>2257</v>
      </c>
      <c r="BM474" t="s">
        <v>9255</v>
      </c>
      <c r="BN474" t="s">
        <v>74</v>
      </c>
      <c r="BO474" t="s">
        <v>74</v>
      </c>
      <c r="BP474" t="s">
        <v>74</v>
      </c>
      <c r="BQ474" t="s">
        <v>74</v>
      </c>
      <c r="BR474" t="s">
        <v>105</v>
      </c>
      <c r="BS474" t="s">
        <v>9273</v>
      </c>
      <c r="BT474" t="str">
        <f>HYPERLINK("https%3A%2F%2Fwww.webofscience.com%2Fwos%2Fwoscc%2Ffull-record%2FWOS:000391401900002","View Full Record in Web of Science")</f>
        <v>View Full Record in Web of Science</v>
      </c>
    </row>
    <row r="475" spans="1:72" x14ac:dyDescent="0.15">
      <c r="A475" t="s">
        <v>72</v>
      </c>
      <c r="B475" t="s">
        <v>9274</v>
      </c>
      <c r="C475" t="s">
        <v>74</v>
      </c>
      <c r="D475" t="s">
        <v>74</v>
      </c>
      <c r="E475" t="s">
        <v>74</v>
      </c>
      <c r="F475" t="s">
        <v>9275</v>
      </c>
      <c r="G475" t="s">
        <v>74</v>
      </c>
      <c r="H475" t="s">
        <v>74</v>
      </c>
      <c r="I475" t="s">
        <v>9276</v>
      </c>
      <c r="J475" t="s">
        <v>9238</v>
      </c>
      <c r="K475" t="s">
        <v>74</v>
      </c>
      <c r="L475" t="s">
        <v>74</v>
      </c>
      <c r="M475" t="s">
        <v>78</v>
      </c>
      <c r="N475" t="s">
        <v>79</v>
      </c>
      <c r="O475" t="s">
        <v>74</v>
      </c>
      <c r="P475" t="s">
        <v>74</v>
      </c>
      <c r="Q475" t="s">
        <v>74</v>
      </c>
      <c r="R475" t="s">
        <v>74</v>
      </c>
      <c r="S475" t="s">
        <v>74</v>
      </c>
      <c r="T475" t="s">
        <v>9277</v>
      </c>
      <c r="U475" t="s">
        <v>9278</v>
      </c>
      <c r="V475" t="s">
        <v>9279</v>
      </c>
      <c r="W475" t="s">
        <v>9280</v>
      </c>
      <c r="X475" t="s">
        <v>9281</v>
      </c>
      <c r="Y475" t="s">
        <v>9282</v>
      </c>
      <c r="Z475" t="s">
        <v>9283</v>
      </c>
      <c r="AA475" t="s">
        <v>74</v>
      </c>
      <c r="AB475" t="s">
        <v>9284</v>
      </c>
      <c r="AC475" t="s">
        <v>9285</v>
      </c>
      <c r="AD475" t="s">
        <v>9286</v>
      </c>
      <c r="AE475" t="s">
        <v>9287</v>
      </c>
      <c r="AF475" t="s">
        <v>74</v>
      </c>
      <c r="AG475">
        <v>64</v>
      </c>
      <c r="AH475">
        <v>9</v>
      </c>
      <c r="AI475">
        <v>9</v>
      </c>
      <c r="AJ475">
        <v>1</v>
      </c>
      <c r="AK475">
        <v>20</v>
      </c>
      <c r="AL475" t="s">
        <v>211</v>
      </c>
      <c r="AM475" t="s">
        <v>187</v>
      </c>
      <c r="AN475" t="s">
        <v>933</v>
      </c>
      <c r="AO475" t="s">
        <v>9250</v>
      </c>
      <c r="AP475" t="s">
        <v>9251</v>
      </c>
      <c r="AQ475" t="s">
        <v>74</v>
      </c>
      <c r="AR475" t="s">
        <v>9252</v>
      </c>
      <c r="AS475" t="s">
        <v>9253</v>
      </c>
      <c r="AT475" t="s">
        <v>2136</v>
      </c>
      <c r="AU475">
        <v>2017</v>
      </c>
      <c r="AV475">
        <v>40</v>
      </c>
      <c r="AW475">
        <v>1</v>
      </c>
      <c r="AX475" t="s">
        <v>74</v>
      </c>
      <c r="AY475" t="s">
        <v>74</v>
      </c>
      <c r="AZ475" t="s">
        <v>74</v>
      </c>
      <c r="BA475" t="s">
        <v>74</v>
      </c>
      <c r="BB475">
        <v>25</v>
      </c>
      <c r="BC475">
        <v>35</v>
      </c>
      <c r="BD475" t="s">
        <v>74</v>
      </c>
      <c r="BE475" t="s">
        <v>9288</v>
      </c>
      <c r="BF475" t="str">
        <f>HYPERLINK("http://dx.doi.org/10.1007/s00300-016-1921-2","http://dx.doi.org/10.1007/s00300-016-1921-2")</f>
        <v>http://dx.doi.org/10.1007/s00300-016-1921-2</v>
      </c>
      <c r="BG475" t="s">
        <v>74</v>
      </c>
      <c r="BH475" t="s">
        <v>74</v>
      </c>
      <c r="BI475">
        <v>11</v>
      </c>
      <c r="BJ475" t="s">
        <v>5867</v>
      </c>
      <c r="BK475" t="s">
        <v>101</v>
      </c>
      <c r="BL475" t="s">
        <v>2257</v>
      </c>
      <c r="BM475" t="s">
        <v>9255</v>
      </c>
      <c r="BN475" t="s">
        <v>74</v>
      </c>
      <c r="BO475" t="s">
        <v>74</v>
      </c>
      <c r="BP475" t="s">
        <v>74</v>
      </c>
      <c r="BQ475" t="s">
        <v>74</v>
      </c>
      <c r="BR475" t="s">
        <v>105</v>
      </c>
      <c r="BS475" t="s">
        <v>9289</v>
      </c>
      <c r="BT475" t="str">
        <f>HYPERLINK("https%3A%2F%2Fwww.webofscience.com%2Fwos%2Fwoscc%2Ffull-record%2FWOS:000391401900003","View Full Record in Web of Science")</f>
        <v>View Full Record in Web of Science</v>
      </c>
    </row>
    <row r="476" spans="1:72" x14ac:dyDescent="0.15">
      <c r="A476" t="s">
        <v>72</v>
      </c>
      <c r="B476" t="s">
        <v>9290</v>
      </c>
      <c r="C476" t="s">
        <v>74</v>
      </c>
      <c r="D476" t="s">
        <v>74</v>
      </c>
      <c r="E476" t="s">
        <v>74</v>
      </c>
      <c r="F476" t="s">
        <v>9291</v>
      </c>
      <c r="G476" t="s">
        <v>74</v>
      </c>
      <c r="H476" t="s">
        <v>74</v>
      </c>
      <c r="I476" t="s">
        <v>9292</v>
      </c>
      <c r="J476" t="s">
        <v>9238</v>
      </c>
      <c r="K476" t="s">
        <v>74</v>
      </c>
      <c r="L476" t="s">
        <v>74</v>
      </c>
      <c r="M476" t="s">
        <v>78</v>
      </c>
      <c r="N476" t="s">
        <v>79</v>
      </c>
      <c r="O476" t="s">
        <v>74</v>
      </c>
      <c r="P476" t="s">
        <v>74</v>
      </c>
      <c r="Q476" t="s">
        <v>74</v>
      </c>
      <c r="R476" t="s">
        <v>74</v>
      </c>
      <c r="S476" t="s">
        <v>74</v>
      </c>
      <c r="T476" t="s">
        <v>9293</v>
      </c>
      <c r="U476" t="s">
        <v>9294</v>
      </c>
      <c r="V476" t="s">
        <v>9295</v>
      </c>
      <c r="W476" t="s">
        <v>9296</v>
      </c>
      <c r="X476" t="s">
        <v>9297</v>
      </c>
      <c r="Y476" t="s">
        <v>9298</v>
      </c>
      <c r="Z476" t="s">
        <v>9299</v>
      </c>
      <c r="AA476" t="s">
        <v>74</v>
      </c>
      <c r="AB476" t="s">
        <v>74</v>
      </c>
      <c r="AC476" t="s">
        <v>9300</v>
      </c>
      <c r="AD476" t="s">
        <v>9301</v>
      </c>
      <c r="AE476" t="s">
        <v>9302</v>
      </c>
      <c r="AF476" t="s">
        <v>74</v>
      </c>
      <c r="AG476">
        <v>52</v>
      </c>
      <c r="AH476">
        <v>7</v>
      </c>
      <c r="AI476">
        <v>7</v>
      </c>
      <c r="AJ476">
        <v>0</v>
      </c>
      <c r="AK476">
        <v>20</v>
      </c>
      <c r="AL476" t="s">
        <v>211</v>
      </c>
      <c r="AM476" t="s">
        <v>187</v>
      </c>
      <c r="AN476" t="s">
        <v>2131</v>
      </c>
      <c r="AO476" t="s">
        <v>9250</v>
      </c>
      <c r="AP476" t="s">
        <v>9251</v>
      </c>
      <c r="AQ476" t="s">
        <v>74</v>
      </c>
      <c r="AR476" t="s">
        <v>9252</v>
      </c>
      <c r="AS476" t="s">
        <v>9253</v>
      </c>
      <c r="AT476" t="s">
        <v>2136</v>
      </c>
      <c r="AU476">
        <v>2017</v>
      </c>
      <c r="AV476">
        <v>40</v>
      </c>
      <c r="AW476">
        <v>1</v>
      </c>
      <c r="AX476" t="s">
        <v>74</v>
      </c>
      <c r="AY476" t="s">
        <v>74</v>
      </c>
      <c r="AZ476" t="s">
        <v>74</v>
      </c>
      <c r="BA476" t="s">
        <v>74</v>
      </c>
      <c r="BB476">
        <v>79</v>
      </c>
      <c r="BC476">
        <v>93</v>
      </c>
      <c r="BD476" t="s">
        <v>74</v>
      </c>
      <c r="BE476" t="s">
        <v>9303</v>
      </c>
      <c r="BF476" t="str">
        <f>HYPERLINK("http://dx.doi.org/10.1007/s00300-016-1925-y","http://dx.doi.org/10.1007/s00300-016-1925-y")</f>
        <v>http://dx.doi.org/10.1007/s00300-016-1925-y</v>
      </c>
      <c r="BG476" t="s">
        <v>74</v>
      </c>
      <c r="BH476" t="s">
        <v>74</v>
      </c>
      <c r="BI476">
        <v>15</v>
      </c>
      <c r="BJ476" t="s">
        <v>5867</v>
      </c>
      <c r="BK476" t="s">
        <v>101</v>
      </c>
      <c r="BL476" t="s">
        <v>2257</v>
      </c>
      <c r="BM476" t="s">
        <v>9255</v>
      </c>
      <c r="BN476" t="s">
        <v>74</v>
      </c>
      <c r="BO476" t="s">
        <v>74</v>
      </c>
      <c r="BP476" t="s">
        <v>74</v>
      </c>
      <c r="BQ476" t="s">
        <v>74</v>
      </c>
      <c r="BR476" t="s">
        <v>105</v>
      </c>
      <c r="BS476" t="s">
        <v>9304</v>
      </c>
      <c r="BT476" t="str">
        <f>HYPERLINK("https%3A%2F%2Fwww.webofscience.com%2Fwos%2Fwoscc%2Ffull-record%2FWOS:000391401900007","View Full Record in Web of Science")</f>
        <v>View Full Record in Web of Science</v>
      </c>
    </row>
    <row r="477" spans="1:72" x14ac:dyDescent="0.15">
      <c r="A477" t="s">
        <v>72</v>
      </c>
      <c r="B477" t="s">
        <v>9305</v>
      </c>
      <c r="C477" t="s">
        <v>74</v>
      </c>
      <c r="D477" t="s">
        <v>74</v>
      </c>
      <c r="E477" t="s">
        <v>74</v>
      </c>
      <c r="F477" t="s">
        <v>9306</v>
      </c>
      <c r="G477" t="s">
        <v>74</v>
      </c>
      <c r="H477" t="s">
        <v>74</v>
      </c>
      <c r="I477" t="s">
        <v>9307</v>
      </c>
      <c r="J477" t="s">
        <v>9238</v>
      </c>
      <c r="K477" t="s">
        <v>74</v>
      </c>
      <c r="L477" t="s">
        <v>74</v>
      </c>
      <c r="M477" t="s">
        <v>78</v>
      </c>
      <c r="N477" t="s">
        <v>79</v>
      </c>
      <c r="O477" t="s">
        <v>74</v>
      </c>
      <c r="P477" t="s">
        <v>74</v>
      </c>
      <c r="Q477" t="s">
        <v>74</v>
      </c>
      <c r="R477" t="s">
        <v>74</v>
      </c>
      <c r="S477" t="s">
        <v>74</v>
      </c>
      <c r="T477" t="s">
        <v>9308</v>
      </c>
      <c r="U477" t="s">
        <v>9309</v>
      </c>
      <c r="V477" t="s">
        <v>9310</v>
      </c>
      <c r="W477" t="s">
        <v>9311</v>
      </c>
      <c r="X477" t="s">
        <v>9312</v>
      </c>
      <c r="Y477" t="s">
        <v>9313</v>
      </c>
      <c r="Z477" t="s">
        <v>9314</v>
      </c>
      <c r="AA477" t="s">
        <v>9315</v>
      </c>
      <c r="AB477" t="s">
        <v>9316</v>
      </c>
      <c r="AC477" t="s">
        <v>9317</v>
      </c>
      <c r="AD477" t="s">
        <v>9317</v>
      </c>
      <c r="AE477" t="s">
        <v>9318</v>
      </c>
      <c r="AF477" t="s">
        <v>74</v>
      </c>
      <c r="AG477">
        <v>50</v>
      </c>
      <c r="AH477">
        <v>17</v>
      </c>
      <c r="AI477">
        <v>18</v>
      </c>
      <c r="AJ477">
        <v>1</v>
      </c>
      <c r="AK477">
        <v>20</v>
      </c>
      <c r="AL477" t="s">
        <v>211</v>
      </c>
      <c r="AM477" t="s">
        <v>187</v>
      </c>
      <c r="AN477" t="s">
        <v>2131</v>
      </c>
      <c r="AO477" t="s">
        <v>9250</v>
      </c>
      <c r="AP477" t="s">
        <v>9251</v>
      </c>
      <c r="AQ477" t="s">
        <v>74</v>
      </c>
      <c r="AR477" t="s">
        <v>9252</v>
      </c>
      <c r="AS477" t="s">
        <v>9253</v>
      </c>
      <c r="AT477" t="s">
        <v>2136</v>
      </c>
      <c r="AU477">
        <v>2017</v>
      </c>
      <c r="AV477">
        <v>40</v>
      </c>
      <c r="AW477">
        <v>1</v>
      </c>
      <c r="AX477" t="s">
        <v>74</v>
      </c>
      <c r="AY477" t="s">
        <v>74</v>
      </c>
      <c r="AZ477" t="s">
        <v>74</v>
      </c>
      <c r="BA477" t="s">
        <v>74</v>
      </c>
      <c r="BB477">
        <v>95</v>
      </c>
      <c r="BC477">
        <v>106</v>
      </c>
      <c r="BD477" t="s">
        <v>74</v>
      </c>
      <c r="BE477" t="s">
        <v>9319</v>
      </c>
      <c r="BF477" t="str">
        <f>HYPERLINK("http://dx.doi.org/10.1007/s00300-016-1926-x","http://dx.doi.org/10.1007/s00300-016-1926-x")</f>
        <v>http://dx.doi.org/10.1007/s00300-016-1926-x</v>
      </c>
      <c r="BG477" t="s">
        <v>74</v>
      </c>
      <c r="BH477" t="s">
        <v>74</v>
      </c>
      <c r="BI477">
        <v>12</v>
      </c>
      <c r="BJ477" t="s">
        <v>5867</v>
      </c>
      <c r="BK477" t="s">
        <v>101</v>
      </c>
      <c r="BL477" t="s">
        <v>2257</v>
      </c>
      <c r="BM477" t="s">
        <v>9255</v>
      </c>
      <c r="BN477" t="s">
        <v>74</v>
      </c>
      <c r="BO477" t="s">
        <v>1223</v>
      </c>
      <c r="BP477" t="s">
        <v>74</v>
      </c>
      <c r="BQ477" t="s">
        <v>74</v>
      </c>
      <c r="BR477" t="s">
        <v>105</v>
      </c>
      <c r="BS477" t="s">
        <v>9320</v>
      </c>
      <c r="BT477" t="str">
        <f>HYPERLINK("https%3A%2F%2Fwww.webofscience.com%2Fwos%2Fwoscc%2Ffull-record%2FWOS:000391401900008","View Full Record in Web of Science")</f>
        <v>View Full Record in Web of Science</v>
      </c>
    </row>
    <row r="478" spans="1:72" x14ac:dyDescent="0.15">
      <c r="A478" t="s">
        <v>72</v>
      </c>
      <c r="B478" t="s">
        <v>9321</v>
      </c>
      <c r="C478" t="s">
        <v>74</v>
      </c>
      <c r="D478" t="s">
        <v>74</v>
      </c>
      <c r="E478" t="s">
        <v>74</v>
      </c>
      <c r="F478" t="s">
        <v>9322</v>
      </c>
      <c r="G478" t="s">
        <v>74</v>
      </c>
      <c r="H478" t="s">
        <v>74</v>
      </c>
      <c r="I478" t="s">
        <v>9323</v>
      </c>
      <c r="J478" t="s">
        <v>9238</v>
      </c>
      <c r="K478" t="s">
        <v>74</v>
      </c>
      <c r="L478" t="s">
        <v>74</v>
      </c>
      <c r="M478" t="s">
        <v>78</v>
      </c>
      <c r="N478" t="s">
        <v>79</v>
      </c>
      <c r="O478" t="s">
        <v>74</v>
      </c>
      <c r="P478" t="s">
        <v>74</v>
      </c>
      <c r="Q478" t="s">
        <v>74</v>
      </c>
      <c r="R478" t="s">
        <v>74</v>
      </c>
      <c r="S478" t="s">
        <v>74</v>
      </c>
      <c r="T478" t="s">
        <v>9324</v>
      </c>
      <c r="U478" t="s">
        <v>9325</v>
      </c>
      <c r="V478" t="s">
        <v>9326</v>
      </c>
      <c r="W478" t="s">
        <v>9327</v>
      </c>
      <c r="X478" t="s">
        <v>9328</v>
      </c>
      <c r="Y478" t="s">
        <v>9329</v>
      </c>
      <c r="Z478" t="s">
        <v>9330</v>
      </c>
      <c r="AA478" t="s">
        <v>9331</v>
      </c>
      <c r="AB478" t="s">
        <v>9332</v>
      </c>
      <c r="AC478" t="s">
        <v>9333</v>
      </c>
      <c r="AD478" t="s">
        <v>9334</v>
      </c>
      <c r="AE478" t="s">
        <v>9335</v>
      </c>
      <c r="AF478" t="s">
        <v>74</v>
      </c>
      <c r="AG478">
        <v>87</v>
      </c>
      <c r="AH478">
        <v>36</v>
      </c>
      <c r="AI478">
        <v>40</v>
      </c>
      <c r="AJ478">
        <v>4</v>
      </c>
      <c r="AK478">
        <v>106</v>
      </c>
      <c r="AL478" t="s">
        <v>211</v>
      </c>
      <c r="AM478" t="s">
        <v>187</v>
      </c>
      <c r="AN478" t="s">
        <v>933</v>
      </c>
      <c r="AO478" t="s">
        <v>9250</v>
      </c>
      <c r="AP478" t="s">
        <v>9251</v>
      </c>
      <c r="AQ478" t="s">
        <v>74</v>
      </c>
      <c r="AR478" t="s">
        <v>9252</v>
      </c>
      <c r="AS478" t="s">
        <v>9253</v>
      </c>
      <c r="AT478" t="s">
        <v>2136</v>
      </c>
      <c r="AU478">
        <v>2017</v>
      </c>
      <c r="AV478">
        <v>40</v>
      </c>
      <c r="AW478">
        <v>1</v>
      </c>
      <c r="AX478" t="s">
        <v>74</v>
      </c>
      <c r="AY478" t="s">
        <v>74</v>
      </c>
      <c r="AZ478" t="s">
        <v>74</v>
      </c>
      <c r="BA478" t="s">
        <v>74</v>
      </c>
      <c r="BB478">
        <v>141</v>
      </c>
      <c r="BC478">
        <v>149</v>
      </c>
      <c r="BD478" t="s">
        <v>74</v>
      </c>
      <c r="BE478" t="s">
        <v>9336</v>
      </c>
      <c r="BF478" t="str">
        <f>HYPERLINK("http://dx.doi.org/10.1007/s00300-016-1934-x","http://dx.doi.org/10.1007/s00300-016-1934-x")</f>
        <v>http://dx.doi.org/10.1007/s00300-016-1934-x</v>
      </c>
      <c r="BG478" t="s">
        <v>74</v>
      </c>
      <c r="BH478" t="s">
        <v>74</v>
      </c>
      <c r="BI478">
        <v>9</v>
      </c>
      <c r="BJ478" t="s">
        <v>5867</v>
      </c>
      <c r="BK478" t="s">
        <v>101</v>
      </c>
      <c r="BL478" t="s">
        <v>2257</v>
      </c>
      <c r="BM478" t="s">
        <v>9255</v>
      </c>
      <c r="BN478" t="s">
        <v>74</v>
      </c>
      <c r="BO478" t="s">
        <v>396</v>
      </c>
      <c r="BP478" t="s">
        <v>74</v>
      </c>
      <c r="BQ478" t="s">
        <v>74</v>
      </c>
      <c r="BR478" t="s">
        <v>105</v>
      </c>
      <c r="BS478" t="s">
        <v>9337</v>
      </c>
      <c r="BT478" t="str">
        <f>HYPERLINK("https%3A%2F%2Fwww.webofscience.com%2Fwos%2Fwoscc%2Ffull-record%2FWOS:000391401900011","View Full Record in Web of Science")</f>
        <v>View Full Record in Web of Science</v>
      </c>
    </row>
    <row r="479" spans="1:72" x14ac:dyDescent="0.15">
      <c r="A479" t="s">
        <v>72</v>
      </c>
      <c r="B479" t="s">
        <v>9338</v>
      </c>
      <c r="C479" t="s">
        <v>74</v>
      </c>
      <c r="D479" t="s">
        <v>74</v>
      </c>
      <c r="E479" t="s">
        <v>74</v>
      </c>
      <c r="F479" t="s">
        <v>9339</v>
      </c>
      <c r="G479" t="s">
        <v>74</v>
      </c>
      <c r="H479" t="s">
        <v>74</v>
      </c>
      <c r="I479" t="s">
        <v>9340</v>
      </c>
      <c r="J479" t="s">
        <v>9238</v>
      </c>
      <c r="K479" t="s">
        <v>74</v>
      </c>
      <c r="L479" t="s">
        <v>74</v>
      </c>
      <c r="M479" t="s">
        <v>78</v>
      </c>
      <c r="N479" t="s">
        <v>79</v>
      </c>
      <c r="O479" t="s">
        <v>74</v>
      </c>
      <c r="P479" t="s">
        <v>74</v>
      </c>
      <c r="Q479" t="s">
        <v>74</v>
      </c>
      <c r="R479" t="s">
        <v>74</v>
      </c>
      <c r="S479" t="s">
        <v>74</v>
      </c>
      <c r="T479" t="s">
        <v>9341</v>
      </c>
      <c r="U479" t="s">
        <v>9342</v>
      </c>
      <c r="V479" t="s">
        <v>9343</v>
      </c>
      <c r="W479" t="s">
        <v>9344</v>
      </c>
      <c r="X479" t="s">
        <v>9345</v>
      </c>
      <c r="Y479" t="s">
        <v>9346</v>
      </c>
      <c r="Z479" t="s">
        <v>9347</v>
      </c>
      <c r="AA479" t="s">
        <v>74</v>
      </c>
      <c r="AB479" t="s">
        <v>9348</v>
      </c>
      <c r="AC479" t="s">
        <v>9349</v>
      </c>
      <c r="AD479" t="s">
        <v>9350</v>
      </c>
      <c r="AE479" t="s">
        <v>9351</v>
      </c>
      <c r="AF479" t="s">
        <v>74</v>
      </c>
      <c r="AG479">
        <v>60</v>
      </c>
      <c r="AH479">
        <v>7</v>
      </c>
      <c r="AI479">
        <v>9</v>
      </c>
      <c r="AJ479">
        <v>0</v>
      </c>
      <c r="AK479">
        <v>16</v>
      </c>
      <c r="AL479" t="s">
        <v>211</v>
      </c>
      <c r="AM479" t="s">
        <v>187</v>
      </c>
      <c r="AN479" t="s">
        <v>933</v>
      </c>
      <c r="AO479" t="s">
        <v>9250</v>
      </c>
      <c r="AP479" t="s">
        <v>9251</v>
      </c>
      <c r="AQ479" t="s">
        <v>74</v>
      </c>
      <c r="AR479" t="s">
        <v>9252</v>
      </c>
      <c r="AS479" t="s">
        <v>9253</v>
      </c>
      <c r="AT479" t="s">
        <v>2136</v>
      </c>
      <c r="AU479">
        <v>2017</v>
      </c>
      <c r="AV479">
        <v>40</v>
      </c>
      <c r="AW479">
        <v>1</v>
      </c>
      <c r="AX479" t="s">
        <v>74</v>
      </c>
      <c r="AY479" t="s">
        <v>74</v>
      </c>
      <c r="AZ479" t="s">
        <v>74</v>
      </c>
      <c r="BA479" t="s">
        <v>74</v>
      </c>
      <c r="BB479">
        <v>161</v>
      </c>
      <c r="BC479">
        <v>176</v>
      </c>
      <c r="BD479" t="s">
        <v>74</v>
      </c>
      <c r="BE479" t="s">
        <v>9352</v>
      </c>
      <c r="BF479" t="str">
        <f>HYPERLINK("http://dx.doi.org/10.1007/s00300-016-1939-5","http://dx.doi.org/10.1007/s00300-016-1939-5")</f>
        <v>http://dx.doi.org/10.1007/s00300-016-1939-5</v>
      </c>
      <c r="BG479" t="s">
        <v>74</v>
      </c>
      <c r="BH479" t="s">
        <v>74</v>
      </c>
      <c r="BI479">
        <v>16</v>
      </c>
      <c r="BJ479" t="s">
        <v>5867</v>
      </c>
      <c r="BK479" t="s">
        <v>101</v>
      </c>
      <c r="BL479" t="s">
        <v>2257</v>
      </c>
      <c r="BM479" t="s">
        <v>9255</v>
      </c>
      <c r="BN479" t="s">
        <v>74</v>
      </c>
      <c r="BO479" t="s">
        <v>74</v>
      </c>
      <c r="BP479" t="s">
        <v>74</v>
      </c>
      <c r="BQ479" t="s">
        <v>74</v>
      </c>
      <c r="BR479" t="s">
        <v>105</v>
      </c>
      <c r="BS479" t="s">
        <v>9353</v>
      </c>
      <c r="BT479" t="str">
        <f>HYPERLINK("https%3A%2F%2Fwww.webofscience.com%2Fwos%2Fwoscc%2Ffull-record%2FWOS:000391401900013","View Full Record in Web of Science")</f>
        <v>View Full Record in Web of Science</v>
      </c>
    </row>
    <row r="480" spans="1:72" x14ac:dyDescent="0.15">
      <c r="A480" t="s">
        <v>72</v>
      </c>
      <c r="B480" t="s">
        <v>9354</v>
      </c>
      <c r="C480" t="s">
        <v>74</v>
      </c>
      <c r="D480" t="s">
        <v>74</v>
      </c>
      <c r="E480" t="s">
        <v>74</v>
      </c>
      <c r="F480" t="s">
        <v>9355</v>
      </c>
      <c r="G480" t="s">
        <v>74</v>
      </c>
      <c r="H480" t="s">
        <v>74</v>
      </c>
      <c r="I480" t="s">
        <v>9356</v>
      </c>
      <c r="J480" t="s">
        <v>9238</v>
      </c>
      <c r="K480" t="s">
        <v>74</v>
      </c>
      <c r="L480" t="s">
        <v>74</v>
      </c>
      <c r="M480" t="s">
        <v>78</v>
      </c>
      <c r="N480" t="s">
        <v>79</v>
      </c>
      <c r="O480" t="s">
        <v>74</v>
      </c>
      <c r="P480" t="s">
        <v>74</v>
      </c>
      <c r="Q480" t="s">
        <v>74</v>
      </c>
      <c r="R480" t="s">
        <v>74</v>
      </c>
      <c r="S480" t="s">
        <v>74</v>
      </c>
      <c r="T480" t="s">
        <v>9357</v>
      </c>
      <c r="U480" t="s">
        <v>9358</v>
      </c>
      <c r="V480" t="s">
        <v>9359</v>
      </c>
      <c r="W480" t="s">
        <v>9360</v>
      </c>
      <c r="X480" t="s">
        <v>9361</v>
      </c>
      <c r="Y480" t="s">
        <v>9362</v>
      </c>
      <c r="Z480" t="s">
        <v>9363</v>
      </c>
      <c r="AA480" t="s">
        <v>74</v>
      </c>
      <c r="AB480" t="s">
        <v>74</v>
      </c>
      <c r="AC480" t="s">
        <v>9364</v>
      </c>
      <c r="AD480" t="s">
        <v>9365</v>
      </c>
      <c r="AE480" t="s">
        <v>9366</v>
      </c>
      <c r="AF480" t="s">
        <v>74</v>
      </c>
      <c r="AG480">
        <v>54</v>
      </c>
      <c r="AH480">
        <v>34</v>
      </c>
      <c r="AI480">
        <v>37</v>
      </c>
      <c r="AJ480">
        <v>0</v>
      </c>
      <c r="AK480">
        <v>42</v>
      </c>
      <c r="AL480" t="s">
        <v>211</v>
      </c>
      <c r="AM480" t="s">
        <v>187</v>
      </c>
      <c r="AN480" t="s">
        <v>933</v>
      </c>
      <c r="AO480" t="s">
        <v>9250</v>
      </c>
      <c r="AP480" t="s">
        <v>9251</v>
      </c>
      <c r="AQ480" t="s">
        <v>74</v>
      </c>
      <c r="AR480" t="s">
        <v>9252</v>
      </c>
      <c r="AS480" t="s">
        <v>9253</v>
      </c>
      <c r="AT480" t="s">
        <v>2136</v>
      </c>
      <c r="AU480">
        <v>2017</v>
      </c>
      <c r="AV480">
        <v>40</v>
      </c>
      <c r="AW480">
        <v>1</v>
      </c>
      <c r="AX480" t="s">
        <v>74</v>
      </c>
      <c r="AY480" t="s">
        <v>74</v>
      </c>
      <c r="AZ480" t="s">
        <v>74</v>
      </c>
      <c r="BA480" t="s">
        <v>74</v>
      </c>
      <c r="BB480">
        <v>177</v>
      </c>
      <c r="BC480">
        <v>183</v>
      </c>
      <c r="BD480" t="s">
        <v>74</v>
      </c>
      <c r="BE480" t="s">
        <v>9367</v>
      </c>
      <c r="BF480" t="str">
        <f>HYPERLINK("http://dx.doi.org/10.1007/s00300-016-1940-z","http://dx.doi.org/10.1007/s00300-016-1940-z")</f>
        <v>http://dx.doi.org/10.1007/s00300-016-1940-z</v>
      </c>
      <c r="BG480" t="s">
        <v>74</v>
      </c>
      <c r="BH480" t="s">
        <v>74</v>
      </c>
      <c r="BI480">
        <v>7</v>
      </c>
      <c r="BJ480" t="s">
        <v>5867</v>
      </c>
      <c r="BK480" t="s">
        <v>101</v>
      </c>
      <c r="BL480" t="s">
        <v>2257</v>
      </c>
      <c r="BM480" t="s">
        <v>9255</v>
      </c>
      <c r="BN480" t="s">
        <v>74</v>
      </c>
      <c r="BO480" t="s">
        <v>74</v>
      </c>
      <c r="BP480" t="s">
        <v>74</v>
      </c>
      <c r="BQ480" t="s">
        <v>74</v>
      </c>
      <c r="BR480" t="s">
        <v>105</v>
      </c>
      <c r="BS480" t="s">
        <v>9368</v>
      </c>
      <c r="BT480" t="str">
        <f>HYPERLINK("https%3A%2F%2Fwww.webofscience.com%2Fwos%2Fwoscc%2Ffull-record%2FWOS:000391401900014","View Full Record in Web of Science")</f>
        <v>View Full Record in Web of Science</v>
      </c>
    </row>
    <row r="481" spans="1:72" x14ac:dyDescent="0.15">
      <c r="A481" t="s">
        <v>72</v>
      </c>
      <c r="B481" t="s">
        <v>9369</v>
      </c>
      <c r="C481" t="s">
        <v>74</v>
      </c>
      <c r="D481" t="s">
        <v>74</v>
      </c>
      <c r="E481" t="s">
        <v>74</v>
      </c>
      <c r="F481" t="s">
        <v>9370</v>
      </c>
      <c r="G481" t="s">
        <v>74</v>
      </c>
      <c r="H481" t="s">
        <v>74</v>
      </c>
      <c r="I481" t="s">
        <v>9371</v>
      </c>
      <c r="J481" t="s">
        <v>9238</v>
      </c>
      <c r="K481" t="s">
        <v>74</v>
      </c>
      <c r="L481" t="s">
        <v>74</v>
      </c>
      <c r="M481" t="s">
        <v>78</v>
      </c>
      <c r="N481" t="s">
        <v>79</v>
      </c>
      <c r="O481" t="s">
        <v>74</v>
      </c>
      <c r="P481" t="s">
        <v>74</v>
      </c>
      <c r="Q481" t="s">
        <v>74</v>
      </c>
      <c r="R481" t="s">
        <v>74</v>
      </c>
      <c r="S481" t="s">
        <v>74</v>
      </c>
      <c r="T481" t="s">
        <v>9372</v>
      </c>
      <c r="U481" t="s">
        <v>9373</v>
      </c>
      <c r="V481" t="s">
        <v>9374</v>
      </c>
      <c r="W481" t="s">
        <v>9375</v>
      </c>
      <c r="X481" t="s">
        <v>9376</v>
      </c>
      <c r="Y481" t="s">
        <v>9377</v>
      </c>
      <c r="Z481" t="s">
        <v>9378</v>
      </c>
      <c r="AA481" t="s">
        <v>9379</v>
      </c>
      <c r="AB481" t="s">
        <v>9380</v>
      </c>
      <c r="AC481" t="s">
        <v>9381</v>
      </c>
      <c r="AD481" t="s">
        <v>9382</v>
      </c>
      <c r="AE481" t="s">
        <v>9383</v>
      </c>
      <c r="AF481" t="s">
        <v>74</v>
      </c>
      <c r="AG481">
        <v>56</v>
      </c>
      <c r="AH481">
        <v>9</v>
      </c>
      <c r="AI481">
        <v>10</v>
      </c>
      <c r="AJ481">
        <v>2</v>
      </c>
      <c r="AK481">
        <v>12</v>
      </c>
      <c r="AL481" t="s">
        <v>211</v>
      </c>
      <c r="AM481" t="s">
        <v>187</v>
      </c>
      <c r="AN481" t="s">
        <v>2131</v>
      </c>
      <c r="AO481" t="s">
        <v>9250</v>
      </c>
      <c r="AP481" t="s">
        <v>9251</v>
      </c>
      <c r="AQ481" t="s">
        <v>74</v>
      </c>
      <c r="AR481" t="s">
        <v>9252</v>
      </c>
      <c r="AS481" t="s">
        <v>9253</v>
      </c>
      <c r="AT481" t="s">
        <v>2136</v>
      </c>
      <c r="AU481">
        <v>2017</v>
      </c>
      <c r="AV481">
        <v>40</v>
      </c>
      <c r="AW481">
        <v>1</v>
      </c>
      <c r="AX481" t="s">
        <v>74</v>
      </c>
      <c r="AY481" t="s">
        <v>74</v>
      </c>
      <c r="AZ481" t="s">
        <v>74</v>
      </c>
      <c r="BA481" t="s">
        <v>74</v>
      </c>
      <c r="BB481">
        <v>199</v>
      </c>
      <c r="BC481">
        <v>211</v>
      </c>
      <c r="BD481" t="s">
        <v>74</v>
      </c>
      <c r="BE481" t="s">
        <v>9384</v>
      </c>
      <c r="BF481" t="str">
        <f>HYPERLINK("http://dx.doi.org/10.1007/s00300-016-1945-7","http://dx.doi.org/10.1007/s00300-016-1945-7")</f>
        <v>http://dx.doi.org/10.1007/s00300-016-1945-7</v>
      </c>
      <c r="BG481" t="s">
        <v>74</v>
      </c>
      <c r="BH481" t="s">
        <v>74</v>
      </c>
      <c r="BI481">
        <v>13</v>
      </c>
      <c r="BJ481" t="s">
        <v>5867</v>
      </c>
      <c r="BK481" t="s">
        <v>101</v>
      </c>
      <c r="BL481" t="s">
        <v>2257</v>
      </c>
      <c r="BM481" t="s">
        <v>9255</v>
      </c>
      <c r="BN481" t="s">
        <v>74</v>
      </c>
      <c r="BO481" t="s">
        <v>74</v>
      </c>
      <c r="BP481" t="s">
        <v>74</v>
      </c>
      <c r="BQ481" t="s">
        <v>74</v>
      </c>
      <c r="BR481" t="s">
        <v>105</v>
      </c>
      <c r="BS481" t="s">
        <v>9385</v>
      </c>
      <c r="BT481" t="str">
        <f>HYPERLINK("https%3A%2F%2Fwww.webofscience.com%2Fwos%2Fwoscc%2Ffull-record%2FWOS:000391401900016","View Full Record in Web of Science")</f>
        <v>View Full Record in Web of Science</v>
      </c>
    </row>
    <row r="482" spans="1:72" x14ac:dyDescent="0.15">
      <c r="A482" t="s">
        <v>72</v>
      </c>
      <c r="B482" t="s">
        <v>9386</v>
      </c>
      <c r="C482" t="s">
        <v>74</v>
      </c>
      <c r="D482" t="s">
        <v>74</v>
      </c>
      <c r="E482" t="s">
        <v>74</v>
      </c>
      <c r="F482" t="s">
        <v>9387</v>
      </c>
      <c r="G482" t="s">
        <v>74</v>
      </c>
      <c r="H482" t="s">
        <v>74</v>
      </c>
      <c r="I482" t="s">
        <v>9388</v>
      </c>
      <c r="J482" t="s">
        <v>9238</v>
      </c>
      <c r="K482" t="s">
        <v>74</v>
      </c>
      <c r="L482" t="s">
        <v>74</v>
      </c>
      <c r="M482" t="s">
        <v>78</v>
      </c>
      <c r="N482" t="s">
        <v>79</v>
      </c>
      <c r="O482" t="s">
        <v>74</v>
      </c>
      <c r="P482" t="s">
        <v>74</v>
      </c>
      <c r="Q482" t="s">
        <v>74</v>
      </c>
      <c r="R482" t="s">
        <v>74</v>
      </c>
      <c r="S482" t="s">
        <v>74</v>
      </c>
      <c r="T482" t="s">
        <v>9389</v>
      </c>
      <c r="U482" t="s">
        <v>9390</v>
      </c>
      <c r="V482" t="s">
        <v>9391</v>
      </c>
      <c r="W482" t="s">
        <v>9392</v>
      </c>
      <c r="X482" t="s">
        <v>9393</v>
      </c>
      <c r="Y482" t="s">
        <v>9394</v>
      </c>
      <c r="Z482" t="s">
        <v>9395</v>
      </c>
      <c r="AA482" t="s">
        <v>74</v>
      </c>
      <c r="AB482" t="s">
        <v>74</v>
      </c>
      <c r="AC482" t="s">
        <v>74</v>
      </c>
      <c r="AD482" t="s">
        <v>74</v>
      </c>
      <c r="AE482" t="s">
        <v>74</v>
      </c>
      <c r="AF482" t="s">
        <v>74</v>
      </c>
      <c r="AG482">
        <v>20</v>
      </c>
      <c r="AH482">
        <v>34</v>
      </c>
      <c r="AI482">
        <v>37</v>
      </c>
      <c r="AJ482">
        <v>2</v>
      </c>
      <c r="AK482">
        <v>52</v>
      </c>
      <c r="AL482" t="s">
        <v>211</v>
      </c>
      <c r="AM482" t="s">
        <v>187</v>
      </c>
      <c r="AN482" t="s">
        <v>2131</v>
      </c>
      <c r="AO482" t="s">
        <v>9250</v>
      </c>
      <c r="AP482" t="s">
        <v>9251</v>
      </c>
      <c r="AQ482" t="s">
        <v>74</v>
      </c>
      <c r="AR482" t="s">
        <v>9252</v>
      </c>
      <c r="AS482" t="s">
        <v>9253</v>
      </c>
      <c r="AT482" t="s">
        <v>2136</v>
      </c>
      <c r="AU482">
        <v>2017</v>
      </c>
      <c r="AV482">
        <v>40</v>
      </c>
      <c r="AW482">
        <v>1</v>
      </c>
      <c r="AX482" t="s">
        <v>74</v>
      </c>
      <c r="AY482" t="s">
        <v>74</v>
      </c>
      <c r="AZ482" t="s">
        <v>74</v>
      </c>
      <c r="BA482" t="s">
        <v>74</v>
      </c>
      <c r="BB482">
        <v>231</v>
      </c>
      <c r="BC482">
        <v>236</v>
      </c>
      <c r="BD482" t="s">
        <v>74</v>
      </c>
      <c r="BE482" t="s">
        <v>9396</v>
      </c>
      <c r="BF482" t="str">
        <f>HYPERLINK("http://dx.doi.org/10.1007/s00300-016-1942-x","http://dx.doi.org/10.1007/s00300-016-1942-x")</f>
        <v>http://dx.doi.org/10.1007/s00300-016-1942-x</v>
      </c>
      <c r="BG482" t="s">
        <v>74</v>
      </c>
      <c r="BH482" t="s">
        <v>74</v>
      </c>
      <c r="BI482">
        <v>6</v>
      </c>
      <c r="BJ482" t="s">
        <v>5867</v>
      </c>
      <c r="BK482" t="s">
        <v>101</v>
      </c>
      <c r="BL482" t="s">
        <v>2257</v>
      </c>
      <c r="BM482" t="s">
        <v>9255</v>
      </c>
      <c r="BN482" t="s">
        <v>74</v>
      </c>
      <c r="BO482" t="s">
        <v>301</v>
      </c>
      <c r="BP482" t="s">
        <v>74</v>
      </c>
      <c r="BQ482" t="s">
        <v>74</v>
      </c>
      <c r="BR482" t="s">
        <v>105</v>
      </c>
      <c r="BS482" t="s">
        <v>9397</v>
      </c>
      <c r="BT482" t="str">
        <f>HYPERLINK("https%3A%2F%2Fwww.webofscience.com%2Fwos%2Fwoscc%2Ffull-record%2FWOS:000391401900020","View Full Record in Web of Science")</f>
        <v>View Full Record in Web of Science</v>
      </c>
    </row>
    <row r="483" spans="1:72" x14ac:dyDescent="0.15">
      <c r="A483" t="s">
        <v>72</v>
      </c>
      <c r="B483" t="s">
        <v>9398</v>
      </c>
      <c r="C483" t="s">
        <v>74</v>
      </c>
      <c r="D483" t="s">
        <v>74</v>
      </c>
      <c r="E483" t="s">
        <v>74</v>
      </c>
      <c r="F483" t="s">
        <v>9399</v>
      </c>
      <c r="G483" t="s">
        <v>74</v>
      </c>
      <c r="H483" t="s">
        <v>74</v>
      </c>
      <c r="I483" t="s">
        <v>9400</v>
      </c>
      <c r="J483" t="s">
        <v>9401</v>
      </c>
      <c r="K483" t="s">
        <v>74</v>
      </c>
      <c r="L483" t="s">
        <v>74</v>
      </c>
      <c r="M483" t="s">
        <v>78</v>
      </c>
      <c r="N483" t="s">
        <v>79</v>
      </c>
      <c r="O483" t="s">
        <v>74</v>
      </c>
      <c r="P483" t="s">
        <v>74</v>
      </c>
      <c r="Q483" t="s">
        <v>74</v>
      </c>
      <c r="R483" t="s">
        <v>74</v>
      </c>
      <c r="S483" t="s">
        <v>74</v>
      </c>
      <c r="T483" t="s">
        <v>9402</v>
      </c>
      <c r="U483" t="s">
        <v>9403</v>
      </c>
      <c r="V483" t="s">
        <v>9404</v>
      </c>
      <c r="W483" t="s">
        <v>9405</v>
      </c>
      <c r="X483" t="s">
        <v>9406</v>
      </c>
      <c r="Y483" t="s">
        <v>9407</v>
      </c>
      <c r="Z483" t="s">
        <v>9408</v>
      </c>
      <c r="AA483" t="s">
        <v>9409</v>
      </c>
      <c r="AB483" t="s">
        <v>9410</v>
      </c>
      <c r="AC483" t="s">
        <v>9411</v>
      </c>
      <c r="AD483" t="s">
        <v>9412</v>
      </c>
      <c r="AE483" t="s">
        <v>9413</v>
      </c>
      <c r="AF483" t="s">
        <v>74</v>
      </c>
      <c r="AG483">
        <v>46</v>
      </c>
      <c r="AH483">
        <v>18</v>
      </c>
      <c r="AI483">
        <v>21</v>
      </c>
      <c r="AJ483">
        <v>1</v>
      </c>
      <c r="AK483">
        <v>34</v>
      </c>
      <c r="AL483" t="s">
        <v>8845</v>
      </c>
      <c r="AM483" t="s">
        <v>2378</v>
      </c>
      <c r="AN483" t="s">
        <v>2379</v>
      </c>
      <c r="AO483" t="s">
        <v>9414</v>
      </c>
      <c r="AP483" t="s">
        <v>9415</v>
      </c>
      <c r="AQ483" t="s">
        <v>74</v>
      </c>
      <c r="AR483" t="s">
        <v>9416</v>
      </c>
      <c r="AS483" t="s">
        <v>9417</v>
      </c>
      <c r="AT483" t="s">
        <v>2136</v>
      </c>
      <c r="AU483">
        <v>2017</v>
      </c>
      <c r="AV483">
        <v>33</v>
      </c>
      <c r="AW483">
        <v>1</v>
      </c>
      <c r="AX483" t="s">
        <v>74</v>
      </c>
      <c r="AY483" t="s">
        <v>74</v>
      </c>
      <c r="AZ483" t="s">
        <v>74</v>
      </c>
      <c r="BA483" t="s">
        <v>74</v>
      </c>
      <c r="BB483">
        <v>172</v>
      </c>
      <c r="BC483">
        <v>186</v>
      </c>
      <c r="BD483" t="s">
        <v>74</v>
      </c>
      <c r="BE483" t="s">
        <v>9418</v>
      </c>
      <c r="BF483" t="str">
        <f>HYPERLINK("http://dx.doi.org/10.1111/mms.12373","http://dx.doi.org/10.1111/mms.12373")</f>
        <v>http://dx.doi.org/10.1111/mms.12373</v>
      </c>
      <c r="BG483" t="s">
        <v>74</v>
      </c>
      <c r="BH483" t="s">
        <v>74</v>
      </c>
      <c r="BI483">
        <v>15</v>
      </c>
      <c r="BJ483" t="s">
        <v>7726</v>
      </c>
      <c r="BK483" t="s">
        <v>101</v>
      </c>
      <c r="BL483" t="s">
        <v>7726</v>
      </c>
      <c r="BM483" t="s">
        <v>9419</v>
      </c>
      <c r="BN483" t="s">
        <v>74</v>
      </c>
      <c r="BO483" t="s">
        <v>301</v>
      </c>
      <c r="BP483" t="s">
        <v>74</v>
      </c>
      <c r="BQ483" t="s">
        <v>74</v>
      </c>
      <c r="BR483" t="s">
        <v>105</v>
      </c>
      <c r="BS483" t="s">
        <v>9420</v>
      </c>
      <c r="BT483" t="str">
        <f>HYPERLINK("https%3A%2F%2Fwww.webofscience.com%2Fwos%2Fwoscc%2Ffull-record%2FWOS:000391037300008","View Full Record in Web of Science")</f>
        <v>View Full Record in Web of Science</v>
      </c>
    </row>
    <row r="484" spans="1:72" x14ac:dyDescent="0.15">
      <c r="A484" t="s">
        <v>72</v>
      </c>
      <c r="B484" t="s">
        <v>9421</v>
      </c>
      <c r="C484" t="s">
        <v>74</v>
      </c>
      <c r="D484" t="s">
        <v>74</v>
      </c>
      <c r="E484" t="s">
        <v>74</v>
      </c>
      <c r="F484" t="s">
        <v>9422</v>
      </c>
      <c r="G484" t="s">
        <v>74</v>
      </c>
      <c r="H484" t="s">
        <v>74</v>
      </c>
      <c r="I484" t="s">
        <v>9423</v>
      </c>
      <c r="J484" t="s">
        <v>9424</v>
      </c>
      <c r="K484" t="s">
        <v>74</v>
      </c>
      <c r="L484" t="s">
        <v>74</v>
      </c>
      <c r="M484" t="s">
        <v>78</v>
      </c>
      <c r="N484" t="s">
        <v>79</v>
      </c>
      <c r="O484" t="s">
        <v>74</v>
      </c>
      <c r="P484" t="s">
        <v>74</v>
      </c>
      <c r="Q484" t="s">
        <v>74</v>
      </c>
      <c r="R484" t="s">
        <v>74</v>
      </c>
      <c r="S484" t="s">
        <v>74</v>
      </c>
      <c r="T484" t="s">
        <v>9425</v>
      </c>
      <c r="U484" t="s">
        <v>9426</v>
      </c>
      <c r="V484" t="s">
        <v>9427</v>
      </c>
      <c r="W484" t="s">
        <v>9428</v>
      </c>
      <c r="X484" t="s">
        <v>9429</v>
      </c>
      <c r="Y484" t="s">
        <v>9430</v>
      </c>
      <c r="Z484" t="s">
        <v>9431</v>
      </c>
      <c r="AA484" t="s">
        <v>9432</v>
      </c>
      <c r="AB484" t="s">
        <v>9433</v>
      </c>
      <c r="AC484" t="s">
        <v>9434</v>
      </c>
      <c r="AD484" t="s">
        <v>9435</v>
      </c>
      <c r="AE484" t="s">
        <v>9436</v>
      </c>
      <c r="AF484" t="s">
        <v>74</v>
      </c>
      <c r="AG484">
        <v>36</v>
      </c>
      <c r="AH484">
        <v>5</v>
      </c>
      <c r="AI484">
        <v>5</v>
      </c>
      <c r="AJ484">
        <v>0</v>
      </c>
      <c r="AK484">
        <v>14</v>
      </c>
      <c r="AL484" t="s">
        <v>211</v>
      </c>
      <c r="AM484" t="s">
        <v>212</v>
      </c>
      <c r="AN484" t="s">
        <v>213</v>
      </c>
      <c r="AO484" t="s">
        <v>9437</v>
      </c>
      <c r="AP484" t="s">
        <v>9438</v>
      </c>
      <c r="AQ484" t="s">
        <v>74</v>
      </c>
      <c r="AR484" t="s">
        <v>9424</v>
      </c>
      <c r="AS484" t="s">
        <v>9439</v>
      </c>
      <c r="AT484" t="s">
        <v>2136</v>
      </c>
      <c r="AU484">
        <v>2017</v>
      </c>
      <c r="AV484">
        <v>71</v>
      </c>
      <c r="AW484">
        <v>1</v>
      </c>
      <c r="AX484" t="s">
        <v>74</v>
      </c>
      <c r="AY484" t="s">
        <v>74</v>
      </c>
      <c r="AZ484" t="s">
        <v>74</v>
      </c>
      <c r="BA484" t="s">
        <v>74</v>
      </c>
      <c r="BB484">
        <v>57</v>
      </c>
      <c r="BC484">
        <v>63</v>
      </c>
      <c r="BD484" t="s">
        <v>74</v>
      </c>
      <c r="BE484" t="s">
        <v>9440</v>
      </c>
      <c r="BF484" t="str">
        <f>HYPERLINK("http://dx.doi.org/10.1007/s13199-016-0447-2","http://dx.doi.org/10.1007/s13199-016-0447-2")</f>
        <v>http://dx.doi.org/10.1007/s13199-016-0447-2</v>
      </c>
      <c r="BG484" t="s">
        <v>74</v>
      </c>
      <c r="BH484" t="s">
        <v>74</v>
      </c>
      <c r="BI484">
        <v>7</v>
      </c>
      <c r="BJ484" t="s">
        <v>2026</v>
      </c>
      <c r="BK484" t="s">
        <v>101</v>
      </c>
      <c r="BL484" t="s">
        <v>2026</v>
      </c>
      <c r="BM484" t="s">
        <v>9441</v>
      </c>
      <c r="BN484">
        <v>28066125</v>
      </c>
      <c r="BO484" t="s">
        <v>2028</v>
      </c>
      <c r="BP484" t="s">
        <v>74</v>
      </c>
      <c r="BQ484" t="s">
        <v>74</v>
      </c>
      <c r="BR484" t="s">
        <v>105</v>
      </c>
      <c r="BS484" t="s">
        <v>9442</v>
      </c>
      <c r="BT484" t="str">
        <f>HYPERLINK("https%3A%2F%2Fwww.webofscience.com%2Fwos%2Fwoscc%2Ffull-record%2FWOS:000391392700007","View Full Record in Web of Science")</f>
        <v>View Full Record in Web of Science</v>
      </c>
    </row>
    <row r="485" spans="1:72" x14ac:dyDescent="0.15">
      <c r="A485" t="s">
        <v>72</v>
      </c>
      <c r="B485" t="s">
        <v>9443</v>
      </c>
      <c r="C485" t="s">
        <v>74</v>
      </c>
      <c r="D485" t="s">
        <v>74</v>
      </c>
      <c r="E485" t="s">
        <v>74</v>
      </c>
      <c r="F485" t="s">
        <v>9444</v>
      </c>
      <c r="G485" t="s">
        <v>74</v>
      </c>
      <c r="H485" t="s">
        <v>74</v>
      </c>
      <c r="I485" t="s">
        <v>9445</v>
      </c>
      <c r="J485" t="s">
        <v>278</v>
      </c>
      <c r="K485" t="s">
        <v>74</v>
      </c>
      <c r="L485" t="s">
        <v>74</v>
      </c>
      <c r="M485" t="s">
        <v>78</v>
      </c>
      <c r="N485" t="s">
        <v>79</v>
      </c>
      <c r="O485" t="s">
        <v>74</v>
      </c>
      <c r="P485" t="s">
        <v>74</v>
      </c>
      <c r="Q485" t="s">
        <v>74</v>
      </c>
      <c r="R485" t="s">
        <v>74</v>
      </c>
      <c r="S485" t="s">
        <v>74</v>
      </c>
      <c r="T485" t="s">
        <v>9446</v>
      </c>
      <c r="U485" t="s">
        <v>9447</v>
      </c>
      <c r="V485" t="s">
        <v>9448</v>
      </c>
      <c r="W485" t="s">
        <v>9449</v>
      </c>
      <c r="X485" t="s">
        <v>9450</v>
      </c>
      <c r="Y485" t="s">
        <v>9451</v>
      </c>
      <c r="Z485" t="s">
        <v>9452</v>
      </c>
      <c r="AA485" t="s">
        <v>9453</v>
      </c>
      <c r="AB485" t="s">
        <v>9454</v>
      </c>
      <c r="AC485" t="s">
        <v>9455</v>
      </c>
      <c r="AD485" t="s">
        <v>9456</v>
      </c>
      <c r="AE485" t="s">
        <v>9457</v>
      </c>
      <c r="AF485" t="s">
        <v>74</v>
      </c>
      <c r="AG485">
        <v>104</v>
      </c>
      <c r="AH485">
        <v>35</v>
      </c>
      <c r="AI485">
        <v>39</v>
      </c>
      <c r="AJ485">
        <v>0</v>
      </c>
      <c r="AK485">
        <v>38</v>
      </c>
      <c r="AL485" t="s">
        <v>291</v>
      </c>
      <c r="AM485" t="s">
        <v>292</v>
      </c>
      <c r="AN485" t="s">
        <v>293</v>
      </c>
      <c r="AO485" t="s">
        <v>294</v>
      </c>
      <c r="AP485" t="s">
        <v>295</v>
      </c>
      <c r="AQ485" t="s">
        <v>74</v>
      </c>
      <c r="AR485" t="s">
        <v>296</v>
      </c>
      <c r="AS485" t="s">
        <v>297</v>
      </c>
      <c r="AT485" t="s">
        <v>2162</v>
      </c>
      <c r="AU485">
        <v>2017</v>
      </c>
      <c r="AV485">
        <v>196</v>
      </c>
      <c r="AW485" t="s">
        <v>74</v>
      </c>
      <c r="AX485" t="s">
        <v>74</v>
      </c>
      <c r="AY485" t="s">
        <v>74</v>
      </c>
      <c r="AZ485" t="s">
        <v>74</v>
      </c>
      <c r="BA485" t="s">
        <v>74</v>
      </c>
      <c r="BB485">
        <v>326</v>
      </c>
      <c r="BC485">
        <v>350</v>
      </c>
      <c r="BD485" t="s">
        <v>74</v>
      </c>
      <c r="BE485" t="s">
        <v>9458</v>
      </c>
      <c r="BF485" t="str">
        <f>HYPERLINK("http://dx.doi.org/10.1016/j.gca.2016.09.036","http://dx.doi.org/10.1016/j.gca.2016.09.036")</f>
        <v>http://dx.doi.org/10.1016/j.gca.2016.09.036</v>
      </c>
      <c r="BG485" t="s">
        <v>74</v>
      </c>
      <c r="BH485" t="s">
        <v>74</v>
      </c>
      <c r="BI485">
        <v>25</v>
      </c>
      <c r="BJ485" t="s">
        <v>299</v>
      </c>
      <c r="BK485" t="s">
        <v>101</v>
      </c>
      <c r="BL485" t="s">
        <v>299</v>
      </c>
      <c r="BM485" t="s">
        <v>9459</v>
      </c>
      <c r="BN485" t="s">
        <v>74</v>
      </c>
      <c r="BO485" t="s">
        <v>396</v>
      </c>
      <c r="BP485" t="s">
        <v>74</v>
      </c>
      <c r="BQ485" t="s">
        <v>74</v>
      </c>
      <c r="BR485" t="s">
        <v>105</v>
      </c>
      <c r="BS485" t="s">
        <v>9460</v>
      </c>
      <c r="BT485" t="str">
        <f>HYPERLINK("https%3A%2F%2Fwww.webofscience.com%2Fwos%2Fwoscc%2Ffull-record%2FWOS:000390959200018","View Full Record in Web of Science")</f>
        <v>View Full Record in Web of Science</v>
      </c>
    </row>
    <row r="486" spans="1:72" x14ac:dyDescent="0.15">
      <c r="A486" t="s">
        <v>72</v>
      </c>
      <c r="B486" t="s">
        <v>9461</v>
      </c>
      <c r="C486" t="s">
        <v>74</v>
      </c>
      <c r="D486" t="s">
        <v>74</v>
      </c>
      <c r="E486" t="s">
        <v>74</v>
      </c>
      <c r="F486" t="s">
        <v>9462</v>
      </c>
      <c r="G486" t="s">
        <v>74</v>
      </c>
      <c r="H486" t="s">
        <v>74</v>
      </c>
      <c r="I486" t="s">
        <v>9463</v>
      </c>
      <c r="J486" t="s">
        <v>9464</v>
      </c>
      <c r="K486" t="s">
        <v>74</v>
      </c>
      <c r="L486" t="s">
        <v>74</v>
      </c>
      <c r="M486" t="s">
        <v>78</v>
      </c>
      <c r="N486" t="s">
        <v>79</v>
      </c>
      <c r="O486" t="s">
        <v>74</v>
      </c>
      <c r="P486" t="s">
        <v>74</v>
      </c>
      <c r="Q486" t="s">
        <v>74</v>
      </c>
      <c r="R486" t="s">
        <v>74</v>
      </c>
      <c r="S486" t="s">
        <v>74</v>
      </c>
      <c r="T486" t="s">
        <v>74</v>
      </c>
      <c r="U486" t="s">
        <v>9465</v>
      </c>
      <c r="V486" t="s">
        <v>9466</v>
      </c>
      <c r="W486" t="s">
        <v>9467</v>
      </c>
      <c r="X486" t="s">
        <v>9468</v>
      </c>
      <c r="Y486" t="s">
        <v>9469</v>
      </c>
      <c r="Z486" t="s">
        <v>9470</v>
      </c>
      <c r="AA486" t="s">
        <v>9471</v>
      </c>
      <c r="AB486" t="s">
        <v>9472</v>
      </c>
      <c r="AC486" t="s">
        <v>9473</v>
      </c>
      <c r="AD486" t="s">
        <v>6211</v>
      </c>
      <c r="AE486" t="s">
        <v>74</v>
      </c>
      <c r="AF486" t="s">
        <v>74</v>
      </c>
      <c r="AG486">
        <v>97</v>
      </c>
      <c r="AH486">
        <v>21</v>
      </c>
      <c r="AI486">
        <v>22</v>
      </c>
      <c r="AJ486">
        <v>1</v>
      </c>
      <c r="AK486">
        <v>13</v>
      </c>
      <c r="AL486" t="s">
        <v>9474</v>
      </c>
      <c r="AM486" t="s">
        <v>9475</v>
      </c>
      <c r="AN486" t="s">
        <v>9476</v>
      </c>
      <c r="AO486" t="s">
        <v>9477</v>
      </c>
      <c r="AP486" t="s">
        <v>9478</v>
      </c>
      <c r="AQ486" t="s">
        <v>74</v>
      </c>
      <c r="AR486" t="s">
        <v>9479</v>
      </c>
      <c r="AS486" t="s">
        <v>9480</v>
      </c>
      <c r="AT486" t="s">
        <v>2136</v>
      </c>
      <c r="AU486">
        <v>2017</v>
      </c>
      <c r="AV486">
        <v>129</v>
      </c>
      <c r="AW486" t="s">
        <v>2137</v>
      </c>
      <c r="AX486" t="s">
        <v>74</v>
      </c>
      <c r="AY486" t="s">
        <v>74</v>
      </c>
      <c r="AZ486" t="s">
        <v>74</v>
      </c>
      <c r="BA486" t="s">
        <v>74</v>
      </c>
      <c r="BB486">
        <v>118</v>
      </c>
      <c r="BC486">
        <v>136</v>
      </c>
      <c r="BD486" t="s">
        <v>74</v>
      </c>
      <c r="BE486" t="s">
        <v>9481</v>
      </c>
      <c r="BF486" t="str">
        <f>HYPERLINK("http://dx.doi.org/10.1130/B31485.1","http://dx.doi.org/10.1130/B31485.1")</f>
        <v>http://dx.doi.org/10.1130/B31485.1</v>
      </c>
      <c r="BG486" t="s">
        <v>74</v>
      </c>
      <c r="BH486" t="s">
        <v>74</v>
      </c>
      <c r="BI486">
        <v>19</v>
      </c>
      <c r="BJ486" t="s">
        <v>669</v>
      </c>
      <c r="BK486" t="s">
        <v>101</v>
      </c>
      <c r="BL486" t="s">
        <v>670</v>
      </c>
      <c r="BM486" t="s">
        <v>9482</v>
      </c>
      <c r="BN486" t="s">
        <v>74</v>
      </c>
      <c r="BO486" t="s">
        <v>1223</v>
      </c>
      <c r="BP486" t="s">
        <v>74</v>
      </c>
      <c r="BQ486" t="s">
        <v>74</v>
      </c>
      <c r="BR486" t="s">
        <v>105</v>
      </c>
      <c r="BS486" t="s">
        <v>9483</v>
      </c>
      <c r="BT486" t="str">
        <f>HYPERLINK("https%3A%2F%2Fwww.webofscience.com%2Fwos%2Fwoscc%2Ffull-record%2FWOS:000390988400007","View Full Record in Web of Science")</f>
        <v>View Full Record in Web of Science</v>
      </c>
    </row>
    <row r="487" spans="1:72" x14ac:dyDescent="0.15">
      <c r="A487" t="s">
        <v>72</v>
      </c>
      <c r="B487" t="s">
        <v>9484</v>
      </c>
      <c r="C487" t="s">
        <v>74</v>
      </c>
      <c r="D487" t="s">
        <v>74</v>
      </c>
      <c r="E487" t="s">
        <v>74</v>
      </c>
      <c r="F487" t="s">
        <v>9485</v>
      </c>
      <c r="G487" t="s">
        <v>74</v>
      </c>
      <c r="H487" t="s">
        <v>74</v>
      </c>
      <c r="I487" t="s">
        <v>9486</v>
      </c>
      <c r="J487" t="s">
        <v>9487</v>
      </c>
      <c r="K487" t="s">
        <v>74</v>
      </c>
      <c r="L487" t="s">
        <v>74</v>
      </c>
      <c r="M487" t="s">
        <v>78</v>
      </c>
      <c r="N487" t="s">
        <v>79</v>
      </c>
      <c r="O487" t="s">
        <v>74</v>
      </c>
      <c r="P487" t="s">
        <v>74</v>
      </c>
      <c r="Q487" t="s">
        <v>74</v>
      </c>
      <c r="R487" t="s">
        <v>74</v>
      </c>
      <c r="S487" t="s">
        <v>74</v>
      </c>
      <c r="T487" t="s">
        <v>9488</v>
      </c>
      <c r="U487" t="s">
        <v>9489</v>
      </c>
      <c r="V487" t="s">
        <v>9490</v>
      </c>
      <c r="W487" t="s">
        <v>9491</v>
      </c>
      <c r="X487" t="s">
        <v>9492</v>
      </c>
      <c r="Y487" t="s">
        <v>9493</v>
      </c>
      <c r="Z487" t="s">
        <v>9494</v>
      </c>
      <c r="AA487" t="s">
        <v>9495</v>
      </c>
      <c r="AB487" t="s">
        <v>9496</v>
      </c>
      <c r="AC487" t="s">
        <v>9497</v>
      </c>
      <c r="AD487" t="s">
        <v>9498</v>
      </c>
      <c r="AE487" t="s">
        <v>9499</v>
      </c>
      <c r="AF487" t="s">
        <v>74</v>
      </c>
      <c r="AG487">
        <v>37</v>
      </c>
      <c r="AH487">
        <v>15</v>
      </c>
      <c r="AI487">
        <v>17</v>
      </c>
      <c r="AJ487">
        <v>6</v>
      </c>
      <c r="AK487">
        <v>91</v>
      </c>
      <c r="AL487" t="s">
        <v>291</v>
      </c>
      <c r="AM487" t="s">
        <v>292</v>
      </c>
      <c r="AN487" t="s">
        <v>293</v>
      </c>
      <c r="AO487" t="s">
        <v>9500</v>
      </c>
      <c r="AP487" t="s">
        <v>9501</v>
      </c>
      <c r="AQ487" t="s">
        <v>74</v>
      </c>
      <c r="AR487" t="s">
        <v>9502</v>
      </c>
      <c r="AS487" t="s">
        <v>9503</v>
      </c>
      <c r="AT487" t="s">
        <v>2136</v>
      </c>
      <c r="AU487">
        <v>2017</v>
      </c>
      <c r="AV487">
        <v>149</v>
      </c>
      <c r="AW487" t="s">
        <v>74</v>
      </c>
      <c r="AX487" t="s">
        <v>74</v>
      </c>
      <c r="AY487" t="s">
        <v>74</v>
      </c>
      <c r="AZ487" t="s">
        <v>74</v>
      </c>
      <c r="BA487" t="s">
        <v>74</v>
      </c>
      <c r="BB487">
        <v>104</v>
      </c>
      <c r="BC487">
        <v>108</v>
      </c>
      <c r="BD487" t="s">
        <v>74</v>
      </c>
      <c r="BE487" t="s">
        <v>9504</v>
      </c>
      <c r="BF487" t="str">
        <f>HYPERLINK("http://dx.doi.org/10.1016/j.atmosenv.2016.11.015","http://dx.doi.org/10.1016/j.atmosenv.2016.11.015")</f>
        <v>http://dx.doi.org/10.1016/j.atmosenv.2016.11.015</v>
      </c>
      <c r="BG487" t="s">
        <v>74</v>
      </c>
      <c r="BH487" t="s">
        <v>74</v>
      </c>
      <c r="BI487">
        <v>5</v>
      </c>
      <c r="BJ487" t="s">
        <v>981</v>
      </c>
      <c r="BK487" t="s">
        <v>101</v>
      </c>
      <c r="BL487" t="s">
        <v>982</v>
      </c>
      <c r="BM487" t="s">
        <v>9505</v>
      </c>
      <c r="BN487" t="s">
        <v>74</v>
      </c>
      <c r="BO487" t="s">
        <v>74</v>
      </c>
      <c r="BP487" t="s">
        <v>74</v>
      </c>
      <c r="BQ487" t="s">
        <v>74</v>
      </c>
      <c r="BR487" t="s">
        <v>105</v>
      </c>
      <c r="BS487" t="s">
        <v>9506</v>
      </c>
      <c r="BT487" t="str">
        <f>HYPERLINK("https%3A%2F%2Fwww.webofscience.com%2Fwos%2Fwoscc%2Ffull-record%2FWOS:000390514100010","View Full Record in Web of Science")</f>
        <v>View Full Record in Web of Science</v>
      </c>
    </row>
    <row r="488" spans="1:72" x14ac:dyDescent="0.15">
      <c r="A488" t="s">
        <v>72</v>
      </c>
      <c r="B488" t="s">
        <v>9507</v>
      </c>
      <c r="C488" t="s">
        <v>74</v>
      </c>
      <c r="D488" t="s">
        <v>74</v>
      </c>
      <c r="E488" t="s">
        <v>74</v>
      </c>
      <c r="F488" t="s">
        <v>9508</v>
      </c>
      <c r="G488" t="s">
        <v>74</v>
      </c>
      <c r="H488" t="s">
        <v>74</v>
      </c>
      <c r="I488" t="s">
        <v>9509</v>
      </c>
      <c r="J488" t="s">
        <v>9510</v>
      </c>
      <c r="K488" t="s">
        <v>74</v>
      </c>
      <c r="L488" t="s">
        <v>74</v>
      </c>
      <c r="M488" t="s">
        <v>78</v>
      </c>
      <c r="N488" t="s">
        <v>79</v>
      </c>
      <c r="O488" t="s">
        <v>74</v>
      </c>
      <c r="P488" t="s">
        <v>74</v>
      </c>
      <c r="Q488" t="s">
        <v>74</v>
      </c>
      <c r="R488" t="s">
        <v>74</v>
      </c>
      <c r="S488" t="s">
        <v>74</v>
      </c>
      <c r="T488" t="s">
        <v>9511</v>
      </c>
      <c r="U488" t="s">
        <v>9512</v>
      </c>
      <c r="V488" t="s">
        <v>9513</v>
      </c>
      <c r="W488" t="s">
        <v>9514</v>
      </c>
      <c r="X488" t="s">
        <v>1484</v>
      </c>
      <c r="Y488" t="s">
        <v>9515</v>
      </c>
      <c r="Z488" t="s">
        <v>1486</v>
      </c>
      <c r="AA488" t="s">
        <v>9516</v>
      </c>
      <c r="AB488" t="s">
        <v>9517</v>
      </c>
      <c r="AC488" t="s">
        <v>9518</v>
      </c>
      <c r="AD488" t="s">
        <v>9519</v>
      </c>
      <c r="AE488" t="s">
        <v>9520</v>
      </c>
      <c r="AF488" t="s">
        <v>74</v>
      </c>
      <c r="AG488">
        <v>32</v>
      </c>
      <c r="AH488">
        <v>11</v>
      </c>
      <c r="AI488">
        <v>11</v>
      </c>
      <c r="AJ488">
        <v>0</v>
      </c>
      <c r="AK488">
        <v>17</v>
      </c>
      <c r="AL488" t="s">
        <v>264</v>
      </c>
      <c r="AM488" t="s">
        <v>169</v>
      </c>
      <c r="AN488" t="s">
        <v>265</v>
      </c>
      <c r="AO488" t="s">
        <v>9521</v>
      </c>
      <c r="AP488" t="s">
        <v>9522</v>
      </c>
      <c r="AQ488" t="s">
        <v>74</v>
      </c>
      <c r="AR488" t="s">
        <v>9523</v>
      </c>
      <c r="AS488" t="s">
        <v>9524</v>
      </c>
      <c r="AT488" t="s">
        <v>2136</v>
      </c>
      <c r="AU488">
        <v>2017</v>
      </c>
      <c r="AV488">
        <v>486</v>
      </c>
      <c r="AW488" t="s">
        <v>74</v>
      </c>
      <c r="AX488" t="s">
        <v>74</v>
      </c>
      <c r="AY488" t="s">
        <v>74</v>
      </c>
      <c r="AZ488" t="s">
        <v>74</v>
      </c>
      <c r="BA488" t="s">
        <v>74</v>
      </c>
      <c r="BB488">
        <v>222</v>
      </c>
      <c r="BC488">
        <v>229</v>
      </c>
      <c r="BD488" t="s">
        <v>74</v>
      </c>
      <c r="BE488" t="s">
        <v>9525</v>
      </c>
      <c r="BF488" t="str">
        <f>HYPERLINK("http://dx.doi.org/10.1016/j.jembe.2016.10.008","http://dx.doi.org/10.1016/j.jembe.2016.10.008")</f>
        <v>http://dx.doi.org/10.1016/j.jembe.2016.10.008</v>
      </c>
      <c r="BG488" t="s">
        <v>74</v>
      </c>
      <c r="BH488" t="s">
        <v>74</v>
      </c>
      <c r="BI488">
        <v>8</v>
      </c>
      <c r="BJ488" t="s">
        <v>9526</v>
      </c>
      <c r="BK488" t="s">
        <v>101</v>
      </c>
      <c r="BL488" t="s">
        <v>1124</v>
      </c>
      <c r="BM488" t="s">
        <v>9527</v>
      </c>
      <c r="BN488" t="s">
        <v>74</v>
      </c>
      <c r="BO488" t="s">
        <v>74</v>
      </c>
      <c r="BP488" t="s">
        <v>74</v>
      </c>
      <c r="BQ488" t="s">
        <v>74</v>
      </c>
      <c r="BR488" t="s">
        <v>105</v>
      </c>
      <c r="BS488" t="s">
        <v>9528</v>
      </c>
      <c r="BT488" t="str">
        <f>HYPERLINK("https%3A%2F%2Fwww.webofscience.com%2Fwos%2Fwoscc%2Ffull-record%2FWOS:000390495800027","View Full Record in Web of Science")</f>
        <v>View Full Record in Web of Science</v>
      </c>
    </row>
    <row r="489" spans="1:72" x14ac:dyDescent="0.15">
      <c r="A489" t="s">
        <v>72</v>
      </c>
      <c r="B489" t="s">
        <v>9529</v>
      </c>
      <c r="C489" t="s">
        <v>74</v>
      </c>
      <c r="D489" t="s">
        <v>74</v>
      </c>
      <c r="E489" t="s">
        <v>74</v>
      </c>
      <c r="F489" t="s">
        <v>9530</v>
      </c>
      <c r="G489" t="s">
        <v>74</v>
      </c>
      <c r="H489" t="s">
        <v>74</v>
      </c>
      <c r="I489" t="s">
        <v>9531</v>
      </c>
      <c r="J489" t="s">
        <v>9510</v>
      </c>
      <c r="K489" t="s">
        <v>74</v>
      </c>
      <c r="L489" t="s">
        <v>74</v>
      </c>
      <c r="M489" t="s">
        <v>78</v>
      </c>
      <c r="N489" t="s">
        <v>79</v>
      </c>
      <c r="O489" t="s">
        <v>74</v>
      </c>
      <c r="P489" t="s">
        <v>74</v>
      </c>
      <c r="Q489" t="s">
        <v>74</v>
      </c>
      <c r="R489" t="s">
        <v>74</v>
      </c>
      <c r="S489" t="s">
        <v>74</v>
      </c>
      <c r="T489" t="s">
        <v>9532</v>
      </c>
      <c r="U489" t="s">
        <v>9533</v>
      </c>
      <c r="V489" t="s">
        <v>9534</v>
      </c>
      <c r="W489" t="s">
        <v>9535</v>
      </c>
      <c r="X489" t="s">
        <v>9536</v>
      </c>
      <c r="Y489" t="s">
        <v>9537</v>
      </c>
      <c r="Z489" t="s">
        <v>9538</v>
      </c>
      <c r="AA489" t="s">
        <v>74</v>
      </c>
      <c r="AB489" t="s">
        <v>9539</v>
      </c>
      <c r="AC489" t="s">
        <v>9540</v>
      </c>
      <c r="AD489" t="s">
        <v>9541</v>
      </c>
      <c r="AE489" t="s">
        <v>9542</v>
      </c>
      <c r="AF489" t="s">
        <v>74</v>
      </c>
      <c r="AG489">
        <v>34</v>
      </c>
      <c r="AH489">
        <v>4</v>
      </c>
      <c r="AI489">
        <v>7</v>
      </c>
      <c r="AJ489">
        <v>1</v>
      </c>
      <c r="AK489">
        <v>11</v>
      </c>
      <c r="AL489" t="s">
        <v>168</v>
      </c>
      <c r="AM489" t="s">
        <v>169</v>
      </c>
      <c r="AN489" t="s">
        <v>170</v>
      </c>
      <c r="AO489" t="s">
        <v>9521</v>
      </c>
      <c r="AP489" t="s">
        <v>9522</v>
      </c>
      <c r="AQ489" t="s">
        <v>74</v>
      </c>
      <c r="AR489" t="s">
        <v>9523</v>
      </c>
      <c r="AS489" t="s">
        <v>9524</v>
      </c>
      <c r="AT489" t="s">
        <v>2136</v>
      </c>
      <c r="AU489">
        <v>2017</v>
      </c>
      <c r="AV489">
        <v>486</v>
      </c>
      <c r="AW489" t="s">
        <v>74</v>
      </c>
      <c r="AX489" t="s">
        <v>74</v>
      </c>
      <c r="AY489" t="s">
        <v>74</v>
      </c>
      <c r="AZ489" t="s">
        <v>74</v>
      </c>
      <c r="BA489" t="s">
        <v>74</v>
      </c>
      <c r="BB489">
        <v>368</v>
      </c>
      <c r="BC489">
        <v>372</v>
      </c>
      <c r="BD489" t="s">
        <v>74</v>
      </c>
      <c r="BE489" t="s">
        <v>9543</v>
      </c>
      <c r="BF489" t="str">
        <f>HYPERLINK("http://dx.doi.org/10.1016/j.jembe.2016.11.003","http://dx.doi.org/10.1016/j.jembe.2016.11.003")</f>
        <v>http://dx.doi.org/10.1016/j.jembe.2016.11.003</v>
      </c>
      <c r="BG489" t="s">
        <v>74</v>
      </c>
      <c r="BH489" t="s">
        <v>74</v>
      </c>
      <c r="BI489">
        <v>5</v>
      </c>
      <c r="BJ489" t="s">
        <v>9526</v>
      </c>
      <c r="BK489" t="s">
        <v>101</v>
      </c>
      <c r="BL489" t="s">
        <v>1124</v>
      </c>
      <c r="BM489" t="s">
        <v>9527</v>
      </c>
      <c r="BN489" t="s">
        <v>74</v>
      </c>
      <c r="BO489" t="s">
        <v>378</v>
      </c>
      <c r="BP489" t="s">
        <v>74</v>
      </c>
      <c r="BQ489" t="s">
        <v>74</v>
      </c>
      <c r="BR489" t="s">
        <v>105</v>
      </c>
      <c r="BS489" t="s">
        <v>9544</v>
      </c>
      <c r="BT489" t="str">
        <f>HYPERLINK("https%3A%2F%2Fwww.webofscience.com%2Fwos%2Fwoscc%2Ffull-record%2FWOS:000390495800045","View Full Record in Web of Science")</f>
        <v>View Full Record in Web of Science</v>
      </c>
    </row>
    <row r="490" spans="1:72" x14ac:dyDescent="0.15">
      <c r="A490" t="s">
        <v>72</v>
      </c>
      <c r="B490" t="s">
        <v>9545</v>
      </c>
      <c r="C490" t="s">
        <v>74</v>
      </c>
      <c r="D490" t="s">
        <v>74</v>
      </c>
      <c r="E490" t="s">
        <v>74</v>
      </c>
      <c r="F490" t="s">
        <v>9546</v>
      </c>
      <c r="G490" t="s">
        <v>74</v>
      </c>
      <c r="H490" t="s">
        <v>74</v>
      </c>
      <c r="I490" t="s">
        <v>9547</v>
      </c>
      <c r="J490" t="s">
        <v>9510</v>
      </c>
      <c r="K490" t="s">
        <v>74</v>
      </c>
      <c r="L490" t="s">
        <v>74</v>
      </c>
      <c r="M490" t="s">
        <v>78</v>
      </c>
      <c r="N490" t="s">
        <v>79</v>
      </c>
      <c r="O490" t="s">
        <v>74</v>
      </c>
      <c r="P490" t="s">
        <v>74</v>
      </c>
      <c r="Q490" t="s">
        <v>74</v>
      </c>
      <c r="R490" t="s">
        <v>74</v>
      </c>
      <c r="S490" t="s">
        <v>74</v>
      </c>
      <c r="T490" t="s">
        <v>9548</v>
      </c>
      <c r="U490" t="s">
        <v>9549</v>
      </c>
      <c r="V490" t="s">
        <v>9550</v>
      </c>
      <c r="W490" t="s">
        <v>9551</v>
      </c>
      <c r="X490" t="s">
        <v>9552</v>
      </c>
      <c r="Y490" t="s">
        <v>9553</v>
      </c>
      <c r="Z490" t="s">
        <v>9554</v>
      </c>
      <c r="AA490" t="s">
        <v>9555</v>
      </c>
      <c r="AB490" t="s">
        <v>9556</v>
      </c>
      <c r="AC490" t="s">
        <v>9557</v>
      </c>
      <c r="AD490" t="s">
        <v>9558</v>
      </c>
      <c r="AE490" t="s">
        <v>9559</v>
      </c>
      <c r="AF490" t="s">
        <v>74</v>
      </c>
      <c r="AG490">
        <v>48</v>
      </c>
      <c r="AH490">
        <v>5</v>
      </c>
      <c r="AI490">
        <v>5</v>
      </c>
      <c r="AJ490">
        <v>0</v>
      </c>
      <c r="AK490">
        <v>8</v>
      </c>
      <c r="AL490" t="s">
        <v>264</v>
      </c>
      <c r="AM490" t="s">
        <v>169</v>
      </c>
      <c r="AN490" t="s">
        <v>265</v>
      </c>
      <c r="AO490" t="s">
        <v>9521</v>
      </c>
      <c r="AP490" t="s">
        <v>9522</v>
      </c>
      <c r="AQ490" t="s">
        <v>74</v>
      </c>
      <c r="AR490" t="s">
        <v>9523</v>
      </c>
      <c r="AS490" t="s">
        <v>9524</v>
      </c>
      <c r="AT490" t="s">
        <v>2136</v>
      </c>
      <c r="AU490">
        <v>2017</v>
      </c>
      <c r="AV490">
        <v>486</v>
      </c>
      <c r="AW490" t="s">
        <v>74</v>
      </c>
      <c r="AX490" t="s">
        <v>74</v>
      </c>
      <c r="AY490" t="s">
        <v>74</v>
      </c>
      <c r="AZ490" t="s">
        <v>74</v>
      </c>
      <c r="BA490" t="s">
        <v>74</v>
      </c>
      <c r="BB490">
        <v>379</v>
      </c>
      <c r="BC490">
        <v>386</v>
      </c>
      <c r="BD490" t="s">
        <v>74</v>
      </c>
      <c r="BE490" t="s">
        <v>9560</v>
      </c>
      <c r="BF490" t="str">
        <f>HYPERLINK("http://dx.doi.org/10.1016/j.jembe.2016.10.018","http://dx.doi.org/10.1016/j.jembe.2016.10.018")</f>
        <v>http://dx.doi.org/10.1016/j.jembe.2016.10.018</v>
      </c>
      <c r="BG490" t="s">
        <v>74</v>
      </c>
      <c r="BH490" t="s">
        <v>74</v>
      </c>
      <c r="BI490">
        <v>8</v>
      </c>
      <c r="BJ490" t="s">
        <v>9526</v>
      </c>
      <c r="BK490" t="s">
        <v>101</v>
      </c>
      <c r="BL490" t="s">
        <v>1124</v>
      </c>
      <c r="BM490" t="s">
        <v>9527</v>
      </c>
      <c r="BN490" t="s">
        <v>74</v>
      </c>
      <c r="BO490" t="s">
        <v>506</v>
      </c>
      <c r="BP490" t="s">
        <v>74</v>
      </c>
      <c r="BQ490" t="s">
        <v>74</v>
      </c>
      <c r="BR490" t="s">
        <v>105</v>
      </c>
      <c r="BS490" t="s">
        <v>9561</v>
      </c>
      <c r="BT490" t="str">
        <f>HYPERLINK("https%3A%2F%2Fwww.webofscience.com%2Fwos%2Fwoscc%2Ffull-record%2FWOS:000390495800047","View Full Record in Web of Science")</f>
        <v>View Full Record in Web of Science</v>
      </c>
    </row>
    <row r="491" spans="1:72" x14ac:dyDescent="0.15">
      <c r="A491" t="s">
        <v>72</v>
      </c>
      <c r="B491" t="s">
        <v>9562</v>
      </c>
      <c r="C491" t="s">
        <v>74</v>
      </c>
      <c r="D491" t="s">
        <v>74</v>
      </c>
      <c r="E491" t="s">
        <v>74</v>
      </c>
      <c r="F491" t="s">
        <v>9563</v>
      </c>
      <c r="G491" t="s">
        <v>74</v>
      </c>
      <c r="H491" t="s">
        <v>74</v>
      </c>
      <c r="I491" t="s">
        <v>9564</v>
      </c>
      <c r="J491" t="s">
        <v>3061</v>
      </c>
      <c r="K491" t="s">
        <v>74</v>
      </c>
      <c r="L491" t="s">
        <v>74</v>
      </c>
      <c r="M491" t="s">
        <v>78</v>
      </c>
      <c r="N491" t="s">
        <v>79</v>
      </c>
      <c r="O491" t="s">
        <v>74</v>
      </c>
      <c r="P491" t="s">
        <v>74</v>
      </c>
      <c r="Q491" t="s">
        <v>74</v>
      </c>
      <c r="R491" t="s">
        <v>74</v>
      </c>
      <c r="S491" t="s">
        <v>74</v>
      </c>
      <c r="T491" t="s">
        <v>9565</v>
      </c>
      <c r="U491" t="s">
        <v>9566</v>
      </c>
      <c r="V491" t="s">
        <v>9567</v>
      </c>
      <c r="W491" t="s">
        <v>9568</v>
      </c>
      <c r="X491" t="s">
        <v>9569</v>
      </c>
      <c r="Y491" t="s">
        <v>9570</v>
      </c>
      <c r="Z491" t="s">
        <v>9571</v>
      </c>
      <c r="AA491" t="s">
        <v>9572</v>
      </c>
      <c r="AB491" t="s">
        <v>9573</v>
      </c>
      <c r="AC491" t="s">
        <v>9574</v>
      </c>
      <c r="AD491" t="s">
        <v>9575</v>
      </c>
      <c r="AE491" t="s">
        <v>9576</v>
      </c>
      <c r="AF491" t="s">
        <v>74</v>
      </c>
      <c r="AG491">
        <v>67</v>
      </c>
      <c r="AH491">
        <v>21</v>
      </c>
      <c r="AI491">
        <v>22</v>
      </c>
      <c r="AJ491">
        <v>1</v>
      </c>
      <c r="AK491">
        <v>24</v>
      </c>
      <c r="AL491" t="s">
        <v>1967</v>
      </c>
      <c r="AM491" t="s">
        <v>1910</v>
      </c>
      <c r="AN491" t="s">
        <v>1968</v>
      </c>
      <c r="AO491" t="s">
        <v>3076</v>
      </c>
      <c r="AP491" t="s">
        <v>6361</v>
      </c>
      <c r="AQ491" t="s">
        <v>74</v>
      </c>
      <c r="AR491" t="s">
        <v>3061</v>
      </c>
      <c r="AS491" t="s">
        <v>3077</v>
      </c>
      <c r="AT491" t="s">
        <v>74</v>
      </c>
      <c r="AU491">
        <v>2017</v>
      </c>
      <c r="AV491">
        <v>56</v>
      </c>
      <c r="AW491">
        <v>1</v>
      </c>
      <c r="AX491" t="s">
        <v>74</v>
      </c>
      <c r="AY491" t="s">
        <v>74</v>
      </c>
      <c r="AZ491" t="s">
        <v>74</v>
      </c>
      <c r="BA491" t="s">
        <v>74</v>
      </c>
      <c r="BB491">
        <v>94</v>
      </c>
      <c r="BC491">
        <v>107</v>
      </c>
      <c r="BD491" t="s">
        <v>74</v>
      </c>
      <c r="BE491" t="s">
        <v>9577</v>
      </c>
      <c r="BF491" t="str">
        <f>HYPERLINK("http://dx.doi.org/10.2216/16-18.1","http://dx.doi.org/10.2216/16-18.1")</f>
        <v>http://dx.doi.org/10.2216/16-18.1</v>
      </c>
      <c r="BG491" t="s">
        <v>74</v>
      </c>
      <c r="BH491" t="s">
        <v>74</v>
      </c>
      <c r="BI491">
        <v>14</v>
      </c>
      <c r="BJ491" t="s">
        <v>3079</v>
      </c>
      <c r="BK491" t="s">
        <v>101</v>
      </c>
      <c r="BL491" t="s">
        <v>3079</v>
      </c>
      <c r="BM491" t="s">
        <v>9578</v>
      </c>
      <c r="BN491" t="s">
        <v>74</v>
      </c>
      <c r="BO491" t="s">
        <v>506</v>
      </c>
      <c r="BP491" t="s">
        <v>74</v>
      </c>
      <c r="BQ491" t="s">
        <v>74</v>
      </c>
      <c r="BR491" t="s">
        <v>105</v>
      </c>
      <c r="BS491" t="s">
        <v>9579</v>
      </c>
      <c r="BT491" t="str">
        <f>HYPERLINK("https%3A%2F%2Fwww.webofscience.com%2Fwos%2Fwoscc%2Ffull-record%2FWOS:000390573000008","View Full Record in Web of Science")</f>
        <v>View Full Record in Web of Science</v>
      </c>
    </row>
    <row r="492" spans="1:72" x14ac:dyDescent="0.15">
      <c r="A492" t="s">
        <v>72</v>
      </c>
      <c r="B492" t="s">
        <v>9580</v>
      </c>
      <c r="C492" t="s">
        <v>74</v>
      </c>
      <c r="D492" t="s">
        <v>74</v>
      </c>
      <c r="E492" t="s">
        <v>74</v>
      </c>
      <c r="F492" t="s">
        <v>9581</v>
      </c>
      <c r="G492" t="s">
        <v>74</v>
      </c>
      <c r="H492" t="s">
        <v>74</v>
      </c>
      <c r="I492" t="s">
        <v>9582</v>
      </c>
      <c r="J492" t="s">
        <v>9583</v>
      </c>
      <c r="K492" t="s">
        <v>74</v>
      </c>
      <c r="L492" t="s">
        <v>74</v>
      </c>
      <c r="M492" t="s">
        <v>78</v>
      </c>
      <c r="N492" t="s">
        <v>2034</v>
      </c>
      <c r="O492" t="s">
        <v>74</v>
      </c>
      <c r="P492" t="s">
        <v>74</v>
      </c>
      <c r="Q492" t="s">
        <v>74</v>
      </c>
      <c r="R492" t="s">
        <v>74</v>
      </c>
      <c r="S492" t="s">
        <v>74</v>
      </c>
      <c r="T492" t="s">
        <v>9584</v>
      </c>
      <c r="U492" t="s">
        <v>9585</v>
      </c>
      <c r="V492" t="s">
        <v>9586</v>
      </c>
      <c r="W492" t="s">
        <v>9587</v>
      </c>
      <c r="X492" t="s">
        <v>9588</v>
      </c>
      <c r="Y492" t="s">
        <v>9589</v>
      </c>
      <c r="Z492" t="s">
        <v>9590</v>
      </c>
      <c r="AA492" t="s">
        <v>74</v>
      </c>
      <c r="AB492" t="s">
        <v>9591</v>
      </c>
      <c r="AC492" t="s">
        <v>9592</v>
      </c>
      <c r="AD492" t="s">
        <v>9593</v>
      </c>
      <c r="AE492" t="s">
        <v>9594</v>
      </c>
      <c r="AF492" t="s">
        <v>74</v>
      </c>
      <c r="AG492">
        <v>99</v>
      </c>
      <c r="AH492">
        <v>19</v>
      </c>
      <c r="AI492">
        <v>20</v>
      </c>
      <c r="AJ492">
        <v>1</v>
      </c>
      <c r="AK492">
        <v>52</v>
      </c>
      <c r="AL492" t="s">
        <v>291</v>
      </c>
      <c r="AM492" t="s">
        <v>292</v>
      </c>
      <c r="AN492" t="s">
        <v>293</v>
      </c>
      <c r="AO492" t="s">
        <v>9595</v>
      </c>
      <c r="AP492" t="s">
        <v>74</v>
      </c>
      <c r="AQ492" t="s">
        <v>74</v>
      </c>
      <c r="AR492" t="s">
        <v>9596</v>
      </c>
      <c r="AS492" t="s">
        <v>9597</v>
      </c>
      <c r="AT492" t="s">
        <v>2162</v>
      </c>
      <c r="AU492">
        <v>2017</v>
      </c>
      <c r="AV492">
        <v>155</v>
      </c>
      <c r="AW492" t="s">
        <v>74</v>
      </c>
      <c r="AX492" t="s">
        <v>74</v>
      </c>
      <c r="AY492" t="s">
        <v>74</v>
      </c>
      <c r="AZ492" t="s">
        <v>74</v>
      </c>
      <c r="BA492" t="s">
        <v>74</v>
      </c>
      <c r="BB492">
        <v>1</v>
      </c>
      <c r="BC492">
        <v>12</v>
      </c>
      <c r="BD492" t="s">
        <v>74</v>
      </c>
      <c r="BE492" t="s">
        <v>9598</v>
      </c>
      <c r="BF492" t="str">
        <f>HYPERLINK("http://dx.doi.org/10.1016/j.quascirev.2016.10.017","http://dx.doi.org/10.1016/j.quascirev.2016.10.017")</f>
        <v>http://dx.doi.org/10.1016/j.quascirev.2016.10.017</v>
      </c>
      <c r="BG492" t="s">
        <v>74</v>
      </c>
      <c r="BH492" t="s">
        <v>74</v>
      </c>
      <c r="BI492">
        <v>12</v>
      </c>
      <c r="BJ492" t="s">
        <v>615</v>
      </c>
      <c r="BK492" t="s">
        <v>101</v>
      </c>
      <c r="BL492" t="s">
        <v>616</v>
      </c>
      <c r="BM492" t="s">
        <v>9599</v>
      </c>
      <c r="BN492" t="s">
        <v>74</v>
      </c>
      <c r="BO492" t="s">
        <v>301</v>
      </c>
      <c r="BP492" t="s">
        <v>74</v>
      </c>
      <c r="BQ492" t="s">
        <v>74</v>
      </c>
      <c r="BR492" t="s">
        <v>105</v>
      </c>
      <c r="BS492" t="s">
        <v>9600</v>
      </c>
      <c r="BT492" t="str">
        <f>HYPERLINK("https%3A%2F%2Fwww.webofscience.com%2Fwos%2Fwoscc%2Ffull-record%2FWOS:000390626700001","View Full Record in Web of Science")</f>
        <v>View Full Record in Web of Science</v>
      </c>
    </row>
    <row r="493" spans="1:72" x14ac:dyDescent="0.15">
      <c r="A493" t="s">
        <v>72</v>
      </c>
      <c r="B493" t="s">
        <v>9601</v>
      </c>
      <c r="C493" t="s">
        <v>74</v>
      </c>
      <c r="D493" t="s">
        <v>74</v>
      </c>
      <c r="E493" t="s">
        <v>74</v>
      </c>
      <c r="F493" t="s">
        <v>9602</v>
      </c>
      <c r="G493" t="s">
        <v>74</v>
      </c>
      <c r="H493" t="s">
        <v>74</v>
      </c>
      <c r="I493" t="s">
        <v>9603</v>
      </c>
      <c r="J493" t="s">
        <v>9583</v>
      </c>
      <c r="K493" t="s">
        <v>74</v>
      </c>
      <c r="L493" t="s">
        <v>74</v>
      </c>
      <c r="M493" t="s">
        <v>78</v>
      </c>
      <c r="N493" t="s">
        <v>79</v>
      </c>
      <c r="O493" t="s">
        <v>74</v>
      </c>
      <c r="P493" t="s">
        <v>74</v>
      </c>
      <c r="Q493" t="s">
        <v>74</v>
      </c>
      <c r="R493" t="s">
        <v>74</v>
      </c>
      <c r="S493" t="s">
        <v>74</v>
      </c>
      <c r="T493" t="s">
        <v>9604</v>
      </c>
      <c r="U493" t="s">
        <v>9605</v>
      </c>
      <c r="V493" t="s">
        <v>9606</v>
      </c>
      <c r="W493" t="s">
        <v>9607</v>
      </c>
      <c r="X493" t="s">
        <v>9608</v>
      </c>
      <c r="Y493" t="s">
        <v>9609</v>
      </c>
      <c r="Z493" t="s">
        <v>9610</v>
      </c>
      <c r="AA493" t="s">
        <v>9611</v>
      </c>
      <c r="AB493" t="s">
        <v>9612</v>
      </c>
      <c r="AC493" t="s">
        <v>9613</v>
      </c>
      <c r="AD493" t="s">
        <v>9614</v>
      </c>
      <c r="AE493" t="s">
        <v>9615</v>
      </c>
      <c r="AF493" t="s">
        <v>74</v>
      </c>
      <c r="AG493">
        <v>91</v>
      </c>
      <c r="AH493">
        <v>29</v>
      </c>
      <c r="AI493">
        <v>31</v>
      </c>
      <c r="AJ493">
        <v>3</v>
      </c>
      <c r="AK493">
        <v>81</v>
      </c>
      <c r="AL493" t="s">
        <v>291</v>
      </c>
      <c r="AM493" t="s">
        <v>292</v>
      </c>
      <c r="AN493" t="s">
        <v>293</v>
      </c>
      <c r="AO493" t="s">
        <v>9595</v>
      </c>
      <c r="AP493" t="s">
        <v>74</v>
      </c>
      <c r="AQ493" t="s">
        <v>74</v>
      </c>
      <c r="AR493" t="s">
        <v>9596</v>
      </c>
      <c r="AS493" t="s">
        <v>9597</v>
      </c>
      <c r="AT493" t="s">
        <v>2162</v>
      </c>
      <c r="AU493">
        <v>2017</v>
      </c>
      <c r="AV493">
        <v>155</v>
      </c>
      <c r="AW493" t="s">
        <v>74</v>
      </c>
      <c r="AX493" t="s">
        <v>74</v>
      </c>
      <c r="AY493" t="s">
        <v>74</v>
      </c>
      <c r="AZ493" t="s">
        <v>74</v>
      </c>
      <c r="BA493" t="s">
        <v>74</v>
      </c>
      <c r="BB493">
        <v>50</v>
      </c>
      <c r="BC493">
        <v>66</v>
      </c>
      <c r="BD493" t="s">
        <v>74</v>
      </c>
      <c r="BE493" t="s">
        <v>9616</v>
      </c>
      <c r="BF493" t="str">
        <f>HYPERLINK("http://dx.doi.org/10.1016/j.quascirev.2016.11.017","http://dx.doi.org/10.1016/j.quascirev.2016.11.017")</f>
        <v>http://dx.doi.org/10.1016/j.quascirev.2016.11.017</v>
      </c>
      <c r="BG493" t="s">
        <v>74</v>
      </c>
      <c r="BH493" t="s">
        <v>74</v>
      </c>
      <c r="BI493">
        <v>17</v>
      </c>
      <c r="BJ493" t="s">
        <v>615</v>
      </c>
      <c r="BK493" t="s">
        <v>101</v>
      </c>
      <c r="BL493" t="s">
        <v>616</v>
      </c>
      <c r="BM493" t="s">
        <v>9599</v>
      </c>
      <c r="BN493" t="s">
        <v>74</v>
      </c>
      <c r="BO493" t="s">
        <v>301</v>
      </c>
      <c r="BP493" t="s">
        <v>74</v>
      </c>
      <c r="BQ493" t="s">
        <v>74</v>
      </c>
      <c r="BR493" t="s">
        <v>105</v>
      </c>
      <c r="BS493" t="s">
        <v>9617</v>
      </c>
      <c r="BT493" t="str">
        <f>HYPERLINK("https%3A%2F%2Fwww.webofscience.com%2Fwos%2Fwoscc%2Ffull-record%2FWOS:000390626700004","View Full Record in Web of Science")</f>
        <v>View Full Record in Web of Science</v>
      </c>
    </row>
    <row r="494" spans="1:72" x14ac:dyDescent="0.15">
      <c r="A494" t="s">
        <v>72</v>
      </c>
      <c r="B494" t="s">
        <v>9618</v>
      </c>
      <c r="C494" t="s">
        <v>74</v>
      </c>
      <c r="D494" t="s">
        <v>74</v>
      </c>
      <c r="E494" t="s">
        <v>74</v>
      </c>
      <c r="F494" t="s">
        <v>9619</v>
      </c>
      <c r="G494" t="s">
        <v>74</v>
      </c>
      <c r="H494" t="s">
        <v>74</v>
      </c>
      <c r="I494" t="s">
        <v>9620</v>
      </c>
      <c r="J494" t="s">
        <v>7766</v>
      </c>
      <c r="K494" t="s">
        <v>74</v>
      </c>
      <c r="L494" t="s">
        <v>74</v>
      </c>
      <c r="M494" t="s">
        <v>78</v>
      </c>
      <c r="N494" t="s">
        <v>79</v>
      </c>
      <c r="O494" t="s">
        <v>74</v>
      </c>
      <c r="P494" t="s">
        <v>74</v>
      </c>
      <c r="Q494" t="s">
        <v>74</v>
      </c>
      <c r="R494" t="s">
        <v>74</v>
      </c>
      <c r="S494" t="s">
        <v>74</v>
      </c>
      <c r="T494" t="s">
        <v>74</v>
      </c>
      <c r="U494" t="s">
        <v>74</v>
      </c>
      <c r="V494" t="s">
        <v>9621</v>
      </c>
      <c r="W494" t="s">
        <v>9622</v>
      </c>
      <c r="X494" t="s">
        <v>9623</v>
      </c>
      <c r="Y494" t="s">
        <v>9624</v>
      </c>
      <c r="Z494" t="s">
        <v>9625</v>
      </c>
      <c r="AA494" t="s">
        <v>9626</v>
      </c>
      <c r="AB494" t="s">
        <v>9627</v>
      </c>
      <c r="AC494" t="s">
        <v>9628</v>
      </c>
      <c r="AD494" t="s">
        <v>1608</v>
      </c>
      <c r="AE494" t="s">
        <v>9629</v>
      </c>
      <c r="AF494" t="s">
        <v>74</v>
      </c>
      <c r="AG494">
        <v>14</v>
      </c>
      <c r="AH494">
        <v>2</v>
      </c>
      <c r="AI494">
        <v>2</v>
      </c>
      <c r="AJ494">
        <v>1</v>
      </c>
      <c r="AK494">
        <v>15</v>
      </c>
      <c r="AL494" t="s">
        <v>1967</v>
      </c>
      <c r="AM494" t="s">
        <v>1910</v>
      </c>
      <c r="AN494" t="s">
        <v>1968</v>
      </c>
      <c r="AO494" t="s">
        <v>7777</v>
      </c>
      <c r="AP494" t="s">
        <v>7778</v>
      </c>
      <c r="AQ494" t="s">
        <v>74</v>
      </c>
      <c r="AR494" t="s">
        <v>7779</v>
      </c>
      <c r="AS494" t="s">
        <v>7780</v>
      </c>
      <c r="AT494" t="s">
        <v>74</v>
      </c>
      <c r="AU494">
        <v>2017</v>
      </c>
      <c r="AV494">
        <v>8</v>
      </c>
      <c r="AW494">
        <v>2</v>
      </c>
      <c r="AX494" t="s">
        <v>74</v>
      </c>
      <c r="AY494" t="s">
        <v>74</v>
      </c>
      <c r="AZ494" t="s">
        <v>74</v>
      </c>
      <c r="BA494" t="s">
        <v>74</v>
      </c>
      <c r="BB494">
        <v>106</v>
      </c>
      <c r="BC494">
        <v>115</v>
      </c>
      <c r="BD494" t="s">
        <v>74</v>
      </c>
      <c r="BE494" t="s">
        <v>9630</v>
      </c>
      <c r="BF494" t="str">
        <f>HYPERLINK("http://dx.doi.org/10.1080/2150704X.2016.1234726","http://dx.doi.org/10.1080/2150704X.2016.1234726")</f>
        <v>http://dx.doi.org/10.1080/2150704X.2016.1234726</v>
      </c>
      <c r="BG494" t="s">
        <v>74</v>
      </c>
      <c r="BH494" t="s">
        <v>74</v>
      </c>
      <c r="BI494">
        <v>10</v>
      </c>
      <c r="BJ494" t="s">
        <v>2547</v>
      </c>
      <c r="BK494" t="s">
        <v>101</v>
      </c>
      <c r="BL494" t="s">
        <v>2547</v>
      </c>
      <c r="BM494" t="s">
        <v>9631</v>
      </c>
      <c r="BN494" t="s">
        <v>74</v>
      </c>
      <c r="BO494" t="s">
        <v>74</v>
      </c>
      <c r="BP494" t="s">
        <v>74</v>
      </c>
      <c r="BQ494" t="s">
        <v>74</v>
      </c>
      <c r="BR494" t="s">
        <v>105</v>
      </c>
      <c r="BS494" t="s">
        <v>9632</v>
      </c>
      <c r="BT494" t="str">
        <f>HYPERLINK("https%3A%2F%2Fwww.webofscience.com%2Fwos%2Fwoscc%2Ffull-record%2FWOS:000390573300001","View Full Record in Web of Science")</f>
        <v>View Full Record in Web of Science</v>
      </c>
    </row>
    <row r="495" spans="1:72" x14ac:dyDescent="0.15">
      <c r="A495" t="s">
        <v>72</v>
      </c>
      <c r="B495" t="s">
        <v>9633</v>
      </c>
      <c r="C495" t="s">
        <v>74</v>
      </c>
      <c r="D495" t="s">
        <v>74</v>
      </c>
      <c r="E495" t="s">
        <v>74</v>
      </c>
      <c r="F495" t="s">
        <v>9634</v>
      </c>
      <c r="G495" t="s">
        <v>74</v>
      </c>
      <c r="H495" t="s">
        <v>74</v>
      </c>
      <c r="I495" t="s">
        <v>9635</v>
      </c>
      <c r="J495" t="s">
        <v>9636</v>
      </c>
      <c r="K495" t="s">
        <v>74</v>
      </c>
      <c r="L495" t="s">
        <v>74</v>
      </c>
      <c r="M495" t="s">
        <v>78</v>
      </c>
      <c r="N495" t="s">
        <v>79</v>
      </c>
      <c r="O495" t="s">
        <v>74</v>
      </c>
      <c r="P495" t="s">
        <v>74</v>
      </c>
      <c r="Q495" t="s">
        <v>74</v>
      </c>
      <c r="R495" t="s">
        <v>74</v>
      </c>
      <c r="S495" t="s">
        <v>74</v>
      </c>
      <c r="T495" t="s">
        <v>9637</v>
      </c>
      <c r="U495" t="s">
        <v>9638</v>
      </c>
      <c r="V495" t="s">
        <v>9639</v>
      </c>
      <c r="W495" t="s">
        <v>9640</v>
      </c>
      <c r="X495" t="s">
        <v>9641</v>
      </c>
      <c r="Y495" t="s">
        <v>9642</v>
      </c>
      <c r="Z495" t="s">
        <v>9643</v>
      </c>
      <c r="AA495" t="s">
        <v>9644</v>
      </c>
      <c r="AB495" t="s">
        <v>9645</v>
      </c>
      <c r="AC495" t="s">
        <v>9646</v>
      </c>
      <c r="AD495" t="s">
        <v>9647</v>
      </c>
      <c r="AE495" t="s">
        <v>9648</v>
      </c>
      <c r="AF495" t="s">
        <v>74</v>
      </c>
      <c r="AG495">
        <v>42</v>
      </c>
      <c r="AH495">
        <v>6</v>
      </c>
      <c r="AI495">
        <v>7</v>
      </c>
      <c r="AJ495">
        <v>0</v>
      </c>
      <c r="AK495">
        <v>26</v>
      </c>
      <c r="AL495" t="s">
        <v>3235</v>
      </c>
      <c r="AM495" t="s">
        <v>3236</v>
      </c>
      <c r="AN495" t="s">
        <v>3237</v>
      </c>
      <c r="AO495" t="s">
        <v>9649</v>
      </c>
      <c r="AP495" t="s">
        <v>9650</v>
      </c>
      <c r="AQ495" t="s">
        <v>74</v>
      </c>
      <c r="AR495" t="s">
        <v>9651</v>
      </c>
      <c r="AS495" t="s">
        <v>9652</v>
      </c>
      <c r="AT495" t="s">
        <v>2136</v>
      </c>
      <c r="AU495">
        <v>2017</v>
      </c>
      <c r="AV495">
        <v>34</v>
      </c>
      <c r="AW495">
        <v>1</v>
      </c>
      <c r="AX495" t="s">
        <v>74</v>
      </c>
      <c r="AY495" t="s">
        <v>74</v>
      </c>
      <c r="AZ495" t="s">
        <v>74</v>
      </c>
      <c r="BA495" t="s">
        <v>74</v>
      </c>
      <c r="BB495">
        <v>54</v>
      </c>
      <c r="BC495">
        <v>65</v>
      </c>
      <c r="BD495" t="s">
        <v>74</v>
      </c>
      <c r="BE495" t="s">
        <v>9653</v>
      </c>
      <c r="BF495" t="str">
        <f>HYPERLINK("http://dx.doi.org/10.1007/s00376-016-6143-6","http://dx.doi.org/10.1007/s00376-016-6143-6")</f>
        <v>http://dx.doi.org/10.1007/s00376-016-6143-6</v>
      </c>
      <c r="BG495" t="s">
        <v>74</v>
      </c>
      <c r="BH495" t="s">
        <v>74</v>
      </c>
      <c r="BI495">
        <v>12</v>
      </c>
      <c r="BJ495" t="s">
        <v>747</v>
      </c>
      <c r="BK495" t="s">
        <v>101</v>
      </c>
      <c r="BL495" t="s">
        <v>747</v>
      </c>
      <c r="BM495" t="s">
        <v>9654</v>
      </c>
      <c r="BN495" t="s">
        <v>74</v>
      </c>
      <c r="BO495" t="s">
        <v>74</v>
      </c>
      <c r="BP495" t="s">
        <v>74</v>
      </c>
      <c r="BQ495" t="s">
        <v>74</v>
      </c>
      <c r="BR495" t="s">
        <v>105</v>
      </c>
      <c r="BS495" t="s">
        <v>9655</v>
      </c>
      <c r="BT495" t="str">
        <f>HYPERLINK("https%3A%2F%2Fwww.webofscience.com%2Fwos%2Fwoscc%2Ffull-record%2FWOS:000390088800006","View Full Record in Web of Science")</f>
        <v>View Full Record in Web of Science</v>
      </c>
    </row>
    <row r="496" spans="1:72" x14ac:dyDescent="0.15">
      <c r="A496" t="s">
        <v>72</v>
      </c>
      <c r="B496" t="s">
        <v>9656</v>
      </c>
      <c r="C496" t="s">
        <v>74</v>
      </c>
      <c r="D496" t="s">
        <v>74</v>
      </c>
      <c r="E496" t="s">
        <v>74</v>
      </c>
      <c r="F496" t="s">
        <v>9657</v>
      </c>
      <c r="G496" t="s">
        <v>74</v>
      </c>
      <c r="H496" t="s">
        <v>74</v>
      </c>
      <c r="I496" t="s">
        <v>9658</v>
      </c>
      <c r="J496" t="s">
        <v>8547</v>
      </c>
      <c r="K496" t="s">
        <v>74</v>
      </c>
      <c r="L496" t="s">
        <v>74</v>
      </c>
      <c r="M496" t="s">
        <v>78</v>
      </c>
      <c r="N496" t="s">
        <v>79</v>
      </c>
      <c r="O496" t="s">
        <v>74</v>
      </c>
      <c r="P496" t="s">
        <v>74</v>
      </c>
      <c r="Q496" t="s">
        <v>74</v>
      </c>
      <c r="R496" t="s">
        <v>74</v>
      </c>
      <c r="S496" t="s">
        <v>74</v>
      </c>
      <c r="T496" t="s">
        <v>9659</v>
      </c>
      <c r="U496" t="s">
        <v>9660</v>
      </c>
      <c r="V496" t="s">
        <v>9661</v>
      </c>
      <c r="W496" t="s">
        <v>9662</v>
      </c>
      <c r="X496" t="s">
        <v>9663</v>
      </c>
      <c r="Y496" t="s">
        <v>9664</v>
      </c>
      <c r="Z496" t="s">
        <v>9665</v>
      </c>
      <c r="AA496" t="s">
        <v>9666</v>
      </c>
      <c r="AB496" t="s">
        <v>9667</v>
      </c>
      <c r="AC496" t="s">
        <v>9668</v>
      </c>
      <c r="AD496" t="s">
        <v>9669</v>
      </c>
      <c r="AE496" t="s">
        <v>74</v>
      </c>
      <c r="AF496" t="s">
        <v>74</v>
      </c>
      <c r="AG496">
        <v>59</v>
      </c>
      <c r="AH496">
        <v>18</v>
      </c>
      <c r="AI496">
        <v>19</v>
      </c>
      <c r="AJ496">
        <v>1</v>
      </c>
      <c r="AK496">
        <v>35</v>
      </c>
      <c r="AL496" t="s">
        <v>5554</v>
      </c>
      <c r="AM496" t="s">
        <v>5555</v>
      </c>
      <c r="AN496" t="s">
        <v>5556</v>
      </c>
      <c r="AO496" t="s">
        <v>8557</v>
      </c>
      <c r="AP496" t="s">
        <v>8558</v>
      </c>
      <c r="AQ496" t="s">
        <v>74</v>
      </c>
      <c r="AR496" t="s">
        <v>8559</v>
      </c>
      <c r="AS496" t="s">
        <v>8560</v>
      </c>
      <c r="AT496" t="s">
        <v>74</v>
      </c>
      <c r="AU496">
        <v>2017</v>
      </c>
      <c r="AV496">
        <v>71</v>
      </c>
      <c r="AW496">
        <v>1</v>
      </c>
      <c r="AX496" t="s">
        <v>74</v>
      </c>
      <c r="AY496" t="s">
        <v>74</v>
      </c>
      <c r="AZ496" t="s">
        <v>74</v>
      </c>
      <c r="BA496" t="s">
        <v>74</v>
      </c>
      <c r="BB496">
        <v>33</v>
      </c>
      <c r="BC496">
        <v>45</v>
      </c>
      <c r="BD496" t="s">
        <v>74</v>
      </c>
      <c r="BE496" t="s">
        <v>9670</v>
      </c>
      <c r="BF496" t="str">
        <f>HYPERLINK("http://dx.doi.org/10.3354/cr01425","http://dx.doi.org/10.3354/cr01425")</f>
        <v>http://dx.doi.org/10.3354/cr01425</v>
      </c>
      <c r="BG496" t="s">
        <v>74</v>
      </c>
      <c r="BH496" t="s">
        <v>74</v>
      </c>
      <c r="BI496">
        <v>13</v>
      </c>
      <c r="BJ496" t="s">
        <v>981</v>
      </c>
      <c r="BK496" t="s">
        <v>101</v>
      </c>
      <c r="BL496" t="s">
        <v>982</v>
      </c>
      <c r="BM496" t="s">
        <v>9671</v>
      </c>
      <c r="BN496" t="s">
        <v>74</v>
      </c>
      <c r="BO496" t="s">
        <v>1695</v>
      </c>
      <c r="BP496" t="s">
        <v>74</v>
      </c>
      <c r="BQ496" t="s">
        <v>74</v>
      </c>
      <c r="BR496" t="s">
        <v>105</v>
      </c>
      <c r="BS496" t="s">
        <v>9672</v>
      </c>
      <c r="BT496" t="str">
        <f>HYPERLINK("https%3A%2F%2Fwww.webofscience.com%2Fwos%2Fwoscc%2Ffull-record%2FWOS:000390103000003","View Full Record in Web of Science")</f>
        <v>View Full Record in Web of Science</v>
      </c>
    </row>
    <row r="497" spans="1:72" x14ac:dyDescent="0.15">
      <c r="A497" t="s">
        <v>72</v>
      </c>
      <c r="B497" t="s">
        <v>9673</v>
      </c>
      <c r="C497" t="s">
        <v>74</v>
      </c>
      <c r="D497" t="s">
        <v>74</v>
      </c>
      <c r="E497" t="s">
        <v>74</v>
      </c>
      <c r="F497" t="s">
        <v>9674</v>
      </c>
      <c r="G497" t="s">
        <v>74</v>
      </c>
      <c r="H497" t="s">
        <v>74</v>
      </c>
      <c r="I497" t="s">
        <v>9675</v>
      </c>
      <c r="J497" t="s">
        <v>2505</v>
      </c>
      <c r="K497" t="s">
        <v>74</v>
      </c>
      <c r="L497" t="s">
        <v>74</v>
      </c>
      <c r="M497" t="s">
        <v>78</v>
      </c>
      <c r="N497" t="s">
        <v>79</v>
      </c>
      <c r="O497" t="s">
        <v>74</v>
      </c>
      <c r="P497" t="s">
        <v>74</v>
      </c>
      <c r="Q497" t="s">
        <v>74</v>
      </c>
      <c r="R497" t="s">
        <v>74</v>
      </c>
      <c r="S497" t="s">
        <v>74</v>
      </c>
      <c r="T497" t="s">
        <v>9676</v>
      </c>
      <c r="U497" t="s">
        <v>9677</v>
      </c>
      <c r="V497" t="s">
        <v>9678</v>
      </c>
      <c r="W497" t="s">
        <v>9679</v>
      </c>
      <c r="X497" t="s">
        <v>9680</v>
      </c>
      <c r="Y497" t="s">
        <v>9681</v>
      </c>
      <c r="Z497" t="s">
        <v>9682</v>
      </c>
      <c r="AA497" t="s">
        <v>74</v>
      </c>
      <c r="AB497" t="s">
        <v>9683</v>
      </c>
      <c r="AC497" t="s">
        <v>7488</v>
      </c>
      <c r="AD497" t="s">
        <v>7489</v>
      </c>
      <c r="AE497" t="s">
        <v>9684</v>
      </c>
      <c r="AF497" t="s">
        <v>74</v>
      </c>
      <c r="AG497">
        <v>30</v>
      </c>
      <c r="AH497">
        <v>19</v>
      </c>
      <c r="AI497">
        <v>19</v>
      </c>
      <c r="AJ497">
        <v>2</v>
      </c>
      <c r="AK497">
        <v>26</v>
      </c>
      <c r="AL497" t="s">
        <v>2325</v>
      </c>
      <c r="AM497" t="s">
        <v>292</v>
      </c>
      <c r="AN497" t="s">
        <v>2326</v>
      </c>
      <c r="AO497" t="s">
        <v>2518</v>
      </c>
      <c r="AP497" t="s">
        <v>2519</v>
      </c>
      <c r="AQ497" t="s">
        <v>74</v>
      </c>
      <c r="AR497" t="s">
        <v>2520</v>
      </c>
      <c r="AS497" t="s">
        <v>2521</v>
      </c>
      <c r="AT497" t="s">
        <v>2136</v>
      </c>
      <c r="AU497">
        <v>2017</v>
      </c>
      <c r="AV497">
        <v>116</v>
      </c>
      <c r="AW497" t="s">
        <v>74</v>
      </c>
      <c r="AX497" t="s">
        <v>74</v>
      </c>
      <c r="AY497" t="s">
        <v>74</v>
      </c>
      <c r="AZ497" t="s">
        <v>74</v>
      </c>
      <c r="BA497" t="s">
        <v>74</v>
      </c>
      <c r="BB497">
        <v>198</v>
      </c>
      <c r="BC497">
        <v>204</v>
      </c>
      <c r="BD497" t="s">
        <v>74</v>
      </c>
      <c r="BE497" t="s">
        <v>9685</v>
      </c>
      <c r="BF497" t="str">
        <f>HYPERLINK("http://dx.doi.org/10.1016/j.ibiod.2016.10.034","http://dx.doi.org/10.1016/j.ibiod.2016.10.034")</f>
        <v>http://dx.doi.org/10.1016/j.ibiod.2016.10.034</v>
      </c>
      <c r="BG497" t="s">
        <v>74</v>
      </c>
      <c r="BH497" t="s">
        <v>74</v>
      </c>
      <c r="BI497">
        <v>7</v>
      </c>
      <c r="BJ497" t="s">
        <v>2523</v>
      </c>
      <c r="BK497" t="s">
        <v>101</v>
      </c>
      <c r="BL497" t="s">
        <v>2524</v>
      </c>
      <c r="BM497" t="s">
        <v>2525</v>
      </c>
      <c r="BN497" t="s">
        <v>74</v>
      </c>
      <c r="BO497" t="s">
        <v>74</v>
      </c>
      <c r="BP497" t="s">
        <v>74</v>
      </c>
      <c r="BQ497" t="s">
        <v>74</v>
      </c>
      <c r="BR497" t="s">
        <v>105</v>
      </c>
      <c r="BS497" t="s">
        <v>9686</v>
      </c>
      <c r="BT497" t="str">
        <f>HYPERLINK("https%3A%2F%2Fwww.webofscience.com%2Fwos%2Fwoscc%2Ffull-record%2FWOS:000390498700024","View Full Record in Web of Science")</f>
        <v>View Full Record in Web of Science</v>
      </c>
    </row>
    <row r="498" spans="1:72" x14ac:dyDescent="0.15">
      <c r="A498" t="s">
        <v>72</v>
      </c>
      <c r="B498" t="s">
        <v>9687</v>
      </c>
      <c r="C498" t="s">
        <v>74</v>
      </c>
      <c r="D498" t="s">
        <v>74</v>
      </c>
      <c r="E498" t="s">
        <v>74</v>
      </c>
      <c r="F498" t="s">
        <v>9688</v>
      </c>
      <c r="G498" t="s">
        <v>74</v>
      </c>
      <c r="H498" t="s">
        <v>74</v>
      </c>
      <c r="I498" t="s">
        <v>9689</v>
      </c>
      <c r="J498" t="s">
        <v>9690</v>
      </c>
      <c r="K498" t="s">
        <v>74</v>
      </c>
      <c r="L498" t="s">
        <v>74</v>
      </c>
      <c r="M498" t="s">
        <v>78</v>
      </c>
      <c r="N498" t="s">
        <v>79</v>
      </c>
      <c r="O498" t="s">
        <v>74</v>
      </c>
      <c r="P498" t="s">
        <v>74</v>
      </c>
      <c r="Q498" t="s">
        <v>74</v>
      </c>
      <c r="R498" t="s">
        <v>74</v>
      </c>
      <c r="S498" t="s">
        <v>74</v>
      </c>
      <c r="T498" t="s">
        <v>9691</v>
      </c>
      <c r="U498" t="s">
        <v>9692</v>
      </c>
      <c r="V498" t="s">
        <v>9693</v>
      </c>
      <c r="W498" t="s">
        <v>9694</v>
      </c>
      <c r="X498" t="s">
        <v>9695</v>
      </c>
      <c r="Y498" t="s">
        <v>9696</v>
      </c>
      <c r="Z498" t="s">
        <v>9697</v>
      </c>
      <c r="AA498" t="s">
        <v>9698</v>
      </c>
      <c r="AB498" t="s">
        <v>9699</v>
      </c>
      <c r="AC498" t="s">
        <v>9700</v>
      </c>
      <c r="AD498" t="s">
        <v>9701</v>
      </c>
      <c r="AE498" t="s">
        <v>9702</v>
      </c>
      <c r="AF498" t="s">
        <v>74</v>
      </c>
      <c r="AG498">
        <v>58</v>
      </c>
      <c r="AH498">
        <v>5</v>
      </c>
      <c r="AI498">
        <v>5</v>
      </c>
      <c r="AJ498">
        <v>0</v>
      </c>
      <c r="AK498">
        <v>38</v>
      </c>
      <c r="AL498" t="s">
        <v>3097</v>
      </c>
      <c r="AM498" t="s">
        <v>187</v>
      </c>
      <c r="AN498" t="s">
        <v>3098</v>
      </c>
      <c r="AO498" t="s">
        <v>9703</v>
      </c>
      <c r="AP498" t="s">
        <v>9704</v>
      </c>
      <c r="AQ498" t="s">
        <v>74</v>
      </c>
      <c r="AR498" t="s">
        <v>9705</v>
      </c>
      <c r="AS498" t="s">
        <v>9706</v>
      </c>
      <c r="AT498" t="s">
        <v>2136</v>
      </c>
      <c r="AU498">
        <v>2017</v>
      </c>
      <c r="AV498">
        <v>16</v>
      </c>
      <c r="AW498">
        <v>1</v>
      </c>
      <c r="AX498" t="s">
        <v>74</v>
      </c>
      <c r="AY498" t="s">
        <v>74</v>
      </c>
      <c r="AZ498" t="s">
        <v>74</v>
      </c>
      <c r="BA498" t="s">
        <v>74</v>
      </c>
      <c r="BB498">
        <v>74</v>
      </c>
      <c r="BC498">
        <v>81</v>
      </c>
      <c r="BD498" t="s">
        <v>74</v>
      </c>
      <c r="BE498" t="s">
        <v>9707</v>
      </c>
      <c r="BF498" t="str">
        <f>HYPERLINK("http://dx.doi.org/10.1017/S147355041500052X","http://dx.doi.org/10.1017/S147355041500052X")</f>
        <v>http://dx.doi.org/10.1017/S147355041500052X</v>
      </c>
      <c r="BG498" t="s">
        <v>74</v>
      </c>
      <c r="BH498" t="s">
        <v>74</v>
      </c>
      <c r="BI498">
        <v>8</v>
      </c>
      <c r="BJ498" t="s">
        <v>9708</v>
      </c>
      <c r="BK498" t="s">
        <v>101</v>
      </c>
      <c r="BL498" t="s">
        <v>9709</v>
      </c>
      <c r="BM498" t="s">
        <v>9710</v>
      </c>
      <c r="BN498" t="s">
        <v>74</v>
      </c>
      <c r="BO498" t="s">
        <v>74</v>
      </c>
      <c r="BP498" t="s">
        <v>74</v>
      </c>
      <c r="BQ498" t="s">
        <v>74</v>
      </c>
      <c r="BR498" t="s">
        <v>105</v>
      </c>
      <c r="BS498" t="s">
        <v>9711</v>
      </c>
      <c r="BT498" t="str">
        <f>HYPERLINK("https%3A%2F%2Fwww.webofscience.com%2Fwos%2Fwoscc%2Ffull-record%2FWOS:000390350600008","View Full Record in Web of Science")</f>
        <v>View Full Record in Web of Science</v>
      </c>
    </row>
    <row r="499" spans="1:72" x14ac:dyDescent="0.15">
      <c r="A499" t="s">
        <v>72</v>
      </c>
      <c r="B499" t="s">
        <v>9712</v>
      </c>
      <c r="C499" t="s">
        <v>74</v>
      </c>
      <c r="D499" t="s">
        <v>74</v>
      </c>
      <c r="E499" t="s">
        <v>74</v>
      </c>
      <c r="F499" t="s">
        <v>9713</v>
      </c>
      <c r="G499" t="s">
        <v>74</v>
      </c>
      <c r="H499" t="s">
        <v>74</v>
      </c>
      <c r="I499" t="s">
        <v>9714</v>
      </c>
      <c r="J499" t="s">
        <v>1164</v>
      </c>
      <c r="K499" t="s">
        <v>74</v>
      </c>
      <c r="L499" t="s">
        <v>74</v>
      </c>
      <c r="M499" t="s">
        <v>78</v>
      </c>
      <c r="N499" t="s">
        <v>79</v>
      </c>
      <c r="O499" t="s">
        <v>74</v>
      </c>
      <c r="P499" t="s">
        <v>74</v>
      </c>
      <c r="Q499" t="s">
        <v>74</v>
      </c>
      <c r="R499" t="s">
        <v>74</v>
      </c>
      <c r="S499" t="s">
        <v>74</v>
      </c>
      <c r="T499" t="s">
        <v>9715</v>
      </c>
      <c r="U499" t="s">
        <v>9716</v>
      </c>
      <c r="V499" t="s">
        <v>9717</v>
      </c>
      <c r="W499" t="s">
        <v>9718</v>
      </c>
      <c r="X499" t="s">
        <v>9719</v>
      </c>
      <c r="Y499" t="s">
        <v>9720</v>
      </c>
      <c r="Z499" t="s">
        <v>9721</v>
      </c>
      <c r="AA499" t="s">
        <v>74</v>
      </c>
      <c r="AB499" t="s">
        <v>74</v>
      </c>
      <c r="AC499" t="s">
        <v>9722</v>
      </c>
      <c r="AD499" t="s">
        <v>4160</v>
      </c>
      <c r="AE499" t="s">
        <v>9723</v>
      </c>
      <c r="AF499" t="s">
        <v>74</v>
      </c>
      <c r="AG499">
        <v>26</v>
      </c>
      <c r="AH499">
        <v>5</v>
      </c>
      <c r="AI499">
        <v>5</v>
      </c>
      <c r="AJ499">
        <v>2</v>
      </c>
      <c r="AK499">
        <v>26</v>
      </c>
      <c r="AL499" t="s">
        <v>264</v>
      </c>
      <c r="AM499" t="s">
        <v>169</v>
      </c>
      <c r="AN499" t="s">
        <v>265</v>
      </c>
      <c r="AO499" t="s">
        <v>1175</v>
      </c>
      <c r="AP499" t="s">
        <v>1176</v>
      </c>
      <c r="AQ499" t="s">
        <v>74</v>
      </c>
      <c r="AR499" t="s">
        <v>1177</v>
      </c>
      <c r="AS499" t="s">
        <v>1178</v>
      </c>
      <c r="AT499" t="s">
        <v>2162</v>
      </c>
      <c r="AU499">
        <v>2017</v>
      </c>
      <c r="AV499">
        <v>465</v>
      </c>
      <c r="AW499" t="s">
        <v>74</v>
      </c>
      <c r="AX499" t="s">
        <v>2081</v>
      </c>
      <c r="AY499" t="s">
        <v>74</v>
      </c>
      <c r="AZ499" t="s">
        <v>74</v>
      </c>
      <c r="BA499" t="s">
        <v>74</v>
      </c>
      <c r="BB499">
        <v>1</v>
      </c>
      <c r="BC499">
        <v>13</v>
      </c>
      <c r="BD499" t="s">
        <v>74</v>
      </c>
      <c r="BE499" t="s">
        <v>9724</v>
      </c>
      <c r="BF499" t="str">
        <f>HYPERLINK("http://dx.doi.org/10.1016/j.palaeo.2016.10.008","http://dx.doi.org/10.1016/j.palaeo.2016.10.008")</f>
        <v>http://dx.doi.org/10.1016/j.palaeo.2016.10.008</v>
      </c>
      <c r="BG499" t="s">
        <v>74</v>
      </c>
      <c r="BH499" t="s">
        <v>74</v>
      </c>
      <c r="BI499">
        <v>13</v>
      </c>
      <c r="BJ499" t="s">
        <v>1180</v>
      </c>
      <c r="BK499" t="s">
        <v>101</v>
      </c>
      <c r="BL499" t="s">
        <v>1181</v>
      </c>
      <c r="BM499" t="s">
        <v>9725</v>
      </c>
      <c r="BN499" t="s">
        <v>74</v>
      </c>
      <c r="BO499" t="s">
        <v>74</v>
      </c>
      <c r="BP499" t="s">
        <v>74</v>
      </c>
      <c r="BQ499" t="s">
        <v>74</v>
      </c>
      <c r="BR499" t="s">
        <v>105</v>
      </c>
      <c r="BS499" t="s">
        <v>9726</v>
      </c>
      <c r="BT499" t="str">
        <f>HYPERLINK("https%3A%2F%2Fwww.webofscience.com%2Fwos%2Fwoscc%2Ffull-record%2FWOS:000390504800001","View Full Record in Web of Science")</f>
        <v>View Full Record in Web of Science</v>
      </c>
    </row>
    <row r="500" spans="1:72" x14ac:dyDescent="0.15">
      <c r="A500" t="s">
        <v>72</v>
      </c>
      <c r="B500" t="s">
        <v>9727</v>
      </c>
      <c r="C500" t="s">
        <v>74</v>
      </c>
      <c r="D500" t="s">
        <v>74</v>
      </c>
      <c r="E500" t="s">
        <v>74</v>
      </c>
      <c r="F500" t="s">
        <v>9728</v>
      </c>
      <c r="G500" t="s">
        <v>74</v>
      </c>
      <c r="H500" t="s">
        <v>74</v>
      </c>
      <c r="I500" t="s">
        <v>9729</v>
      </c>
      <c r="J500" t="s">
        <v>9730</v>
      </c>
      <c r="K500" t="s">
        <v>74</v>
      </c>
      <c r="L500" t="s">
        <v>74</v>
      </c>
      <c r="M500" t="s">
        <v>78</v>
      </c>
      <c r="N500" t="s">
        <v>79</v>
      </c>
      <c r="O500" t="s">
        <v>74</v>
      </c>
      <c r="P500" t="s">
        <v>74</v>
      </c>
      <c r="Q500" t="s">
        <v>74</v>
      </c>
      <c r="R500" t="s">
        <v>74</v>
      </c>
      <c r="S500" t="s">
        <v>74</v>
      </c>
      <c r="T500" t="s">
        <v>9731</v>
      </c>
      <c r="U500" t="s">
        <v>9732</v>
      </c>
      <c r="V500" t="s">
        <v>9733</v>
      </c>
      <c r="W500" t="s">
        <v>9734</v>
      </c>
      <c r="X500" t="s">
        <v>9735</v>
      </c>
      <c r="Y500" t="s">
        <v>9736</v>
      </c>
      <c r="Z500" t="s">
        <v>74</v>
      </c>
      <c r="AA500" t="s">
        <v>9737</v>
      </c>
      <c r="AB500" t="s">
        <v>9738</v>
      </c>
      <c r="AC500" t="s">
        <v>74</v>
      </c>
      <c r="AD500" t="s">
        <v>74</v>
      </c>
      <c r="AE500" t="s">
        <v>74</v>
      </c>
      <c r="AF500" t="s">
        <v>74</v>
      </c>
      <c r="AG500">
        <v>22</v>
      </c>
      <c r="AH500">
        <v>1</v>
      </c>
      <c r="AI500">
        <v>1</v>
      </c>
      <c r="AJ500">
        <v>0</v>
      </c>
      <c r="AK500">
        <v>4</v>
      </c>
      <c r="AL500" t="s">
        <v>4304</v>
      </c>
      <c r="AM500" t="s">
        <v>4305</v>
      </c>
      <c r="AN500" t="s">
        <v>9739</v>
      </c>
      <c r="AO500" t="s">
        <v>9740</v>
      </c>
      <c r="AP500" t="s">
        <v>9741</v>
      </c>
      <c r="AQ500" t="s">
        <v>74</v>
      </c>
      <c r="AR500" t="s">
        <v>9742</v>
      </c>
      <c r="AS500" t="s">
        <v>9743</v>
      </c>
      <c r="AT500" t="s">
        <v>2162</v>
      </c>
      <c r="AU500">
        <v>2017</v>
      </c>
      <c r="AV500">
        <v>129</v>
      </c>
      <c r="AW500">
        <v>971</v>
      </c>
      <c r="AX500" t="s">
        <v>74</v>
      </c>
      <c r="AY500" t="s">
        <v>74</v>
      </c>
      <c r="AZ500" t="s">
        <v>74</v>
      </c>
      <c r="BA500" t="s">
        <v>74</v>
      </c>
      <c r="BB500" t="s">
        <v>74</v>
      </c>
      <c r="BC500" t="s">
        <v>74</v>
      </c>
      <c r="BD500">
        <v>15003</v>
      </c>
      <c r="BE500" t="s">
        <v>9744</v>
      </c>
      <c r="BF500" t="str">
        <f>HYPERLINK("http://dx.doi.org/10.1088/1538-3873/129/971/015003","http://dx.doi.org/10.1088/1538-3873/129/971/015003")</f>
        <v>http://dx.doi.org/10.1088/1538-3873/129/971/015003</v>
      </c>
      <c r="BG500" t="s">
        <v>74</v>
      </c>
      <c r="BH500" t="s">
        <v>74</v>
      </c>
      <c r="BI500">
        <v>11</v>
      </c>
      <c r="BJ500" t="s">
        <v>2635</v>
      </c>
      <c r="BK500" t="s">
        <v>101</v>
      </c>
      <c r="BL500" t="s">
        <v>2635</v>
      </c>
      <c r="BM500" t="s">
        <v>9745</v>
      </c>
      <c r="BN500" t="s">
        <v>74</v>
      </c>
      <c r="BO500" t="s">
        <v>5447</v>
      </c>
      <c r="BP500" t="s">
        <v>74</v>
      </c>
      <c r="BQ500" t="s">
        <v>74</v>
      </c>
      <c r="BR500" t="s">
        <v>105</v>
      </c>
      <c r="BS500" t="s">
        <v>9746</v>
      </c>
      <c r="BT500" t="str">
        <f>HYPERLINK("https%3A%2F%2Fwww.webofscience.com%2Fwos%2Fwoscc%2Ffull-record%2FWOS:000390360700002","View Full Record in Web of Science")</f>
        <v>View Full Record in Web of Science</v>
      </c>
    </row>
    <row r="501" spans="1:72" x14ac:dyDescent="0.15">
      <c r="A501" t="s">
        <v>72</v>
      </c>
      <c r="B501" t="s">
        <v>9747</v>
      </c>
      <c r="C501" t="s">
        <v>74</v>
      </c>
      <c r="D501" t="s">
        <v>74</v>
      </c>
      <c r="E501" t="s">
        <v>74</v>
      </c>
      <c r="F501" t="s">
        <v>9748</v>
      </c>
      <c r="G501" t="s">
        <v>74</v>
      </c>
      <c r="H501" t="s">
        <v>74</v>
      </c>
      <c r="I501" t="s">
        <v>9749</v>
      </c>
      <c r="J501" t="s">
        <v>9750</v>
      </c>
      <c r="K501" t="s">
        <v>74</v>
      </c>
      <c r="L501" t="s">
        <v>74</v>
      </c>
      <c r="M501" t="s">
        <v>4517</v>
      </c>
      <c r="N501" t="s">
        <v>79</v>
      </c>
      <c r="O501" t="s">
        <v>74</v>
      </c>
      <c r="P501" t="s">
        <v>74</v>
      </c>
      <c r="Q501" t="s">
        <v>74</v>
      </c>
      <c r="R501" t="s">
        <v>74</v>
      </c>
      <c r="S501" t="s">
        <v>74</v>
      </c>
      <c r="T501" t="s">
        <v>9751</v>
      </c>
      <c r="U501" t="s">
        <v>9752</v>
      </c>
      <c r="V501" t="s">
        <v>9753</v>
      </c>
      <c r="W501" t="s">
        <v>9754</v>
      </c>
      <c r="X501" t="s">
        <v>9755</v>
      </c>
      <c r="Y501" t="s">
        <v>9756</v>
      </c>
      <c r="Z501" t="s">
        <v>9757</v>
      </c>
      <c r="AA501" t="s">
        <v>9758</v>
      </c>
      <c r="AB501" t="s">
        <v>9759</v>
      </c>
      <c r="AC501" t="s">
        <v>74</v>
      </c>
      <c r="AD501" t="s">
        <v>74</v>
      </c>
      <c r="AE501" t="s">
        <v>74</v>
      </c>
      <c r="AF501" t="s">
        <v>74</v>
      </c>
      <c r="AG501">
        <v>40</v>
      </c>
      <c r="AH501">
        <v>3</v>
      </c>
      <c r="AI501">
        <v>3</v>
      </c>
      <c r="AJ501">
        <v>0</v>
      </c>
      <c r="AK501">
        <v>14</v>
      </c>
      <c r="AL501" t="s">
        <v>9760</v>
      </c>
      <c r="AM501" t="s">
        <v>9761</v>
      </c>
      <c r="AN501" t="s">
        <v>9762</v>
      </c>
      <c r="AO501" t="s">
        <v>9763</v>
      </c>
      <c r="AP501" t="s">
        <v>9764</v>
      </c>
      <c r="AQ501" t="s">
        <v>74</v>
      </c>
      <c r="AR501" t="s">
        <v>9765</v>
      </c>
      <c r="AS501" t="s">
        <v>9766</v>
      </c>
      <c r="AT501" t="s">
        <v>2024</v>
      </c>
      <c r="AU501">
        <v>2017</v>
      </c>
      <c r="AV501">
        <v>48</v>
      </c>
      <c r="AW501">
        <v>1</v>
      </c>
      <c r="AX501" t="s">
        <v>74</v>
      </c>
      <c r="AY501" t="s">
        <v>74</v>
      </c>
      <c r="AZ501" t="s">
        <v>74</v>
      </c>
      <c r="BA501" t="s">
        <v>74</v>
      </c>
      <c r="BB501">
        <v>13</v>
      </c>
      <c r="BC501">
        <v>21</v>
      </c>
      <c r="BD501" t="s">
        <v>74</v>
      </c>
      <c r="BE501" t="s">
        <v>9767</v>
      </c>
      <c r="BF501" t="str">
        <f>HYPERLINK("http://dx.doi.org/10.5935/1806-6690.20170002","http://dx.doi.org/10.5935/1806-6690.20170002")</f>
        <v>http://dx.doi.org/10.5935/1806-6690.20170002</v>
      </c>
      <c r="BG501" t="s">
        <v>74</v>
      </c>
      <c r="BH501" t="s">
        <v>74</v>
      </c>
      <c r="BI501">
        <v>9</v>
      </c>
      <c r="BJ501" t="s">
        <v>9768</v>
      </c>
      <c r="BK501" t="s">
        <v>101</v>
      </c>
      <c r="BL501" t="s">
        <v>3179</v>
      </c>
      <c r="BM501" t="s">
        <v>9769</v>
      </c>
      <c r="BN501" t="s">
        <v>74</v>
      </c>
      <c r="BO501" t="s">
        <v>918</v>
      </c>
      <c r="BP501" t="s">
        <v>74</v>
      </c>
      <c r="BQ501" t="s">
        <v>74</v>
      </c>
      <c r="BR501" t="s">
        <v>105</v>
      </c>
      <c r="BS501" t="s">
        <v>9770</v>
      </c>
      <c r="BT501" t="str">
        <f>HYPERLINK("https%3A%2F%2Fwww.webofscience.com%2Fwos%2Fwoscc%2Ffull-record%2FWOS:000390218400002","View Full Record in Web of Science")</f>
        <v>View Full Record in Web of Science</v>
      </c>
    </row>
    <row r="502" spans="1:72" x14ac:dyDescent="0.15">
      <c r="A502" t="s">
        <v>72</v>
      </c>
      <c r="B502" t="s">
        <v>9771</v>
      </c>
      <c r="C502" t="s">
        <v>74</v>
      </c>
      <c r="D502" t="s">
        <v>74</v>
      </c>
      <c r="E502" t="s">
        <v>74</v>
      </c>
      <c r="F502" t="s">
        <v>9772</v>
      </c>
      <c r="G502" t="s">
        <v>74</v>
      </c>
      <c r="H502" t="s">
        <v>74</v>
      </c>
      <c r="I502" t="s">
        <v>9773</v>
      </c>
      <c r="J502" t="s">
        <v>9774</v>
      </c>
      <c r="K502" t="s">
        <v>74</v>
      </c>
      <c r="L502" t="s">
        <v>74</v>
      </c>
      <c r="M502" t="s">
        <v>78</v>
      </c>
      <c r="N502" t="s">
        <v>79</v>
      </c>
      <c r="O502" t="s">
        <v>74</v>
      </c>
      <c r="P502" t="s">
        <v>74</v>
      </c>
      <c r="Q502" t="s">
        <v>74</v>
      </c>
      <c r="R502" t="s">
        <v>74</v>
      </c>
      <c r="S502" t="s">
        <v>74</v>
      </c>
      <c r="T502" t="s">
        <v>9775</v>
      </c>
      <c r="U502" t="s">
        <v>9776</v>
      </c>
      <c r="V502" t="s">
        <v>9777</v>
      </c>
      <c r="W502" t="s">
        <v>9778</v>
      </c>
      <c r="X502" t="s">
        <v>9779</v>
      </c>
      <c r="Y502" t="s">
        <v>9780</v>
      </c>
      <c r="Z502" t="s">
        <v>9781</v>
      </c>
      <c r="AA502" t="s">
        <v>9782</v>
      </c>
      <c r="AB502" t="s">
        <v>9783</v>
      </c>
      <c r="AC502" t="s">
        <v>9784</v>
      </c>
      <c r="AD502" t="s">
        <v>9785</v>
      </c>
      <c r="AE502" t="s">
        <v>9786</v>
      </c>
      <c r="AF502" t="s">
        <v>74</v>
      </c>
      <c r="AG502">
        <v>79</v>
      </c>
      <c r="AH502">
        <v>2</v>
      </c>
      <c r="AI502">
        <v>2</v>
      </c>
      <c r="AJ502">
        <v>0</v>
      </c>
      <c r="AK502">
        <v>36</v>
      </c>
      <c r="AL502" t="s">
        <v>9787</v>
      </c>
      <c r="AM502" t="s">
        <v>9788</v>
      </c>
      <c r="AN502" t="s">
        <v>9789</v>
      </c>
      <c r="AO502" t="s">
        <v>9790</v>
      </c>
      <c r="AP502" t="s">
        <v>9791</v>
      </c>
      <c r="AQ502" t="s">
        <v>74</v>
      </c>
      <c r="AR502" t="s">
        <v>9792</v>
      </c>
      <c r="AS502" t="s">
        <v>9793</v>
      </c>
      <c r="AT502" t="s">
        <v>2136</v>
      </c>
      <c r="AU502">
        <v>2017</v>
      </c>
      <c r="AV502">
        <v>135</v>
      </c>
      <c r="AW502" t="s">
        <v>74</v>
      </c>
      <c r="AX502" t="s">
        <v>74</v>
      </c>
      <c r="AY502" t="s">
        <v>74</v>
      </c>
      <c r="AZ502" t="s">
        <v>74</v>
      </c>
      <c r="BA502" t="s">
        <v>74</v>
      </c>
      <c r="BB502">
        <v>1</v>
      </c>
      <c r="BC502">
        <v>9</v>
      </c>
      <c r="BD502" t="s">
        <v>74</v>
      </c>
      <c r="BE502" t="s">
        <v>9794</v>
      </c>
      <c r="BF502" t="str">
        <f>HYPERLINK("http://dx.doi.org/10.1016/j.ecoenv.2016.09.007","http://dx.doi.org/10.1016/j.ecoenv.2016.09.007")</f>
        <v>http://dx.doi.org/10.1016/j.ecoenv.2016.09.007</v>
      </c>
      <c r="BG502" t="s">
        <v>74</v>
      </c>
      <c r="BH502" t="s">
        <v>74</v>
      </c>
      <c r="BI502">
        <v>9</v>
      </c>
      <c r="BJ502" t="s">
        <v>9795</v>
      </c>
      <c r="BK502" t="s">
        <v>101</v>
      </c>
      <c r="BL502" t="s">
        <v>9796</v>
      </c>
      <c r="BM502" t="s">
        <v>9797</v>
      </c>
      <c r="BN502">
        <v>27664370</v>
      </c>
      <c r="BO502" t="s">
        <v>74</v>
      </c>
      <c r="BP502" t="s">
        <v>74</v>
      </c>
      <c r="BQ502" t="s">
        <v>74</v>
      </c>
      <c r="BR502" t="s">
        <v>105</v>
      </c>
      <c r="BS502" t="s">
        <v>9798</v>
      </c>
      <c r="BT502" t="str">
        <f>HYPERLINK("https%3A%2F%2Fwww.webofscience.com%2Fwos%2Fwoscc%2Ffull-record%2FWOS:000389555000001","View Full Record in Web of Science")</f>
        <v>View Full Record in Web of Science</v>
      </c>
    </row>
    <row r="503" spans="1:72" x14ac:dyDescent="0.15">
      <c r="A503" t="s">
        <v>2331</v>
      </c>
      <c r="B503" t="s">
        <v>9799</v>
      </c>
      <c r="C503" t="s">
        <v>9799</v>
      </c>
      <c r="D503" t="s">
        <v>74</v>
      </c>
      <c r="E503" t="s">
        <v>74</v>
      </c>
      <c r="F503" t="s">
        <v>9800</v>
      </c>
      <c r="G503" t="s">
        <v>9799</v>
      </c>
      <c r="H503" t="s">
        <v>74</v>
      </c>
      <c r="I503" t="s">
        <v>9801</v>
      </c>
      <c r="J503" t="s">
        <v>9802</v>
      </c>
      <c r="K503" t="s">
        <v>74</v>
      </c>
      <c r="L503" t="s">
        <v>74</v>
      </c>
      <c r="M503" t="s">
        <v>78</v>
      </c>
      <c r="N503" t="s">
        <v>2067</v>
      </c>
      <c r="O503" t="s">
        <v>74</v>
      </c>
      <c r="P503" t="s">
        <v>74</v>
      </c>
      <c r="Q503" t="s">
        <v>74</v>
      </c>
      <c r="R503" t="s">
        <v>74</v>
      </c>
      <c r="S503" t="s">
        <v>74</v>
      </c>
      <c r="T503" t="s">
        <v>9803</v>
      </c>
      <c r="U503" t="s">
        <v>9804</v>
      </c>
      <c r="V503" t="s">
        <v>9805</v>
      </c>
      <c r="W503" t="s">
        <v>74</v>
      </c>
      <c r="X503" t="s">
        <v>74</v>
      </c>
      <c r="Y503" t="s">
        <v>74</v>
      </c>
      <c r="Z503" t="s">
        <v>74</v>
      </c>
      <c r="AA503" t="s">
        <v>74</v>
      </c>
      <c r="AB503" t="s">
        <v>74</v>
      </c>
      <c r="AC503" t="s">
        <v>74</v>
      </c>
      <c r="AD503" t="s">
        <v>74</v>
      </c>
      <c r="AE503" t="s">
        <v>74</v>
      </c>
      <c r="AF503" t="s">
        <v>74</v>
      </c>
      <c r="AG503">
        <v>24</v>
      </c>
      <c r="AH503">
        <v>0</v>
      </c>
      <c r="AI503">
        <v>0</v>
      </c>
      <c r="AJ503">
        <v>0</v>
      </c>
      <c r="AK503">
        <v>0</v>
      </c>
      <c r="AL503" t="s">
        <v>9806</v>
      </c>
      <c r="AM503" t="s">
        <v>3123</v>
      </c>
      <c r="AN503" t="s">
        <v>9807</v>
      </c>
      <c r="AO503" t="s">
        <v>74</v>
      </c>
      <c r="AP503" t="s">
        <v>74</v>
      </c>
      <c r="AQ503" t="s">
        <v>9808</v>
      </c>
      <c r="AR503" t="s">
        <v>74</v>
      </c>
      <c r="AS503" t="s">
        <v>74</v>
      </c>
      <c r="AT503" t="s">
        <v>74</v>
      </c>
      <c r="AU503">
        <v>2017</v>
      </c>
      <c r="AV503" t="s">
        <v>74</v>
      </c>
      <c r="AW503" t="s">
        <v>74</v>
      </c>
      <c r="AX503" t="s">
        <v>74</v>
      </c>
      <c r="AY503" t="s">
        <v>74</v>
      </c>
      <c r="AZ503" t="s">
        <v>74</v>
      </c>
      <c r="BA503" t="s">
        <v>74</v>
      </c>
      <c r="BB503">
        <v>36</v>
      </c>
      <c r="BC503">
        <v>41</v>
      </c>
      <c r="BD503" t="s">
        <v>74</v>
      </c>
      <c r="BE503" t="s">
        <v>74</v>
      </c>
      <c r="BF503" t="s">
        <v>74</v>
      </c>
      <c r="BG503" t="s">
        <v>9809</v>
      </c>
      <c r="BH503" t="s">
        <v>74</v>
      </c>
      <c r="BI503">
        <v>6</v>
      </c>
      <c r="BJ503" t="s">
        <v>9810</v>
      </c>
      <c r="BK503" t="s">
        <v>2084</v>
      </c>
      <c r="BL503" t="s">
        <v>1334</v>
      </c>
      <c r="BM503" t="s">
        <v>9811</v>
      </c>
      <c r="BN503" t="s">
        <v>74</v>
      </c>
      <c r="BO503" t="s">
        <v>74</v>
      </c>
      <c r="BP503" t="s">
        <v>74</v>
      </c>
      <c r="BQ503" t="s">
        <v>74</v>
      </c>
      <c r="BR503" t="s">
        <v>105</v>
      </c>
      <c r="BS503" t="s">
        <v>9812</v>
      </c>
      <c r="BT503" t="str">
        <f>HYPERLINK("https%3A%2F%2Fwww.webofscience.com%2Fwos%2Fwoscc%2Ffull-record%2FWOS:000717142500006","View Full Record in Web of Science")</f>
        <v>View Full Record in Web of Science</v>
      </c>
    </row>
    <row r="504" spans="1:72" x14ac:dyDescent="0.15">
      <c r="A504" t="s">
        <v>1823</v>
      </c>
      <c r="B504" t="s">
        <v>9813</v>
      </c>
      <c r="C504" t="s">
        <v>74</v>
      </c>
      <c r="D504" t="s">
        <v>6745</v>
      </c>
      <c r="E504" t="s">
        <v>74</v>
      </c>
      <c r="F504" t="s">
        <v>9814</v>
      </c>
      <c r="G504" t="s">
        <v>74</v>
      </c>
      <c r="H504" t="s">
        <v>9815</v>
      </c>
      <c r="I504" t="s">
        <v>9816</v>
      </c>
      <c r="J504" t="s">
        <v>6749</v>
      </c>
      <c r="K504" t="s">
        <v>4243</v>
      </c>
      <c r="L504" t="s">
        <v>74</v>
      </c>
      <c r="M504" t="s">
        <v>78</v>
      </c>
      <c r="N504" t="s">
        <v>1829</v>
      </c>
      <c r="O504" t="s">
        <v>6750</v>
      </c>
      <c r="P504" t="s">
        <v>6751</v>
      </c>
      <c r="Q504" t="s">
        <v>6752</v>
      </c>
      <c r="R504" t="s">
        <v>74</v>
      </c>
      <c r="S504" t="s">
        <v>74</v>
      </c>
      <c r="T504" t="s">
        <v>74</v>
      </c>
      <c r="U504" t="s">
        <v>74</v>
      </c>
      <c r="V504" t="s">
        <v>9817</v>
      </c>
      <c r="W504" t="s">
        <v>9818</v>
      </c>
      <c r="X504" t="s">
        <v>9819</v>
      </c>
      <c r="Y504" t="s">
        <v>9820</v>
      </c>
      <c r="Z504" t="s">
        <v>9821</v>
      </c>
      <c r="AA504" t="s">
        <v>74</v>
      </c>
      <c r="AB504" t="s">
        <v>74</v>
      </c>
      <c r="AC504" t="s">
        <v>74</v>
      </c>
      <c r="AD504" t="s">
        <v>74</v>
      </c>
      <c r="AE504" t="s">
        <v>74</v>
      </c>
      <c r="AF504" t="s">
        <v>74</v>
      </c>
      <c r="AG504">
        <v>13</v>
      </c>
      <c r="AH504">
        <v>0</v>
      </c>
      <c r="AI504">
        <v>0</v>
      </c>
      <c r="AJ504">
        <v>0</v>
      </c>
      <c r="AK504">
        <v>1</v>
      </c>
      <c r="AL504" t="s">
        <v>4257</v>
      </c>
      <c r="AM504" t="s">
        <v>4258</v>
      </c>
      <c r="AN504" t="s">
        <v>4259</v>
      </c>
      <c r="AO504" t="s">
        <v>4260</v>
      </c>
      <c r="AP504" t="s">
        <v>74</v>
      </c>
      <c r="AQ504" t="s">
        <v>6760</v>
      </c>
      <c r="AR504" t="s">
        <v>4262</v>
      </c>
      <c r="AS504" t="s">
        <v>74</v>
      </c>
      <c r="AT504" t="s">
        <v>74</v>
      </c>
      <c r="AU504">
        <v>2017</v>
      </c>
      <c r="AV504">
        <v>135</v>
      </c>
      <c r="AW504" t="s">
        <v>74</v>
      </c>
      <c r="AX504" t="s">
        <v>74</v>
      </c>
      <c r="AY504" t="s">
        <v>74</v>
      </c>
      <c r="AZ504" t="s">
        <v>74</v>
      </c>
      <c r="BA504" t="s">
        <v>74</v>
      </c>
      <c r="BB504" t="s">
        <v>74</v>
      </c>
      <c r="BC504" t="s">
        <v>74</v>
      </c>
      <c r="BD504">
        <v>5004</v>
      </c>
      <c r="BE504" t="s">
        <v>9822</v>
      </c>
      <c r="BF504" t="str">
        <f>HYPERLINK("http://dx.doi.org/10.1051/epjconf/201713505004","http://dx.doi.org/10.1051/epjconf/201713505004")</f>
        <v>http://dx.doi.org/10.1051/epjconf/201713505004</v>
      </c>
      <c r="BG504" t="s">
        <v>74</v>
      </c>
      <c r="BH504" t="s">
        <v>74</v>
      </c>
      <c r="BI504">
        <v>4</v>
      </c>
      <c r="BJ504" t="s">
        <v>2635</v>
      </c>
      <c r="BK504" t="s">
        <v>1844</v>
      </c>
      <c r="BL504" t="s">
        <v>2635</v>
      </c>
      <c r="BM504" t="s">
        <v>6762</v>
      </c>
      <c r="BN504" t="s">
        <v>74</v>
      </c>
      <c r="BO504" t="s">
        <v>150</v>
      </c>
      <c r="BP504" t="s">
        <v>74</v>
      </c>
      <c r="BQ504" t="s">
        <v>74</v>
      </c>
      <c r="BR504" t="s">
        <v>105</v>
      </c>
      <c r="BS504" t="s">
        <v>9823</v>
      </c>
      <c r="BT504" t="str">
        <f>HYPERLINK("https%3A%2F%2Fwww.webofscience.com%2Fwos%2Fwoscc%2Ffull-record%2FWOS:000407847700034","View Full Record in Web of Science")</f>
        <v>View Full Record in Web of Science</v>
      </c>
    </row>
    <row r="505" spans="1:72" x14ac:dyDescent="0.15">
      <c r="A505" t="s">
        <v>72</v>
      </c>
      <c r="B505" t="s">
        <v>9824</v>
      </c>
      <c r="C505" t="s">
        <v>74</v>
      </c>
      <c r="D505" t="s">
        <v>74</v>
      </c>
      <c r="E505" t="s">
        <v>74</v>
      </c>
      <c r="F505" t="s">
        <v>9825</v>
      </c>
      <c r="G505" t="s">
        <v>74</v>
      </c>
      <c r="H505" t="s">
        <v>74</v>
      </c>
      <c r="I505" t="s">
        <v>9826</v>
      </c>
      <c r="J505" t="s">
        <v>9636</v>
      </c>
      <c r="K505" t="s">
        <v>74</v>
      </c>
      <c r="L505" t="s">
        <v>74</v>
      </c>
      <c r="M505" t="s">
        <v>78</v>
      </c>
      <c r="N505" t="s">
        <v>185</v>
      </c>
      <c r="O505" t="s">
        <v>74</v>
      </c>
      <c r="P505" t="s">
        <v>74</v>
      </c>
      <c r="Q505" t="s">
        <v>74</v>
      </c>
      <c r="R505" t="s">
        <v>74</v>
      </c>
      <c r="S505" t="s">
        <v>74</v>
      </c>
      <c r="T505" t="s">
        <v>74</v>
      </c>
      <c r="U505" t="s">
        <v>74</v>
      </c>
      <c r="V505" t="s">
        <v>74</v>
      </c>
      <c r="W505" t="s">
        <v>9827</v>
      </c>
      <c r="X505" t="s">
        <v>9828</v>
      </c>
      <c r="Y505" t="s">
        <v>9829</v>
      </c>
      <c r="Z505" t="s">
        <v>9830</v>
      </c>
      <c r="AA505" t="s">
        <v>74</v>
      </c>
      <c r="AB505" t="s">
        <v>74</v>
      </c>
      <c r="AC505" t="s">
        <v>9831</v>
      </c>
      <c r="AD505" t="s">
        <v>6211</v>
      </c>
      <c r="AE505" t="s">
        <v>74</v>
      </c>
      <c r="AF505" t="s">
        <v>74</v>
      </c>
      <c r="AG505">
        <v>0</v>
      </c>
      <c r="AH505">
        <v>3</v>
      </c>
      <c r="AI505">
        <v>3</v>
      </c>
      <c r="AJ505">
        <v>1</v>
      </c>
      <c r="AK505">
        <v>6</v>
      </c>
      <c r="AL505" t="s">
        <v>3235</v>
      </c>
      <c r="AM505" t="s">
        <v>3236</v>
      </c>
      <c r="AN505" t="s">
        <v>3237</v>
      </c>
      <c r="AO505" t="s">
        <v>9649</v>
      </c>
      <c r="AP505" t="s">
        <v>9650</v>
      </c>
      <c r="AQ505" t="s">
        <v>74</v>
      </c>
      <c r="AR505" t="s">
        <v>9651</v>
      </c>
      <c r="AS505" t="s">
        <v>9652</v>
      </c>
      <c r="AT505" t="s">
        <v>2136</v>
      </c>
      <c r="AU505">
        <v>2017</v>
      </c>
      <c r="AV505">
        <v>34</v>
      </c>
      <c r="AW505">
        <v>1</v>
      </c>
      <c r="AX505" t="s">
        <v>74</v>
      </c>
      <c r="AY505" t="s">
        <v>74</v>
      </c>
      <c r="AZ505" t="s">
        <v>74</v>
      </c>
      <c r="BA505" t="s">
        <v>74</v>
      </c>
      <c r="BB505">
        <v>1</v>
      </c>
      <c r="BC505">
        <v>3</v>
      </c>
      <c r="BD505" t="s">
        <v>74</v>
      </c>
      <c r="BE505" t="s">
        <v>9832</v>
      </c>
      <c r="BF505" t="str">
        <f>HYPERLINK("http://dx.doi.org/10.1007/s00376-016-6197-5","http://dx.doi.org/10.1007/s00376-016-6197-5")</f>
        <v>http://dx.doi.org/10.1007/s00376-016-6197-5</v>
      </c>
      <c r="BG505" t="s">
        <v>74</v>
      </c>
      <c r="BH505" t="s">
        <v>74</v>
      </c>
      <c r="BI505">
        <v>3</v>
      </c>
      <c r="BJ505" t="s">
        <v>747</v>
      </c>
      <c r="BK505" t="s">
        <v>101</v>
      </c>
      <c r="BL505" t="s">
        <v>747</v>
      </c>
      <c r="BM505" t="s">
        <v>9654</v>
      </c>
      <c r="BN505" t="s">
        <v>74</v>
      </c>
      <c r="BO505" t="s">
        <v>672</v>
      </c>
      <c r="BP505" t="s">
        <v>74</v>
      </c>
      <c r="BQ505" t="s">
        <v>74</v>
      </c>
      <c r="BR505" t="s">
        <v>105</v>
      </c>
      <c r="BS505" t="s">
        <v>9833</v>
      </c>
      <c r="BT505" t="str">
        <f>HYPERLINK("https%3A%2F%2Fwww.webofscience.com%2Fwos%2Fwoscc%2Ffull-record%2FWOS:000390088800001","View Full Record in Web of Science")</f>
        <v>View Full Record in Web of Science</v>
      </c>
    </row>
    <row r="506" spans="1:72" x14ac:dyDescent="0.15">
      <c r="A506" t="s">
        <v>1823</v>
      </c>
      <c r="B506" t="s">
        <v>9834</v>
      </c>
      <c r="C506" t="s">
        <v>74</v>
      </c>
      <c r="D506" t="s">
        <v>9835</v>
      </c>
      <c r="E506" t="s">
        <v>74</v>
      </c>
      <c r="F506" t="s">
        <v>9836</v>
      </c>
      <c r="G506" t="s">
        <v>74</v>
      </c>
      <c r="H506" t="s">
        <v>74</v>
      </c>
      <c r="I506" t="s">
        <v>9837</v>
      </c>
      <c r="J506" t="s">
        <v>9838</v>
      </c>
      <c r="K506" t="s">
        <v>9839</v>
      </c>
      <c r="L506" t="s">
        <v>74</v>
      </c>
      <c r="M506" t="s">
        <v>78</v>
      </c>
      <c r="N506" t="s">
        <v>1829</v>
      </c>
      <c r="O506" t="s">
        <v>9840</v>
      </c>
      <c r="P506" t="s">
        <v>9841</v>
      </c>
      <c r="Q506" t="s">
        <v>9842</v>
      </c>
      <c r="R506" t="s">
        <v>74</v>
      </c>
      <c r="S506" t="s">
        <v>74</v>
      </c>
      <c r="T506" t="s">
        <v>9843</v>
      </c>
      <c r="U506" t="s">
        <v>74</v>
      </c>
      <c r="V506" t="s">
        <v>9844</v>
      </c>
      <c r="W506" t="s">
        <v>9845</v>
      </c>
      <c r="X506" t="s">
        <v>9846</v>
      </c>
      <c r="Y506" t="s">
        <v>9847</v>
      </c>
      <c r="Z506" t="s">
        <v>9848</v>
      </c>
      <c r="AA506" t="s">
        <v>74</v>
      </c>
      <c r="AB506" t="s">
        <v>74</v>
      </c>
      <c r="AC506" t="s">
        <v>9849</v>
      </c>
      <c r="AD506" t="s">
        <v>9850</v>
      </c>
      <c r="AE506" t="s">
        <v>9851</v>
      </c>
      <c r="AF506" t="s">
        <v>74</v>
      </c>
      <c r="AG506">
        <v>12</v>
      </c>
      <c r="AH506">
        <v>4</v>
      </c>
      <c r="AI506">
        <v>4</v>
      </c>
      <c r="AJ506">
        <v>0</v>
      </c>
      <c r="AK506">
        <v>0</v>
      </c>
      <c r="AL506" t="s">
        <v>3497</v>
      </c>
      <c r="AM506" t="s">
        <v>3498</v>
      </c>
      <c r="AN506" t="s">
        <v>3499</v>
      </c>
      <c r="AO506" t="s">
        <v>9852</v>
      </c>
      <c r="AP506" t="s">
        <v>9853</v>
      </c>
      <c r="AQ506" t="s">
        <v>9854</v>
      </c>
      <c r="AR506" t="s">
        <v>9855</v>
      </c>
      <c r="AS506" t="s">
        <v>74</v>
      </c>
      <c r="AT506" t="s">
        <v>74</v>
      </c>
      <c r="AU506">
        <v>2017</v>
      </c>
      <c r="AV506">
        <v>10393</v>
      </c>
      <c r="AW506" t="s">
        <v>74</v>
      </c>
      <c r="AX506" t="s">
        <v>74</v>
      </c>
      <c r="AY506" t="s">
        <v>74</v>
      </c>
      <c r="AZ506" t="s">
        <v>74</v>
      </c>
      <c r="BA506" t="s">
        <v>74</v>
      </c>
      <c r="BB506">
        <v>431</v>
      </c>
      <c r="BC506">
        <v>440</v>
      </c>
      <c r="BD506" t="s">
        <v>74</v>
      </c>
      <c r="BE506" t="s">
        <v>9856</v>
      </c>
      <c r="BF506" t="str">
        <f>HYPERLINK("http://dx.doi.org/10.1007/978-3-319-65482-9_30","http://dx.doi.org/10.1007/978-3-319-65482-9_30")</f>
        <v>http://dx.doi.org/10.1007/978-3-319-65482-9_30</v>
      </c>
      <c r="BG506" t="s">
        <v>74</v>
      </c>
      <c r="BH506" t="s">
        <v>74</v>
      </c>
      <c r="BI506">
        <v>10</v>
      </c>
      <c r="BJ506" t="s">
        <v>9857</v>
      </c>
      <c r="BK506" t="s">
        <v>1844</v>
      </c>
      <c r="BL506" t="s">
        <v>4409</v>
      </c>
      <c r="BM506" t="s">
        <v>9858</v>
      </c>
      <c r="BN506" t="s">
        <v>74</v>
      </c>
      <c r="BO506" t="s">
        <v>74</v>
      </c>
      <c r="BP506" t="s">
        <v>74</v>
      </c>
      <c r="BQ506" t="s">
        <v>74</v>
      </c>
      <c r="BR506" t="s">
        <v>105</v>
      </c>
      <c r="BS506" t="s">
        <v>9859</v>
      </c>
      <c r="BT506" t="str">
        <f>HYPERLINK("https%3A%2F%2Fwww.webofscience.com%2Fwos%2Fwoscc%2Ffull-record%2FWOS:000717040500030","View Full Record in Web of Science")</f>
        <v>View Full Record in Web of Science</v>
      </c>
    </row>
    <row r="507" spans="1:72" x14ac:dyDescent="0.15">
      <c r="A507" t="s">
        <v>72</v>
      </c>
      <c r="B507" t="s">
        <v>9860</v>
      </c>
      <c r="C507" t="s">
        <v>74</v>
      </c>
      <c r="D507" t="s">
        <v>74</v>
      </c>
      <c r="E507" t="s">
        <v>74</v>
      </c>
      <c r="F507" t="s">
        <v>9861</v>
      </c>
      <c r="G507" t="s">
        <v>74</v>
      </c>
      <c r="H507" t="s">
        <v>74</v>
      </c>
      <c r="I507" t="s">
        <v>9862</v>
      </c>
      <c r="J507" t="s">
        <v>9863</v>
      </c>
      <c r="K507" t="s">
        <v>74</v>
      </c>
      <c r="L507" t="s">
        <v>74</v>
      </c>
      <c r="M507" t="s">
        <v>78</v>
      </c>
      <c r="N507" t="s">
        <v>79</v>
      </c>
      <c r="O507" t="s">
        <v>74</v>
      </c>
      <c r="P507" t="s">
        <v>74</v>
      </c>
      <c r="Q507" t="s">
        <v>74</v>
      </c>
      <c r="R507" t="s">
        <v>74</v>
      </c>
      <c r="S507" t="s">
        <v>74</v>
      </c>
      <c r="T507" t="s">
        <v>9864</v>
      </c>
      <c r="U507" t="s">
        <v>9865</v>
      </c>
      <c r="V507" t="s">
        <v>9866</v>
      </c>
      <c r="W507" t="s">
        <v>9867</v>
      </c>
      <c r="X507" t="s">
        <v>9868</v>
      </c>
      <c r="Y507" t="s">
        <v>9869</v>
      </c>
      <c r="Z507" t="s">
        <v>9870</v>
      </c>
      <c r="AA507" t="s">
        <v>74</v>
      </c>
      <c r="AB507" t="s">
        <v>74</v>
      </c>
      <c r="AC507" t="s">
        <v>74</v>
      </c>
      <c r="AD507" t="s">
        <v>74</v>
      </c>
      <c r="AE507" t="s">
        <v>74</v>
      </c>
      <c r="AF507" t="s">
        <v>74</v>
      </c>
      <c r="AG507">
        <v>66</v>
      </c>
      <c r="AH507">
        <v>91</v>
      </c>
      <c r="AI507">
        <v>100</v>
      </c>
      <c r="AJ507">
        <v>5</v>
      </c>
      <c r="AK507">
        <v>54</v>
      </c>
      <c r="AL507" t="s">
        <v>291</v>
      </c>
      <c r="AM507" t="s">
        <v>292</v>
      </c>
      <c r="AN507" t="s">
        <v>293</v>
      </c>
      <c r="AO507" t="s">
        <v>9871</v>
      </c>
      <c r="AP507" t="s">
        <v>9872</v>
      </c>
      <c r="AQ507" t="s">
        <v>74</v>
      </c>
      <c r="AR507" t="s">
        <v>9873</v>
      </c>
      <c r="AS507" t="s">
        <v>9874</v>
      </c>
      <c r="AT507" t="s">
        <v>2136</v>
      </c>
      <c r="AU507">
        <v>2017</v>
      </c>
      <c r="AV507">
        <v>62</v>
      </c>
      <c r="AW507" t="s">
        <v>74</v>
      </c>
      <c r="AX507" t="s">
        <v>74</v>
      </c>
      <c r="AY507" t="s">
        <v>74</v>
      </c>
      <c r="AZ507" t="s">
        <v>74</v>
      </c>
      <c r="BA507" t="s">
        <v>74</v>
      </c>
      <c r="BB507">
        <v>54</v>
      </c>
      <c r="BC507">
        <v>63</v>
      </c>
      <c r="BD507" t="s">
        <v>74</v>
      </c>
      <c r="BE507" t="s">
        <v>9875</v>
      </c>
      <c r="BF507" t="str">
        <f>HYPERLINK("http://dx.doi.org/10.1016/j.annals.2016.12.002","http://dx.doi.org/10.1016/j.annals.2016.12.002")</f>
        <v>http://dx.doi.org/10.1016/j.annals.2016.12.002</v>
      </c>
      <c r="BG507" t="s">
        <v>74</v>
      </c>
      <c r="BH507" t="s">
        <v>74</v>
      </c>
      <c r="BI507">
        <v>10</v>
      </c>
      <c r="BJ507" t="s">
        <v>9876</v>
      </c>
      <c r="BK507" t="s">
        <v>1918</v>
      </c>
      <c r="BL507" t="s">
        <v>9877</v>
      </c>
      <c r="BM507" t="s">
        <v>9878</v>
      </c>
      <c r="BN507" t="s">
        <v>74</v>
      </c>
      <c r="BO507" t="s">
        <v>74</v>
      </c>
      <c r="BP507" t="s">
        <v>74</v>
      </c>
      <c r="BQ507" t="s">
        <v>74</v>
      </c>
      <c r="BR507" t="s">
        <v>105</v>
      </c>
      <c r="BS507" t="s">
        <v>9879</v>
      </c>
      <c r="BT507" t="str">
        <f>HYPERLINK("https%3A%2F%2Fwww.webofscience.com%2Fwos%2Fwoscc%2Ffull-record%2FWOS:000392677000005","View Full Record in Web of Science")</f>
        <v>View Full Record in Web of Science</v>
      </c>
    </row>
    <row r="508" spans="1:72" x14ac:dyDescent="0.15">
      <c r="A508" t="s">
        <v>1921</v>
      </c>
      <c r="B508" t="s">
        <v>9880</v>
      </c>
      <c r="C508" t="s">
        <v>74</v>
      </c>
      <c r="D508" t="s">
        <v>3492</v>
      </c>
      <c r="E508" t="s">
        <v>74</v>
      </c>
      <c r="F508" t="s">
        <v>9881</v>
      </c>
      <c r="G508" t="s">
        <v>74</v>
      </c>
      <c r="H508" t="s">
        <v>74</v>
      </c>
      <c r="I508" t="s">
        <v>9882</v>
      </c>
      <c r="J508" t="s">
        <v>3494</v>
      </c>
      <c r="K508" t="s">
        <v>3495</v>
      </c>
      <c r="L508" t="s">
        <v>74</v>
      </c>
      <c r="M508" t="s">
        <v>78</v>
      </c>
      <c r="N508" t="s">
        <v>2067</v>
      </c>
      <c r="O508" t="s">
        <v>74</v>
      </c>
      <c r="P508" t="s">
        <v>74</v>
      </c>
      <c r="Q508" t="s">
        <v>74</v>
      </c>
      <c r="R508" t="s">
        <v>74</v>
      </c>
      <c r="S508" t="s">
        <v>74</v>
      </c>
      <c r="T508" t="s">
        <v>9883</v>
      </c>
      <c r="U508" t="s">
        <v>9884</v>
      </c>
      <c r="V508" t="s">
        <v>9885</v>
      </c>
      <c r="W508" t="s">
        <v>9886</v>
      </c>
      <c r="X508" t="s">
        <v>9887</v>
      </c>
      <c r="Y508" t="s">
        <v>9888</v>
      </c>
      <c r="Z508" t="s">
        <v>9889</v>
      </c>
      <c r="AA508" t="s">
        <v>9890</v>
      </c>
      <c r="AB508" t="s">
        <v>3648</v>
      </c>
      <c r="AC508" t="s">
        <v>74</v>
      </c>
      <c r="AD508" t="s">
        <v>74</v>
      </c>
      <c r="AE508" t="s">
        <v>74</v>
      </c>
      <c r="AF508" t="s">
        <v>74</v>
      </c>
      <c r="AG508">
        <v>97</v>
      </c>
      <c r="AH508">
        <v>8</v>
      </c>
      <c r="AI508">
        <v>8</v>
      </c>
      <c r="AJ508">
        <v>0</v>
      </c>
      <c r="AK508">
        <v>8</v>
      </c>
      <c r="AL508" t="s">
        <v>3497</v>
      </c>
      <c r="AM508" t="s">
        <v>3498</v>
      </c>
      <c r="AN508" t="s">
        <v>3499</v>
      </c>
      <c r="AO508" t="s">
        <v>3500</v>
      </c>
      <c r="AP508" t="s">
        <v>74</v>
      </c>
      <c r="AQ508" t="s">
        <v>3501</v>
      </c>
      <c r="AR508" t="s">
        <v>3502</v>
      </c>
      <c r="AS508" t="s">
        <v>74</v>
      </c>
      <c r="AT508" t="s">
        <v>74</v>
      </c>
      <c r="AU508">
        <v>2017</v>
      </c>
      <c r="AV508">
        <v>3</v>
      </c>
      <c r="AW508" t="s">
        <v>74</v>
      </c>
      <c r="AX508" t="s">
        <v>74</v>
      </c>
      <c r="AY508" t="s">
        <v>74</v>
      </c>
      <c r="AZ508" t="s">
        <v>74</v>
      </c>
      <c r="BA508" t="s">
        <v>74</v>
      </c>
      <c r="BB508">
        <v>3</v>
      </c>
      <c r="BC508">
        <v>26</v>
      </c>
      <c r="BD508" t="s">
        <v>74</v>
      </c>
      <c r="BE508" t="s">
        <v>9891</v>
      </c>
      <c r="BF508" t="str">
        <f>HYPERLINK("http://dx.doi.org/10.1007/978-3-319-55893-6_1","http://dx.doi.org/10.1007/978-3-319-55893-6_1")</f>
        <v>http://dx.doi.org/10.1007/978-3-319-55893-6_1</v>
      </c>
      <c r="BG508" t="s">
        <v>3503</v>
      </c>
      <c r="BH508" t="s">
        <v>74</v>
      </c>
      <c r="BI508">
        <v>24</v>
      </c>
      <c r="BJ508" t="s">
        <v>3504</v>
      </c>
      <c r="BK508" t="s">
        <v>2084</v>
      </c>
      <c r="BL508" t="s">
        <v>3505</v>
      </c>
      <c r="BM508" t="s">
        <v>3506</v>
      </c>
      <c r="BN508" t="s">
        <v>74</v>
      </c>
      <c r="BO508" t="s">
        <v>74</v>
      </c>
      <c r="BP508" t="s">
        <v>74</v>
      </c>
      <c r="BQ508" t="s">
        <v>74</v>
      </c>
      <c r="BR508" t="s">
        <v>105</v>
      </c>
      <c r="BS508" t="s">
        <v>9892</v>
      </c>
      <c r="BT508" t="str">
        <f>HYPERLINK("https%3A%2F%2Fwww.webofscience.com%2Fwos%2Fwoscc%2Ffull-record%2FWOS:000439509000003","View Full Record in Web of Science")</f>
        <v>View Full Record in Web of Science</v>
      </c>
    </row>
    <row r="509" spans="1:72" x14ac:dyDescent="0.15">
      <c r="A509" t="s">
        <v>1921</v>
      </c>
      <c r="B509" t="s">
        <v>9893</v>
      </c>
      <c r="C509" t="s">
        <v>74</v>
      </c>
      <c r="D509" t="s">
        <v>3492</v>
      </c>
      <c r="E509" t="s">
        <v>74</v>
      </c>
      <c r="F509" t="s">
        <v>9894</v>
      </c>
      <c r="G509" t="s">
        <v>74</v>
      </c>
      <c r="H509" t="s">
        <v>74</v>
      </c>
      <c r="I509" t="s">
        <v>9895</v>
      </c>
      <c r="J509" t="s">
        <v>3494</v>
      </c>
      <c r="K509" t="s">
        <v>3495</v>
      </c>
      <c r="L509" t="s">
        <v>74</v>
      </c>
      <c r="M509" t="s">
        <v>78</v>
      </c>
      <c r="N509" t="s">
        <v>9896</v>
      </c>
      <c r="O509" t="s">
        <v>74</v>
      </c>
      <c r="P509" t="s">
        <v>74</v>
      </c>
      <c r="Q509" t="s">
        <v>74</v>
      </c>
      <c r="R509" t="s">
        <v>74</v>
      </c>
      <c r="S509" t="s">
        <v>74</v>
      </c>
      <c r="T509" t="s">
        <v>74</v>
      </c>
      <c r="U509" t="s">
        <v>74</v>
      </c>
      <c r="V509" t="s">
        <v>74</v>
      </c>
      <c r="W509" t="s">
        <v>9897</v>
      </c>
      <c r="X509" t="s">
        <v>74</v>
      </c>
      <c r="Y509" t="s">
        <v>9898</v>
      </c>
      <c r="Z509" t="s">
        <v>74</v>
      </c>
      <c r="AA509" t="s">
        <v>74</v>
      </c>
      <c r="AB509" t="s">
        <v>74</v>
      </c>
      <c r="AC509" t="s">
        <v>74</v>
      </c>
      <c r="AD509" t="s">
        <v>74</v>
      </c>
      <c r="AE509" t="s">
        <v>74</v>
      </c>
      <c r="AF509" t="s">
        <v>74</v>
      </c>
      <c r="AG509">
        <v>0</v>
      </c>
      <c r="AH509">
        <v>0</v>
      </c>
      <c r="AI509">
        <v>0</v>
      </c>
      <c r="AJ509">
        <v>1</v>
      </c>
      <c r="AK509">
        <v>1</v>
      </c>
      <c r="AL509" t="s">
        <v>3497</v>
      </c>
      <c r="AM509" t="s">
        <v>3498</v>
      </c>
      <c r="AN509" t="s">
        <v>3499</v>
      </c>
      <c r="AO509" t="s">
        <v>3500</v>
      </c>
      <c r="AP509" t="s">
        <v>74</v>
      </c>
      <c r="AQ509" t="s">
        <v>3501</v>
      </c>
      <c r="AR509" t="s">
        <v>3502</v>
      </c>
      <c r="AS509" t="s">
        <v>74</v>
      </c>
      <c r="AT509" t="s">
        <v>74</v>
      </c>
      <c r="AU509">
        <v>2017</v>
      </c>
      <c r="AV509">
        <v>3</v>
      </c>
      <c r="AW509" t="s">
        <v>74</v>
      </c>
      <c r="AX509" t="s">
        <v>74</v>
      </c>
      <c r="AY509" t="s">
        <v>74</v>
      </c>
      <c r="AZ509" t="s">
        <v>74</v>
      </c>
      <c r="BA509" t="s">
        <v>74</v>
      </c>
      <c r="BB509" t="s">
        <v>9899</v>
      </c>
      <c r="BC509" t="s">
        <v>9900</v>
      </c>
      <c r="BD509" t="s">
        <v>74</v>
      </c>
      <c r="BE509" t="s">
        <v>74</v>
      </c>
      <c r="BF509" t="s">
        <v>74</v>
      </c>
      <c r="BG509" t="s">
        <v>3503</v>
      </c>
      <c r="BH509" t="s">
        <v>74</v>
      </c>
      <c r="BI509">
        <v>2</v>
      </c>
      <c r="BJ509" t="s">
        <v>3504</v>
      </c>
      <c r="BK509" t="s">
        <v>2084</v>
      </c>
      <c r="BL509" t="s">
        <v>3505</v>
      </c>
      <c r="BM509" t="s">
        <v>3506</v>
      </c>
      <c r="BN509" t="s">
        <v>74</v>
      </c>
      <c r="BO509" t="s">
        <v>378</v>
      </c>
      <c r="BP509" t="s">
        <v>74</v>
      </c>
      <c r="BQ509" t="s">
        <v>74</v>
      </c>
      <c r="BR509" t="s">
        <v>105</v>
      </c>
      <c r="BS509" t="s">
        <v>9901</v>
      </c>
      <c r="BT509" t="str">
        <f>HYPERLINK("https%3A%2F%2Fwww.webofscience.com%2Fwos%2Fwoscc%2Ffull-record%2FWOS:000439509000001","View Full Record in Web of Science")</f>
        <v>View Full Record in Web of Science</v>
      </c>
    </row>
    <row r="510" spans="1:72" x14ac:dyDescent="0.15">
      <c r="A510" t="s">
        <v>1921</v>
      </c>
      <c r="B510" t="s">
        <v>3492</v>
      </c>
      <c r="C510" t="s">
        <v>74</v>
      </c>
      <c r="D510" t="s">
        <v>3492</v>
      </c>
      <c r="E510" t="s">
        <v>74</v>
      </c>
      <c r="F510" t="s">
        <v>9902</v>
      </c>
      <c r="G510" t="s">
        <v>74</v>
      </c>
      <c r="H510" t="s">
        <v>74</v>
      </c>
      <c r="I510" t="s">
        <v>9903</v>
      </c>
      <c r="J510" t="s">
        <v>3494</v>
      </c>
      <c r="K510" t="s">
        <v>3495</v>
      </c>
      <c r="L510" t="s">
        <v>74</v>
      </c>
      <c r="M510" t="s">
        <v>78</v>
      </c>
      <c r="N510" t="s">
        <v>9896</v>
      </c>
      <c r="O510" t="s">
        <v>74</v>
      </c>
      <c r="P510" t="s">
        <v>74</v>
      </c>
      <c r="Q510" t="s">
        <v>74</v>
      </c>
      <c r="R510" t="s">
        <v>74</v>
      </c>
      <c r="S510" t="s">
        <v>74</v>
      </c>
      <c r="T510" t="s">
        <v>74</v>
      </c>
      <c r="U510" t="s">
        <v>74</v>
      </c>
      <c r="V510" t="s">
        <v>74</v>
      </c>
      <c r="W510" t="s">
        <v>9904</v>
      </c>
      <c r="X510" t="s">
        <v>9905</v>
      </c>
      <c r="Y510" t="s">
        <v>9906</v>
      </c>
      <c r="Z510" t="s">
        <v>74</v>
      </c>
      <c r="AA510" t="s">
        <v>9907</v>
      </c>
      <c r="AB510" t="s">
        <v>3648</v>
      </c>
      <c r="AC510" t="s">
        <v>74</v>
      </c>
      <c r="AD510" t="s">
        <v>74</v>
      </c>
      <c r="AE510" t="s">
        <v>74</v>
      </c>
      <c r="AF510" t="s">
        <v>74</v>
      </c>
      <c r="AG510">
        <v>0</v>
      </c>
      <c r="AH510">
        <v>0</v>
      </c>
      <c r="AI510">
        <v>0</v>
      </c>
      <c r="AJ510">
        <v>0</v>
      </c>
      <c r="AK510">
        <v>0</v>
      </c>
      <c r="AL510" t="s">
        <v>3497</v>
      </c>
      <c r="AM510" t="s">
        <v>3498</v>
      </c>
      <c r="AN510" t="s">
        <v>3499</v>
      </c>
      <c r="AO510" t="s">
        <v>3500</v>
      </c>
      <c r="AP510" t="s">
        <v>74</v>
      </c>
      <c r="AQ510" t="s">
        <v>3501</v>
      </c>
      <c r="AR510" t="s">
        <v>3502</v>
      </c>
      <c r="AS510" t="s">
        <v>74</v>
      </c>
      <c r="AT510" t="s">
        <v>74</v>
      </c>
      <c r="AU510">
        <v>2017</v>
      </c>
      <c r="AV510">
        <v>3</v>
      </c>
      <c r="AW510" t="s">
        <v>74</v>
      </c>
      <c r="AX510" t="s">
        <v>74</v>
      </c>
      <c r="AY510" t="s">
        <v>74</v>
      </c>
      <c r="AZ510" t="s">
        <v>74</v>
      </c>
      <c r="BA510" t="s">
        <v>74</v>
      </c>
      <c r="BB510" t="s">
        <v>9908</v>
      </c>
      <c r="BC510" t="s">
        <v>9909</v>
      </c>
      <c r="BD510" t="s">
        <v>74</v>
      </c>
      <c r="BE510" t="s">
        <v>74</v>
      </c>
      <c r="BF510" t="s">
        <v>74</v>
      </c>
      <c r="BG510" t="s">
        <v>3503</v>
      </c>
      <c r="BH510" t="s">
        <v>74</v>
      </c>
      <c r="BI510">
        <v>2</v>
      </c>
      <c r="BJ510" t="s">
        <v>3504</v>
      </c>
      <c r="BK510" t="s">
        <v>2084</v>
      </c>
      <c r="BL510" t="s">
        <v>3505</v>
      </c>
      <c r="BM510" t="s">
        <v>3506</v>
      </c>
      <c r="BN510" t="s">
        <v>74</v>
      </c>
      <c r="BO510" t="s">
        <v>378</v>
      </c>
      <c r="BP510" t="s">
        <v>74</v>
      </c>
      <c r="BQ510" t="s">
        <v>74</v>
      </c>
      <c r="BR510" t="s">
        <v>105</v>
      </c>
      <c r="BS510" t="s">
        <v>9910</v>
      </c>
      <c r="BT510" t="str">
        <f>HYPERLINK("https%3A%2F%2Fwww.webofscience.com%2Fwos%2Fwoscc%2Ffull-record%2FWOS:000439509000002","View Full Record in Web of Science")</f>
        <v>View Full Record in Web of Science</v>
      </c>
    </row>
    <row r="511" spans="1:72" x14ac:dyDescent="0.15">
      <c r="A511" t="s">
        <v>1921</v>
      </c>
      <c r="B511" t="s">
        <v>9911</v>
      </c>
      <c r="C511" t="s">
        <v>74</v>
      </c>
      <c r="D511" t="s">
        <v>3492</v>
      </c>
      <c r="E511" t="s">
        <v>74</v>
      </c>
      <c r="F511" t="s">
        <v>9912</v>
      </c>
      <c r="G511" t="s">
        <v>74</v>
      </c>
      <c r="H511" t="s">
        <v>74</v>
      </c>
      <c r="I511" t="s">
        <v>9913</v>
      </c>
      <c r="J511" t="s">
        <v>3494</v>
      </c>
      <c r="K511" t="s">
        <v>3495</v>
      </c>
      <c r="L511" t="s">
        <v>74</v>
      </c>
      <c r="M511" t="s">
        <v>78</v>
      </c>
      <c r="N511" t="s">
        <v>2067</v>
      </c>
      <c r="O511" t="s">
        <v>74</v>
      </c>
      <c r="P511" t="s">
        <v>74</v>
      </c>
      <c r="Q511" t="s">
        <v>74</v>
      </c>
      <c r="R511" t="s">
        <v>74</v>
      </c>
      <c r="S511" t="s">
        <v>74</v>
      </c>
      <c r="T511" t="s">
        <v>9914</v>
      </c>
      <c r="U511" t="s">
        <v>9915</v>
      </c>
      <c r="V511" t="s">
        <v>9916</v>
      </c>
      <c r="W511" t="s">
        <v>9917</v>
      </c>
      <c r="X511" t="s">
        <v>9918</v>
      </c>
      <c r="Y511" t="s">
        <v>9919</v>
      </c>
      <c r="Z511" t="s">
        <v>9920</v>
      </c>
      <c r="AA511" t="s">
        <v>74</v>
      </c>
      <c r="AB511" t="s">
        <v>74</v>
      </c>
      <c r="AC511" t="s">
        <v>3649</v>
      </c>
      <c r="AD511" t="s">
        <v>3650</v>
      </c>
      <c r="AE511" t="s">
        <v>74</v>
      </c>
      <c r="AF511" t="s">
        <v>74</v>
      </c>
      <c r="AG511">
        <v>178</v>
      </c>
      <c r="AH511">
        <v>15</v>
      </c>
      <c r="AI511">
        <v>17</v>
      </c>
      <c r="AJ511">
        <v>4</v>
      </c>
      <c r="AK511">
        <v>8</v>
      </c>
      <c r="AL511" t="s">
        <v>3497</v>
      </c>
      <c r="AM511" t="s">
        <v>3498</v>
      </c>
      <c r="AN511" t="s">
        <v>3499</v>
      </c>
      <c r="AO511" t="s">
        <v>3500</v>
      </c>
      <c r="AP511" t="s">
        <v>74</v>
      </c>
      <c r="AQ511" t="s">
        <v>3501</v>
      </c>
      <c r="AR511" t="s">
        <v>3502</v>
      </c>
      <c r="AS511" t="s">
        <v>74</v>
      </c>
      <c r="AT511" t="s">
        <v>74</v>
      </c>
      <c r="AU511">
        <v>2017</v>
      </c>
      <c r="AV511">
        <v>3</v>
      </c>
      <c r="AW511" t="s">
        <v>74</v>
      </c>
      <c r="AX511" t="s">
        <v>74</v>
      </c>
      <c r="AY511" t="s">
        <v>74</v>
      </c>
      <c r="AZ511" t="s">
        <v>74</v>
      </c>
      <c r="BA511" t="s">
        <v>74</v>
      </c>
      <c r="BB511">
        <v>253</v>
      </c>
      <c r="BC511">
        <v>286</v>
      </c>
      <c r="BD511" t="s">
        <v>74</v>
      </c>
      <c r="BE511" t="s">
        <v>9921</v>
      </c>
      <c r="BF511" t="str">
        <f>HYPERLINK("http://dx.doi.org/10.1007/978-3-319-55893-6_12","http://dx.doi.org/10.1007/978-3-319-55893-6_12")</f>
        <v>http://dx.doi.org/10.1007/978-3-319-55893-6_12</v>
      </c>
      <c r="BG511" t="s">
        <v>3503</v>
      </c>
      <c r="BH511" t="s">
        <v>74</v>
      </c>
      <c r="BI511">
        <v>34</v>
      </c>
      <c r="BJ511" t="s">
        <v>3504</v>
      </c>
      <c r="BK511" t="s">
        <v>2084</v>
      </c>
      <c r="BL511" t="s">
        <v>3505</v>
      </c>
      <c r="BM511" t="s">
        <v>3506</v>
      </c>
      <c r="BN511" t="s">
        <v>74</v>
      </c>
      <c r="BO511" t="s">
        <v>378</v>
      </c>
      <c r="BP511" t="s">
        <v>74</v>
      </c>
      <c r="BQ511" t="s">
        <v>74</v>
      </c>
      <c r="BR511" t="s">
        <v>105</v>
      </c>
      <c r="BS511" t="s">
        <v>9922</v>
      </c>
      <c r="BT511" t="str">
        <f>HYPERLINK("https%3A%2F%2Fwww.webofscience.com%2Fwos%2Fwoscc%2Ffull-record%2FWOS:000439509000014","View Full Record in Web of Science")</f>
        <v>View Full Record in Web of Science</v>
      </c>
    </row>
    <row r="512" spans="1:72" x14ac:dyDescent="0.15">
      <c r="A512" t="s">
        <v>72</v>
      </c>
      <c r="B512" t="s">
        <v>9923</v>
      </c>
      <c r="C512" t="s">
        <v>74</v>
      </c>
      <c r="D512" t="s">
        <v>74</v>
      </c>
      <c r="E512" t="s">
        <v>74</v>
      </c>
      <c r="F512" t="s">
        <v>9924</v>
      </c>
      <c r="G512" t="s">
        <v>74</v>
      </c>
      <c r="H512" t="s">
        <v>74</v>
      </c>
      <c r="I512" t="s">
        <v>9925</v>
      </c>
      <c r="J512" t="s">
        <v>9926</v>
      </c>
      <c r="K512" t="s">
        <v>74</v>
      </c>
      <c r="L512" t="s">
        <v>74</v>
      </c>
      <c r="M512" t="s">
        <v>78</v>
      </c>
      <c r="N512" t="s">
        <v>79</v>
      </c>
      <c r="O512" t="s">
        <v>74</v>
      </c>
      <c r="P512" t="s">
        <v>74</v>
      </c>
      <c r="Q512" t="s">
        <v>74</v>
      </c>
      <c r="R512" t="s">
        <v>74</v>
      </c>
      <c r="S512" t="s">
        <v>74</v>
      </c>
      <c r="T512" t="s">
        <v>9927</v>
      </c>
      <c r="U512" t="s">
        <v>9928</v>
      </c>
      <c r="V512" t="s">
        <v>9929</v>
      </c>
      <c r="W512" t="s">
        <v>9930</v>
      </c>
      <c r="X512" t="s">
        <v>9931</v>
      </c>
      <c r="Y512" t="s">
        <v>9932</v>
      </c>
      <c r="Z512" t="s">
        <v>9933</v>
      </c>
      <c r="AA512" t="s">
        <v>9934</v>
      </c>
      <c r="AB512" t="s">
        <v>9935</v>
      </c>
      <c r="AC512" t="s">
        <v>9936</v>
      </c>
      <c r="AD512" t="s">
        <v>9937</v>
      </c>
      <c r="AE512" t="s">
        <v>9938</v>
      </c>
      <c r="AF512" t="s">
        <v>74</v>
      </c>
      <c r="AG512">
        <v>38</v>
      </c>
      <c r="AH512">
        <v>21</v>
      </c>
      <c r="AI512">
        <v>21</v>
      </c>
      <c r="AJ512">
        <v>2</v>
      </c>
      <c r="AK512">
        <v>28</v>
      </c>
      <c r="AL512" t="s">
        <v>211</v>
      </c>
      <c r="AM512" t="s">
        <v>187</v>
      </c>
      <c r="AN512" t="s">
        <v>2131</v>
      </c>
      <c r="AO512" t="s">
        <v>9939</v>
      </c>
      <c r="AP512" t="s">
        <v>9940</v>
      </c>
      <c r="AQ512" t="s">
        <v>74</v>
      </c>
      <c r="AR512" t="s">
        <v>9941</v>
      </c>
      <c r="AS512" t="s">
        <v>9942</v>
      </c>
      <c r="AT512" t="s">
        <v>2136</v>
      </c>
      <c r="AU512">
        <v>2017</v>
      </c>
      <c r="AV512">
        <v>101</v>
      </c>
      <c r="AW512">
        <v>2</v>
      </c>
      <c r="AX512" t="s">
        <v>74</v>
      </c>
      <c r="AY512" t="s">
        <v>74</v>
      </c>
      <c r="AZ512" t="s">
        <v>74</v>
      </c>
      <c r="BA512" t="s">
        <v>74</v>
      </c>
      <c r="BB512">
        <v>725</v>
      </c>
      <c r="BC512">
        <v>734</v>
      </c>
      <c r="BD512" t="s">
        <v>74</v>
      </c>
      <c r="BE512" t="s">
        <v>9943</v>
      </c>
      <c r="BF512" t="str">
        <f>HYPERLINK("http://dx.doi.org/10.1007/s00253-016-7942-5","http://dx.doi.org/10.1007/s00253-016-7942-5")</f>
        <v>http://dx.doi.org/10.1007/s00253-016-7942-5</v>
      </c>
      <c r="BG512" t="s">
        <v>74</v>
      </c>
      <c r="BH512" t="s">
        <v>74</v>
      </c>
      <c r="BI512">
        <v>10</v>
      </c>
      <c r="BJ512" t="s">
        <v>4899</v>
      </c>
      <c r="BK512" t="s">
        <v>101</v>
      </c>
      <c r="BL512" t="s">
        <v>4899</v>
      </c>
      <c r="BM512" t="s">
        <v>9944</v>
      </c>
      <c r="BN512">
        <v>27796433</v>
      </c>
      <c r="BO512" t="s">
        <v>74</v>
      </c>
      <c r="BP512" t="s">
        <v>74</v>
      </c>
      <c r="BQ512" t="s">
        <v>74</v>
      </c>
      <c r="BR512" t="s">
        <v>105</v>
      </c>
      <c r="BS512" t="s">
        <v>9945</v>
      </c>
      <c r="BT512" t="str">
        <f>HYPERLINK("https%3A%2F%2Fwww.webofscience.com%2Fwos%2Fwoscc%2Ffull-record%2FWOS:000392060500021","View Full Record in Web of Science")</f>
        <v>View Full Record in Web of Science</v>
      </c>
    </row>
    <row r="513" spans="1:72" x14ac:dyDescent="0.15">
      <c r="A513" t="s">
        <v>1921</v>
      </c>
      <c r="B513" t="s">
        <v>9946</v>
      </c>
      <c r="C513" t="s">
        <v>74</v>
      </c>
      <c r="D513" t="s">
        <v>9947</v>
      </c>
      <c r="E513" t="s">
        <v>74</v>
      </c>
      <c r="F513" t="s">
        <v>9948</v>
      </c>
      <c r="G513" t="s">
        <v>74</v>
      </c>
      <c r="H513" t="s">
        <v>74</v>
      </c>
      <c r="I513" t="s">
        <v>9949</v>
      </c>
      <c r="J513" t="s">
        <v>9950</v>
      </c>
      <c r="K513" t="s">
        <v>9951</v>
      </c>
      <c r="L513" t="s">
        <v>74</v>
      </c>
      <c r="M513" t="s">
        <v>78</v>
      </c>
      <c r="N513" t="s">
        <v>2067</v>
      </c>
      <c r="O513" t="s">
        <v>74</v>
      </c>
      <c r="P513" t="s">
        <v>74</v>
      </c>
      <c r="Q513" t="s">
        <v>74</v>
      </c>
      <c r="R513" t="s">
        <v>74</v>
      </c>
      <c r="S513" t="s">
        <v>74</v>
      </c>
      <c r="T513" t="s">
        <v>9952</v>
      </c>
      <c r="U513" t="s">
        <v>9953</v>
      </c>
      <c r="V513" t="s">
        <v>9954</v>
      </c>
      <c r="W513" t="s">
        <v>9955</v>
      </c>
      <c r="X513" t="s">
        <v>9956</v>
      </c>
      <c r="Y513" t="s">
        <v>9957</v>
      </c>
      <c r="Z513" t="s">
        <v>9958</v>
      </c>
      <c r="AA513" t="s">
        <v>74</v>
      </c>
      <c r="AB513" t="s">
        <v>74</v>
      </c>
      <c r="AC513" t="s">
        <v>74</v>
      </c>
      <c r="AD513" t="s">
        <v>74</v>
      </c>
      <c r="AE513" t="s">
        <v>74</v>
      </c>
      <c r="AF513" t="s">
        <v>74</v>
      </c>
      <c r="AG513">
        <v>84</v>
      </c>
      <c r="AH513">
        <v>17</v>
      </c>
      <c r="AI513">
        <v>18</v>
      </c>
      <c r="AJ513">
        <v>2</v>
      </c>
      <c r="AK513">
        <v>3</v>
      </c>
      <c r="AL513" t="s">
        <v>211</v>
      </c>
      <c r="AM513" t="s">
        <v>212</v>
      </c>
      <c r="AN513" t="s">
        <v>3862</v>
      </c>
      <c r="AO513" t="s">
        <v>9959</v>
      </c>
      <c r="AP513" t="s">
        <v>9960</v>
      </c>
      <c r="AQ513" t="s">
        <v>9961</v>
      </c>
      <c r="AR513" t="s">
        <v>9962</v>
      </c>
      <c r="AS513" t="s">
        <v>74</v>
      </c>
      <c r="AT513" t="s">
        <v>74</v>
      </c>
      <c r="AU513">
        <v>2017</v>
      </c>
      <c r="AV513" t="s">
        <v>74</v>
      </c>
      <c r="AW513" t="s">
        <v>74</v>
      </c>
      <c r="AX513" t="s">
        <v>74</v>
      </c>
      <c r="AY513" t="s">
        <v>74</v>
      </c>
      <c r="AZ513" t="s">
        <v>74</v>
      </c>
      <c r="BA513" t="s">
        <v>74</v>
      </c>
      <c r="BB513">
        <v>3</v>
      </c>
      <c r="BC513">
        <v>21</v>
      </c>
      <c r="BD513" t="s">
        <v>74</v>
      </c>
      <c r="BE513" t="s">
        <v>9963</v>
      </c>
      <c r="BF513" t="str">
        <f>HYPERLINK("http://dx.doi.org/10.1007/978-94-024-1101-0_1","http://dx.doi.org/10.1007/978-94-024-1101-0_1")</f>
        <v>http://dx.doi.org/10.1007/978-94-024-1101-0_1</v>
      </c>
      <c r="BG513" t="s">
        <v>9964</v>
      </c>
      <c r="BH513" t="s">
        <v>74</v>
      </c>
      <c r="BI513">
        <v>19</v>
      </c>
      <c r="BJ513" t="s">
        <v>9965</v>
      </c>
      <c r="BK513" t="s">
        <v>2084</v>
      </c>
      <c r="BL513" t="s">
        <v>9966</v>
      </c>
      <c r="BM513" t="s">
        <v>9967</v>
      </c>
      <c r="BN513" t="s">
        <v>74</v>
      </c>
      <c r="BO513" t="s">
        <v>74</v>
      </c>
      <c r="BP513" t="s">
        <v>74</v>
      </c>
      <c r="BQ513" t="s">
        <v>74</v>
      </c>
      <c r="BR513" t="s">
        <v>105</v>
      </c>
      <c r="BS513" t="s">
        <v>9968</v>
      </c>
      <c r="BT513" t="str">
        <f>HYPERLINK("https%3A%2F%2Fwww.webofscience.com%2Fwos%2Fwoscc%2Ffull-record%2FWOS:000468016700002","View Full Record in Web of Science")</f>
        <v>View Full Record in Web of Science</v>
      </c>
    </row>
    <row r="514" spans="1:72" x14ac:dyDescent="0.15">
      <c r="A514" t="s">
        <v>1921</v>
      </c>
      <c r="B514" t="s">
        <v>9969</v>
      </c>
      <c r="C514" t="s">
        <v>74</v>
      </c>
      <c r="D514" t="s">
        <v>9947</v>
      </c>
      <c r="E514" t="s">
        <v>74</v>
      </c>
      <c r="F514" t="s">
        <v>9970</v>
      </c>
      <c r="G514" t="s">
        <v>74</v>
      </c>
      <c r="H514" t="s">
        <v>74</v>
      </c>
      <c r="I514" t="s">
        <v>9971</v>
      </c>
      <c r="J514" t="s">
        <v>9950</v>
      </c>
      <c r="K514" t="s">
        <v>9951</v>
      </c>
      <c r="L514" t="s">
        <v>74</v>
      </c>
      <c r="M514" t="s">
        <v>78</v>
      </c>
      <c r="N514" t="s">
        <v>2067</v>
      </c>
      <c r="O514" t="s">
        <v>74</v>
      </c>
      <c r="P514" t="s">
        <v>74</v>
      </c>
      <c r="Q514" t="s">
        <v>74</v>
      </c>
      <c r="R514" t="s">
        <v>74</v>
      </c>
      <c r="S514" t="s">
        <v>74</v>
      </c>
      <c r="T514" t="s">
        <v>9972</v>
      </c>
      <c r="U514" t="s">
        <v>9973</v>
      </c>
      <c r="V514" t="s">
        <v>9974</v>
      </c>
      <c r="W514" t="s">
        <v>9975</v>
      </c>
      <c r="X514" t="s">
        <v>9976</v>
      </c>
      <c r="Y514" t="s">
        <v>9977</v>
      </c>
      <c r="Z514" t="s">
        <v>9978</v>
      </c>
      <c r="AA514" t="s">
        <v>74</v>
      </c>
      <c r="AB514" t="s">
        <v>74</v>
      </c>
      <c r="AC514" t="s">
        <v>74</v>
      </c>
      <c r="AD514" t="s">
        <v>74</v>
      </c>
      <c r="AE514" t="s">
        <v>74</v>
      </c>
      <c r="AF514" t="s">
        <v>74</v>
      </c>
      <c r="AG514">
        <v>229</v>
      </c>
      <c r="AH514">
        <v>11</v>
      </c>
      <c r="AI514">
        <v>12</v>
      </c>
      <c r="AJ514">
        <v>0</v>
      </c>
      <c r="AK514">
        <v>0</v>
      </c>
      <c r="AL514" t="s">
        <v>211</v>
      </c>
      <c r="AM514" t="s">
        <v>212</v>
      </c>
      <c r="AN514" t="s">
        <v>3862</v>
      </c>
      <c r="AO514" t="s">
        <v>9959</v>
      </c>
      <c r="AP514" t="s">
        <v>9960</v>
      </c>
      <c r="AQ514" t="s">
        <v>9961</v>
      </c>
      <c r="AR514" t="s">
        <v>9962</v>
      </c>
      <c r="AS514" t="s">
        <v>74</v>
      </c>
      <c r="AT514" t="s">
        <v>74</v>
      </c>
      <c r="AU514">
        <v>2017</v>
      </c>
      <c r="AV514" t="s">
        <v>74</v>
      </c>
      <c r="AW514" t="s">
        <v>74</v>
      </c>
      <c r="AX514" t="s">
        <v>74</v>
      </c>
      <c r="AY514" t="s">
        <v>74</v>
      </c>
      <c r="AZ514" t="s">
        <v>74</v>
      </c>
      <c r="BA514" t="s">
        <v>74</v>
      </c>
      <c r="BB514">
        <v>149</v>
      </c>
      <c r="BC514">
        <v>183</v>
      </c>
      <c r="BD514" t="s">
        <v>74</v>
      </c>
      <c r="BE514" t="s">
        <v>9979</v>
      </c>
      <c r="BF514" t="str">
        <f>HYPERLINK("http://dx.doi.org/10.1007/978-94-024-1101-0_6","http://dx.doi.org/10.1007/978-94-024-1101-0_6")</f>
        <v>http://dx.doi.org/10.1007/978-94-024-1101-0_6</v>
      </c>
      <c r="BG514" t="s">
        <v>9964</v>
      </c>
      <c r="BH514" t="s">
        <v>74</v>
      </c>
      <c r="BI514">
        <v>35</v>
      </c>
      <c r="BJ514" t="s">
        <v>9965</v>
      </c>
      <c r="BK514" t="s">
        <v>2084</v>
      </c>
      <c r="BL514" t="s">
        <v>9966</v>
      </c>
      <c r="BM514" t="s">
        <v>9967</v>
      </c>
      <c r="BN514" t="s">
        <v>74</v>
      </c>
      <c r="BO514" t="s">
        <v>74</v>
      </c>
      <c r="BP514" t="s">
        <v>74</v>
      </c>
      <c r="BQ514" t="s">
        <v>74</v>
      </c>
      <c r="BR514" t="s">
        <v>105</v>
      </c>
      <c r="BS514" t="s">
        <v>9980</v>
      </c>
      <c r="BT514" t="str">
        <f>HYPERLINK("https%3A%2F%2Fwww.webofscience.com%2Fwos%2Fwoscc%2Ffull-record%2FWOS:000468016700007","View Full Record in Web of Science")</f>
        <v>View Full Record in Web of Science</v>
      </c>
    </row>
    <row r="515" spans="1:72" x14ac:dyDescent="0.15">
      <c r="A515" t="s">
        <v>1921</v>
      </c>
      <c r="B515" t="s">
        <v>9981</v>
      </c>
      <c r="C515" t="s">
        <v>74</v>
      </c>
      <c r="D515" t="s">
        <v>9947</v>
      </c>
      <c r="E515" t="s">
        <v>74</v>
      </c>
      <c r="F515" t="s">
        <v>9982</v>
      </c>
      <c r="G515" t="s">
        <v>74</v>
      </c>
      <c r="H515" t="s">
        <v>74</v>
      </c>
      <c r="I515" t="s">
        <v>9983</v>
      </c>
      <c r="J515" t="s">
        <v>9950</v>
      </c>
      <c r="K515" t="s">
        <v>9951</v>
      </c>
      <c r="L515" t="s">
        <v>74</v>
      </c>
      <c r="M515" t="s">
        <v>78</v>
      </c>
      <c r="N515" t="s">
        <v>2067</v>
      </c>
      <c r="O515" t="s">
        <v>74</v>
      </c>
      <c r="P515" t="s">
        <v>74</v>
      </c>
      <c r="Q515" t="s">
        <v>74</v>
      </c>
      <c r="R515" t="s">
        <v>74</v>
      </c>
      <c r="S515" t="s">
        <v>74</v>
      </c>
      <c r="T515" t="s">
        <v>9984</v>
      </c>
      <c r="U515" t="s">
        <v>9985</v>
      </c>
      <c r="V515" t="s">
        <v>9986</v>
      </c>
      <c r="W515" t="s">
        <v>9987</v>
      </c>
      <c r="X515" t="s">
        <v>9988</v>
      </c>
      <c r="Y515" t="s">
        <v>9989</v>
      </c>
      <c r="Z515" t="s">
        <v>9990</v>
      </c>
      <c r="AA515" t="s">
        <v>74</v>
      </c>
      <c r="AB515" t="s">
        <v>74</v>
      </c>
      <c r="AC515" t="s">
        <v>74</v>
      </c>
      <c r="AD515" t="s">
        <v>74</v>
      </c>
      <c r="AE515" t="s">
        <v>74</v>
      </c>
      <c r="AF515" t="s">
        <v>74</v>
      </c>
      <c r="AG515">
        <v>92</v>
      </c>
      <c r="AH515">
        <v>2</v>
      </c>
      <c r="AI515">
        <v>2</v>
      </c>
      <c r="AJ515">
        <v>0</v>
      </c>
      <c r="AK515">
        <v>2</v>
      </c>
      <c r="AL515" t="s">
        <v>211</v>
      </c>
      <c r="AM515" t="s">
        <v>212</v>
      </c>
      <c r="AN515" t="s">
        <v>3862</v>
      </c>
      <c r="AO515" t="s">
        <v>9959</v>
      </c>
      <c r="AP515" t="s">
        <v>9960</v>
      </c>
      <c r="AQ515" t="s">
        <v>9961</v>
      </c>
      <c r="AR515" t="s">
        <v>9962</v>
      </c>
      <c r="AS515" t="s">
        <v>74</v>
      </c>
      <c r="AT515" t="s">
        <v>74</v>
      </c>
      <c r="AU515">
        <v>2017</v>
      </c>
      <c r="AV515" t="s">
        <v>74</v>
      </c>
      <c r="AW515" t="s">
        <v>74</v>
      </c>
      <c r="AX515" t="s">
        <v>74</v>
      </c>
      <c r="AY515" t="s">
        <v>74</v>
      </c>
      <c r="AZ515" t="s">
        <v>74</v>
      </c>
      <c r="BA515" t="s">
        <v>74</v>
      </c>
      <c r="BB515">
        <v>207</v>
      </c>
      <c r="BC515">
        <v>226</v>
      </c>
      <c r="BD515" t="s">
        <v>74</v>
      </c>
      <c r="BE515" t="s">
        <v>9991</v>
      </c>
      <c r="BF515" t="str">
        <f>HYPERLINK("http://dx.doi.org/10.1007/978-94-024-1101-0_8","http://dx.doi.org/10.1007/978-94-024-1101-0_8")</f>
        <v>http://dx.doi.org/10.1007/978-94-024-1101-0_8</v>
      </c>
      <c r="BG515" t="s">
        <v>9964</v>
      </c>
      <c r="BH515" t="s">
        <v>74</v>
      </c>
      <c r="BI515">
        <v>20</v>
      </c>
      <c r="BJ515" t="s">
        <v>9965</v>
      </c>
      <c r="BK515" t="s">
        <v>2084</v>
      </c>
      <c r="BL515" t="s">
        <v>9966</v>
      </c>
      <c r="BM515" t="s">
        <v>9967</v>
      </c>
      <c r="BN515" t="s">
        <v>74</v>
      </c>
      <c r="BO515" t="s">
        <v>74</v>
      </c>
      <c r="BP515" t="s">
        <v>74</v>
      </c>
      <c r="BQ515" t="s">
        <v>74</v>
      </c>
      <c r="BR515" t="s">
        <v>105</v>
      </c>
      <c r="BS515" t="s">
        <v>9992</v>
      </c>
      <c r="BT515" t="str">
        <f>HYPERLINK("https%3A%2F%2Fwww.webofscience.com%2Fwos%2Fwoscc%2Ffull-record%2FWOS:000468016700009","View Full Record in Web of Science")</f>
        <v>View Full Record in Web of Science</v>
      </c>
    </row>
    <row r="516" spans="1:72" x14ac:dyDescent="0.15">
      <c r="A516" t="s">
        <v>1921</v>
      </c>
      <c r="B516" t="s">
        <v>9993</v>
      </c>
      <c r="C516" t="s">
        <v>74</v>
      </c>
      <c r="D516" t="s">
        <v>9947</v>
      </c>
      <c r="E516" t="s">
        <v>74</v>
      </c>
      <c r="F516" t="s">
        <v>9994</v>
      </c>
      <c r="G516" t="s">
        <v>74</v>
      </c>
      <c r="H516" t="s">
        <v>74</v>
      </c>
      <c r="I516" t="s">
        <v>9995</v>
      </c>
      <c r="J516" t="s">
        <v>9950</v>
      </c>
      <c r="K516" t="s">
        <v>9951</v>
      </c>
      <c r="L516" t="s">
        <v>74</v>
      </c>
      <c r="M516" t="s">
        <v>78</v>
      </c>
      <c r="N516" t="s">
        <v>2067</v>
      </c>
      <c r="O516" t="s">
        <v>74</v>
      </c>
      <c r="P516" t="s">
        <v>74</v>
      </c>
      <c r="Q516" t="s">
        <v>74</v>
      </c>
      <c r="R516" t="s">
        <v>74</v>
      </c>
      <c r="S516" t="s">
        <v>74</v>
      </c>
      <c r="T516" t="s">
        <v>9996</v>
      </c>
      <c r="U516" t="s">
        <v>9997</v>
      </c>
      <c r="V516" t="s">
        <v>9998</v>
      </c>
      <c r="W516" t="s">
        <v>9999</v>
      </c>
      <c r="X516" t="s">
        <v>10000</v>
      </c>
      <c r="Y516" t="s">
        <v>10001</v>
      </c>
      <c r="Z516" t="s">
        <v>10002</v>
      </c>
      <c r="AA516" t="s">
        <v>10003</v>
      </c>
      <c r="AB516" t="s">
        <v>10004</v>
      </c>
      <c r="AC516" t="s">
        <v>74</v>
      </c>
      <c r="AD516" t="s">
        <v>74</v>
      </c>
      <c r="AE516" t="s">
        <v>74</v>
      </c>
      <c r="AF516" t="s">
        <v>74</v>
      </c>
      <c r="AG516">
        <v>107</v>
      </c>
      <c r="AH516">
        <v>7</v>
      </c>
      <c r="AI516">
        <v>10</v>
      </c>
      <c r="AJ516">
        <v>1</v>
      </c>
      <c r="AK516">
        <v>4</v>
      </c>
      <c r="AL516" t="s">
        <v>211</v>
      </c>
      <c r="AM516" t="s">
        <v>212</v>
      </c>
      <c r="AN516" t="s">
        <v>3862</v>
      </c>
      <c r="AO516" t="s">
        <v>9959</v>
      </c>
      <c r="AP516" t="s">
        <v>9960</v>
      </c>
      <c r="AQ516" t="s">
        <v>9961</v>
      </c>
      <c r="AR516" t="s">
        <v>9962</v>
      </c>
      <c r="AS516" t="s">
        <v>74</v>
      </c>
      <c r="AT516" t="s">
        <v>74</v>
      </c>
      <c r="AU516">
        <v>2017</v>
      </c>
      <c r="AV516" t="s">
        <v>74</v>
      </c>
      <c r="AW516" t="s">
        <v>74</v>
      </c>
      <c r="AX516" t="s">
        <v>74</v>
      </c>
      <c r="AY516" t="s">
        <v>74</v>
      </c>
      <c r="AZ516" t="s">
        <v>74</v>
      </c>
      <c r="BA516" t="s">
        <v>74</v>
      </c>
      <c r="BB516">
        <v>227</v>
      </c>
      <c r="BC516">
        <v>260</v>
      </c>
      <c r="BD516" t="s">
        <v>74</v>
      </c>
      <c r="BE516" t="s">
        <v>10005</v>
      </c>
      <c r="BF516" t="str">
        <f>HYPERLINK("http://dx.doi.org/10.1007/978-94-024-1101-0_9","http://dx.doi.org/10.1007/978-94-024-1101-0_9")</f>
        <v>http://dx.doi.org/10.1007/978-94-024-1101-0_9</v>
      </c>
      <c r="BG516" t="s">
        <v>9964</v>
      </c>
      <c r="BH516" t="s">
        <v>74</v>
      </c>
      <c r="BI516">
        <v>34</v>
      </c>
      <c r="BJ516" t="s">
        <v>9965</v>
      </c>
      <c r="BK516" t="s">
        <v>2084</v>
      </c>
      <c r="BL516" t="s">
        <v>9966</v>
      </c>
      <c r="BM516" t="s">
        <v>9967</v>
      </c>
      <c r="BN516" t="s">
        <v>74</v>
      </c>
      <c r="BO516" t="s">
        <v>74</v>
      </c>
      <c r="BP516" t="s">
        <v>74</v>
      </c>
      <c r="BQ516" t="s">
        <v>74</v>
      </c>
      <c r="BR516" t="s">
        <v>105</v>
      </c>
      <c r="BS516" t="s">
        <v>10006</v>
      </c>
      <c r="BT516" t="str">
        <f>HYPERLINK("https%3A%2F%2Fwww.webofscience.com%2Fwos%2Fwoscc%2Ffull-record%2FWOS:000468016700010","View Full Record in Web of Science")</f>
        <v>View Full Record in Web of Science</v>
      </c>
    </row>
    <row r="517" spans="1:72" x14ac:dyDescent="0.15">
      <c r="A517" t="s">
        <v>1921</v>
      </c>
      <c r="B517" t="s">
        <v>10007</v>
      </c>
      <c r="C517" t="s">
        <v>74</v>
      </c>
      <c r="D517" t="s">
        <v>9947</v>
      </c>
      <c r="E517" t="s">
        <v>74</v>
      </c>
      <c r="F517" t="s">
        <v>10008</v>
      </c>
      <c r="G517" t="s">
        <v>74</v>
      </c>
      <c r="H517" t="s">
        <v>74</v>
      </c>
      <c r="I517" t="s">
        <v>10009</v>
      </c>
      <c r="J517" t="s">
        <v>9950</v>
      </c>
      <c r="K517" t="s">
        <v>9951</v>
      </c>
      <c r="L517" t="s">
        <v>74</v>
      </c>
      <c r="M517" t="s">
        <v>78</v>
      </c>
      <c r="N517" t="s">
        <v>2067</v>
      </c>
      <c r="O517" t="s">
        <v>74</v>
      </c>
      <c r="P517" t="s">
        <v>74</v>
      </c>
      <c r="Q517" t="s">
        <v>74</v>
      </c>
      <c r="R517" t="s">
        <v>74</v>
      </c>
      <c r="S517" t="s">
        <v>74</v>
      </c>
      <c r="T517" t="s">
        <v>10010</v>
      </c>
      <c r="U517" t="s">
        <v>10011</v>
      </c>
      <c r="V517" t="s">
        <v>10012</v>
      </c>
      <c r="W517" t="s">
        <v>10013</v>
      </c>
      <c r="X517" t="s">
        <v>10014</v>
      </c>
      <c r="Y517" t="s">
        <v>10015</v>
      </c>
      <c r="Z517" t="s">
        <v>10016</v>
      </c>
      <c r="AA517" t="s">
        <v>10017</v>
      </c>
      <c r="AB517" t="s">
        <v>74</v>
      </c>
      <c r="AC517" t="s">
        <v>74</v>
      </c>
      <c r="AD517" t="s">
        <v>74</v>
      </c>
      <c r="AE517" t="s">
        <v>74</v>
      </c>
      <c r="AF517" t="s">
        <v>74</v>
      </c>
      <c r="AG517">
        <v>99</v>
      </c>
      <c r="AH517">
        <v>4</v>
      </c>
      <c r="AI517">
        <v>5</v>
      </c>
      <c r="AJ517">
        <v>0</v>
      </c>
      <c r="AK517">
        <v>0</v>
      </c>
      <c r="AL517" t="s">
        <v>211</v>
      </c>
      <c r="AM517" t="s">
        <v>212</v>
      </c>
      <c r="AN517" t="s">
        <v>3862</v>
      </c>
      <c r="AO517" t="s">
        <v>9959</v>
      </c>
      <c r="AP517" t="s">
        <v>9960</v>
      </c>
      <c r="AQ517" t="s">
        <v>9961</v>
      </c>
      <c r="AR517" t="s">
        <v>9962</v>
      </c>
      <c r="AS517" t="s">
        <v>74</v>
      </c>
      <c r="AT517" t="s">
        <v>74</v>
      </c>
      <c r="AU517">
        <v>2017</v>
      </c>
      <c r="AV517" t="s">
        <v>74</v>
      </c>
      <c r="AW517" t="s">
        <v>74</v>
      </c>
      <c r="AX517" t="s">
        <v>74</v>
      </c>
      <c r="AY517" t="s">
        <v>74</v>
      </c>
      <c r="AZ517" t="s">
        <v>74</v>
      </c>
      <c r="BA517" t="s">
        <v>74</v>
      </c>
      <c r="BB517">
        <v>367</v>
      </c>
      <c r="BC517">
        <v>393</v>
      </c>
      <c r="BD517" t="s">
        <v>74</v>
      </c>
      <c r="BE517" t="s">
        <v>10018</v>
      </c>
      <c r="BF517" t="str">
        <f>HYPERLINK("http://dx.doi.org/10.1007/978-94-024-1101-0_14","http://dx.doi.org/10.1007/978-94-024-1101-0_14")</f>
        <v>http://dx.doi.org/10.1007/978-94-024-1101-0_14</v>
      </c>
      <c r="BG517" t="s">
        <v>9964</v>
      </c>
      <c r="BH517" t="s">
        <v>74</v>
      </c>
      <c r="BI517">
        <v>27</v>
      </c>
      <c r="BJ517" t="s">
        <v>9965</v>
      </c>
      <c r="BK517" t="s">
        <v>2084</v>
      </c>
      <c r="BL517" t="s">
        <v>9966</v>
      </c>
      <c r="BM517" t="s">
        <v>9967</v>
      </c>
      <c r="BN517" t="s">
        <v>74</v>
      </c>
      <c r="BO517" t="s">
        <v>74</v>
      </c>
      <c r="BP517" t="s">
        <v>74</v>
      </c>
      <c r="BQ517" t="s">
        <v>74</v>
      </c>
      <c r="BR517" t="s">
        <v>105</v>
      </c>
      <c r="BS517" t="s">
        <v>10019</v>
      </c>
      <c r="BT517" t="str">
        <f>HYPERLINK("https%3A%2F%2Fwww.webofscience.com%2Fwos%2Fwoscc%2Ffull-record%2FWOS:000468016700015","View Full Record in Web of Science")</f>
        <v>View Full Record in Web of Science</v>
      </c>
    </row>
    <row r="518" spans="1:72" x14ac:dyDescent="0.15">
      <c r="A518" t="s">
        <v>2331</v>
      </c>
      <c r="B518" t="s">
        <v>10020</v>
      </c>
      <c r="C518" t="s">
        <v>10021</v>
      </c>
      <c r="D518" t="s">
        <v>74</v>
      </c>
      <c r="E518" t="s">
        <v>74</v>
      </c>
      <c r="F518" t="s">
        <v>10022</v>
      </c>
      <c r="G518" t="s">
        <v>10021</v>
      </c>
      <c r="H518" t="s">
        <v>74</v>
      </c>
      <c r="I518" t="s">
        <v>10023</v>
      </c>
      <c r="J518" t="s">
        <v>10024</v>
      </c>
      <c r="K518" t="s">
        <v>74</v>
      </c>
      <c r="L518" t="s">
        <v>74</v>
      </c>
      <c r="M518" t="s">
        <v>78</v>
      </c>
      <c r="N518" t="s">
        <v>2067</v>
      </c>
      <c r="O518" t="s">
        <v>74</v>
      </c>
      <c r="P518" t="s">
        <v>74</v>
      </c>
      <c r="Q518" t="s">
        <v>74</v>
      </c>
      <c r="R518" t="s">
        <v>74</v>
      </c>
      <c r="S518" t="s">
        <v>74</v>
      </c>
      <c r="T518" t="s">
        <v>74</v>
      </c>
      <c r="U518" t="s">
        <v>10025</v>
      </c>
      <c r="V518" t="s">
        <v>10026</v>
      </c>
      <c r="W518" t="s">
        <v>10027</v>
      </c>
      <c r="X518" t="s">
        <v>10028</v>
      </c>
      <c r="Y518" t="s">
        <v>10029</v>
      </c>
      <c r="Z518" t="s">
        <v>74</v>
      </c>
      <c r="AA518" t="s">
        <v>74</v>
      </c>
      <c r="AB518" t="s">
        <v>10030</v>
      </c>
      <c r="AC518" t="s">
        <v>74</v>
      </c>
      <c r="AD518" t="s">
        <v>74</v>
      </c>
      <c r="AE518" t="s">
        <v>74</v>
      </c>
      <c r="AF518" t="s">
        <v>74</v>
      </c>
      <c r="AG518">
        <v>116</v>
      </c>
      <c r="AH518">
        <v>11</v>
      </c>
      <c r="AI518">
        <v>11</v>
      </c>
      <c r="AJ518">
        <v>1</v>
      </c>
      <c r="AK518">
        <v>13</v>
      </c>
      <c r="AL518" t="s">
        <v>3097</v>
      </c>
      <c r="AM518" t="s">
        <v>1581</v>
      </c>
      <c r="AN518" t="s">
        <v>3208</v>
      </c>
      <c r="AO518" t="s">
        <v>74</v>
      </c>
      <c r="AP518" t="s">
        <v>74</v>
      </c>
      <c r="AQ518" t="s">
        <v>10031</v>
      </c>
      <c r="AR518" t="s">
        <v>74</v>
      </c>
      <c r="AS518" t="s">
        <v>74</v>
      </c>
      <c r="AT518" t="s">
        <v>74</v>
      </c>
      <c r="AU518">
        <v>2017</v>
      </c>
      <c r="AV518" t="s">
        <v>74</v>
      </c>
      <c r="AW518" t="s">
        <v>74</v>
      </c>
      <c r="AX518" t="s">
        <v>74</v>
      </c>
      <c r="AY518" t="s">
        <v>74</v>
      </c>
      <c r="AZ518" t="s">
        <v>74</v>
      </c>
      <c r="BA518" t="s">
        <v>74</v>
      </c>
      <c r="BB518">
        <v>461</v>
      </c>
      <c r="BC518">
        <v>489</v>
      </c>
      <c r="BD518" t="s">
        <v>74</v>
      </c>
      <c r="BE518" t="s">
        <v>74</v>
      </c>
      <c r="BF518" t="s">
        <v>74</v>
      </c>
      <c r="BG518" t="s">
        <v>10032</v>
      </c>
      <c r="BH518" t="s">
        <v>74</v>
      </c>
      <c r="BI518">
        <v>29</v>
      </c>
      <c r="BJ518" t="s">
        <v>10033</v>
      </c>
      <c r="BK518" t="s">
        <v>2084</v>
      </c>
      <c r="BL518" t="s">
        <v>10034</v>
      </c>
      <c r="BM518" t="s">
        <v>10035</v>
      </c>
      <c r="BN518" t="s">
        <v>74</v>
      </c>
      <c r="BO518" t="s">
        <v>74</v>
      </c>
      <c r="BP518" t="s">
        <v>74</v>
      </c>
      <c r="BQ518" t="s">
        <v>74</v>
      </c>
      <c r="BR518" t="s">
        <v>105</v>
      </c>
      <c r="BS518" t="s">
        <v>10036</v>
      </c>
      <c r="BT518" t="str">
        <f>HYPERLINK("https%3A%2F%2Fwww.webofscience.com%2Fwos%2Fwoscc%2Ffull-record%2FWOS:000467950600020","View Full Record in Web of Science")</f>
        <v>View Full Record in Web of Science</v>
      </c>
    </row>
    <row r="519" spans="1:72" x14ac:dyDescent="0.15">
      <c r="A519" t="s">
        <v>1921</v>
      </c>
      <c r="B519" t="s">
        <v>5590</v>
      </c>
      <c r="C519" t="s">
        <v>74</v>
      </c>
      <c r="D519" t="s">
        <v>5590</v>
      </c>
      <c r="E519" t="s">
        <v>74</v>
      </c>
      <c r="F519" t="s">
        <v>10037</v>
      </c>
      <c r="G519" t="s">
        <v>74</v>
      </c>
      <c r="H519" t="s">
        <v>74</v>
      </c>
      <c r="I519" t="s">
        <v>10038</v>
      </c>
      <c r="J519" t="s">
        <v>5593</v>
      </c>
      <c r="K519" t="s">
        <v>5594</v>
      </c>
      <c r="L519" t="s">
        <v>74</v>
      </c>
      <c r="M519" t="s">
        <v>78</v>
      </c>
      <c r="N519" t="s">
        <v>9896</v>
      </c>
      <c r="O519" t="s">
        <v>74</v>
      </c>
      <c r="P519" t="s">
        <v>74</v>
      </c>
      <c r="Q519" t="s">
        <v>74</v>
      </c>
      <c r="R519" t="s">
        <v>74</v>
      </c>
      <c r="S519" t="s">
        <v>74</v>
      </c>
      <c r="T519" t="s">
        <v>74</v>
      </c>
      <c r="U519" t="s">
        <v>10039</v>
      </c>
      <c r="V519" t="s">
        <v>74</v>
      </c>
      <c r="W519" t="s">
        <v>10040</v>
      </c>
      <c r="X519" t="s">
        <v>10041</v>
      </c>
      <c r="Y519" t="s">
        <v>10042</v>
      </c>
      <c r="Z519" t="s">
        <v>10043</v>
      </c>
      <c r="AA519" t="s">
        <v>74</v>
      </c>
      <c r="AB519" t="s">
        <v>74</v>
      </c>
      <c r="AC519" t="s">
        <v>74</v>
      </c>
      <c r="AD519" t="s">
        <v>74</v>
      </c>
      <c r="AE519" t="s">
        <v>74</v>
      </c>
      <c r="AF519" t="s">
        <v>74</v>
      </c>
      <c r="AG519">
        <v>44</v>
      </c>
      <c r="AH519">
        <v>3</v>
      </c>
      <c r="AI519">
        <v>5</v>
      </c>
      <c r="AJ519">
        <v>0</v>
      </c>
      <c r="AK519">
        <v>3</v>
      </c>
      <c r="AL519" t="s">
        <v>3497</v>
      </c>
      <c r="AM519" t="s">
        <v>3498</v>
      </c>
      <c r="AN519" t="s">
        <v>3499</v>
      </c>
      <c r="AO519" t="s">
        <v>5600</v>
      </c>
      <c r="AP519" t="s">
        <v>74</v>
      </c>
      <c r="AQ519" t="s">
        <v>5601</v>
      </c>
      <c r="AR519" t="s">
        <v>5602</v>
      </c>
      <c r="AS519" t="s">
        <v>74</v>
      </c>
      <c r="AT519" t="s">
        <v>74</v>
      </c>
      <c r="AU519">
        <v>2017</v>
      </c>
      <c r="AV519">
        <v>9</v>
      </c>
      <c r="AW519" t="s">
        <v>74</v>
      </c>
      <c r="AX519" t="s">
        <v>74</v>
      </c>
      <c r="AY519" t="s">
        <v>74</v>
      </c>
      <c r="AZ519" t="s">
        <v>74</v>
      </c>
      <c r="BA519" t="s">
        <v>74</v>
      </c>
      <c r="BB519">
        <v>1</v>
      </c>
      <c r="BC519">
        <v>5</v>
      </c>
      <c r="BD519" t="s">
        <v>74</v>
      </c>
      <c r="BE519" t="s">
        <v>10044</v>
      </c>
      <c r="BF519" t="str">
        <f>HYPERLINK("http://dx.doi.org/10.1007/978-3-319-46343-8_1","http://dx.doi.org/10.1007/978-3-319-46343-8_1")</f>
        <v>http://dx.doi.org/10.1007/978-3-319-46343-8_1</v>
      </c>
      <c r="BG519" t="s">
        <v>5604</v>
      </c>
      <c r="BH519" t="s">
        <v>74</v>
      </c>
      <c r="BI519">
        <v>5</v>
      </c>
      <c r="BJ519" t="s">
        <v>5605</v>
      </c>
      <c r="BK519" t="s">
        <v>2084</v>
      </c>
      <c r="BL519" t="s">
        <v>5605</v>
      </c>
      <c r="BM519" t="s">
        <v>5606</v>
      </c>
      <c r="BN519" t="s">
        <v>74</v>
      </c>
      <c r="BO519" t="s">
        <v>74</v>
      </c>
      <c r="BP519" t="s">
        <v>74</v>
      </c>
      <c r="BQ519" t="s">
        <v>74</v>
      </c>
      <c r="BR519" t="s">
        <v>105</v>
      </c>
      <c r="BS519" t="s">
        <v>10045</v>
      </c>
      <c r="BT519" t="str">
        <f>HYPERLINK("https%3A%2F%2Fwww.webofscience.com%2Fwos%2Fwoscc%2Ffull-record%2FWOS:000416895300002","View Full Record in Web of Science")</f>
        <v>View Full Record in Web of Science</v>
      </c>
    </row>
    <row r="520" spans="1:72" x14ac:dyDescent="0.15">
      <c r="A520" t="s">
        <v>72</v>
      </c>
      <c r="B520" t="s">
        <v>10046</v>
      </c>
      <c r="C520" t="s">
        <v>74</v>
      </c>
      <c r="D520" t="s">
        <v>74</v>
      </c>
      <c r="E520" t="s">
        <v>74</v>
      </c>
      <c r="F520" t="s">
        <v>10047</v>
      </c>
      <c r="G520" t="s">
        <v>74</v>
      </c>
      <c r="H520" t="s">
        <v>74</v>
      </c>
      <c r="I520" t="s">
        <v>10048</v>
      </c>
      <c r="J520" t="s">
        <v>10049</v>
      </c>
      <c r="K520" t="s">
        <v>74</v>
      </c>
      <c r="L520" t="s">
        <v>74</v>
      </c>
      <c r="M520" t="s">
        <v>78</v>
      </c>
      <c r="N520" t="s">
        <v>2034</v>
      </c>
      <c r="O520" t="s">
        <v>74</v>
      </c>
      <c r="P520" t="s">
        <v>74</v>
      </c>
      <c r="Q520" t="s">
        <v>74</v>
      </c>
      <c r="R520" t="s">
        <v>74</v>
      </c>
      <c r="S520" t="s">
        <v>74</v>
      </c>
      <c r="T520" t="s">
        <v>10050</v>
      </c>
      <c r="U520" t="s">
        <v>10051</v>
      </c>
      <c r="V520" t="s">
        <v>10052</v>
      </c>
      <c r="W520" t="s">
        <v>10053</v>
      </c>
      <c r="X520" t="s">
        <v>10054</v>
      </c>
      <c r="Y520" t="s">
        <v>10055</v>
      </c>
      <c r="Z520" t="s">
        <v>10056</v>
      </c>
      <c r="AA520" t="s">
        <v>10057</v>
      </c>
      <c r="AB520" t="s">
        <v>10058</v>
      </c>
      <c r="AC520" t="s">
        <v>10059</v>
      </c>
      <c r="AD520" t="s">
        <v>10060</v>
      </c>
      <c r="AE520" t="s">
        <v>10061</v>
      </c>
      <c r="AF520" t="s">
        <v>74</v>
      </c>
      <c r="AG520">
        <v>119</v>
      </c>
      <c r="AH520">
        <v>60</v>
      </c>
      <c r="AI520">
        <v>60</v>
      </c>
      <c r="AJ520">
        <v>2</v>
      </c>
      <c r="AK520">
        <v>32</v>
      </c>
      <c r="AL520" t="s">
        <v>2325</v>
      </c>
      <c r="AM520" t="s">
        <v>292</v>
      </c>
      <c r="AN520" t="s">
        <v>2326</v>
      </c>
      <c r="AO520" t="s">
        <v>10062</v>
      </c>
      <c r="AP520" t="s">
        <v>10063</v>
      </c>
      <c r="AQ520" t="s">
        <v>74</v>
      </c>
      <c r="AR520" t="s">
        <v>10064</v>
      </c>
      <c r="AS520" t="s">
        <v>10065</v>
      </c>
      <c r="AT520" t="s">
        <v>2136</v>
      </c>
      <c r="AU520">
        <v>2017</v>
      </c>
      <c r="AV520">
        <v>205</v>
      </c>
      <c r="AW520" t="s">
        <v>74</v>
      </c>
      <c r="AX520" t="s">
        <v>74</v>
      </c>
      <c r="AY520" t="s">
        <v>74</v>
      </c>
      <c r="AZ520" t="s">
        <v>74</v>
      </c>
      <c r="BA520" t="s">
        <v>74</v>
      </c>
      <c r="BB520">
        <v>60</v>
      </c>
      <c r="BC520">
        <v>76</v>
      </c>
      <c r="BD520" t="s">
        <v>74</v>
      </c>
      <c r="BE520" t="s">
        <v>10066</v>
      </c>
      <c r="BF520" t="str">
        <f>HYPERLINK("http://dx.doi.org/10.1016/j.biocon.2016.11.028","http://dx.doi.org/10.1016/j.biocon.2016.11.028")</f>
        <v>http://dx.doi.org/10.1016/j.biocon.2016.11.028</v>
      </c>
      <c r="BG520" t="s">
        <v>74</v>
      </c>
      <c r="BH520" t="s">
        <v>74</v>
      </c>
      <c r="BI520">
        <v>17</v>
      </c>
      <c r="BJ520" t="s">
        <v>10067</v>
      </c>
      <c r="BK520" t="s">
        <v>101</v>
      </c>
      <c r="BL520" t="s">
        <v>2257</v>
      </c>
      <c r="BM520" t="s">
        <v>10068</v>
      </c>
      <c r="BN520" t="s">
        <v>74</v>
      </c>
      <c r="BO520" t="s">
        <v>1223</v>
      </c>
      <c r="BP520" t="s">
        <v>74</v>
      </c>
      <c r="BQ520" t="s">
        <v>74</v>
      </c>
      <c r="BR520" t="s">
        <v>105</v>
      </c>
      <c r="BS520" t="s">
        <v>10069</v>
      </c>
      <c r="BT520" t="str">
        <f>HYPERLINK("https%3A%2F%2Fwww.webofscience.com%2Fwos%2Fwoscc%2Ffull-record%2FWOS:000392769300008","View Full Record in Web of Science")</f>
        <v>View Full Record in Web of Science</v>
      </c>
    </row>
    <row r="521" spans="1:72" x14ac:dyDescent="0.15">
      <c r="A521" t="s">
        <v>2331</v>
      </c>
      <c r="B521" t="s">
        <v>10070</v>
      </c>
      <c r="C521" t="s">
        <v>10070</v>
      </c>
      <c r="D521" t="s">
        <v>74</v>
      </c>
      <c r="E521" t="s">
        <v>74</v>
      </c>
      <c r="F521" t="s">
        <v>10071</v>
      </c>
      <c r="G521" t="s">
        <v>10070</v>
      </c>
      <c r="H521" t="s">
        <v>74</v>
      </c>
      <c r="I521" t="s">
        <v>10072</v>
      </c>
      <c r="J521" t="s">
        <v>10073</v>
      </c>
      <c r="K521" t="s">
        <v>74</v>
      </c>
      <c r="L521" t="s">
        <v>74</v>
      </c>
      <c r="M521" t="s">
        <v>78</v>
      </c>
      <c r="N521" t="s">
        <v>2067</v>
      </c>
      <c r="O521" t="s">
        <v>74</v>
      </c>
      <c r="P521" t="s">
        <v>74</v>
      </c>
      <c r="Q521" t="s">
        <v>74</v>
      </c>
      <c r="R521" t="s">
        <v>74</v>
      </c>
      <c r="S521" t="s">
        <v>74</v>
      </c>
      <c r="T521" t="s">
        <v>74</v>
      </c>
      <c r="U521" t="s">
        <v>74</v>
      </c>
      <c r="V521" t="s">
        <v>74</v>
      </c>
      <c r="W521" t="s">
        <v>10074</v>
      </c>
      <c r="X521" t="s">
        <v>3372</v>
      </c>
      <c r="Y521" t="s">
        <v>10075</v>
      </c>
      <c r="Z521" t="s">
        <v>74</v>
      </c>
      <c r="AA521" t="s">
        <v>74</v>
      </c>
      <c r="AB521" t="s">
        <v>74</v>
      </c>
      <c r="AC521" t="s">
        <v>74</v>
      </c>
      <c r="AD521" t="s">
        <v>74</v>
      </c>
      <c r="AE521" t="s">
        <v>74</v>
      </c>
      <c r="AF521" t="s">
        <v>74</v>
      </c>
      <c r="AG521">
        <v>30</v>
      </c>
      <c r="AH521">
        <v>0</v>
      </c>
      <c r="AI521">
        <v>0</v>
      </c>
      <c r="AJ521">
        <v>0</v>
      </c>
      <c r="AK521">
        <v>0</v>
      </c>
      <c r="AL521" t="s">
        <v>10076</v>
      </c>
      <c r="AM521" t="s">
        <v>1910</v>
      </c>
      <c r="AN521" t="s">
        <v>10077</v>
      </c>
      <c r="AO521" t="s">
        <v>74</v>
      </c>
      <c r="AP521" t="s">
        <v>74</v>
      </c>
      <c r="AQ521" t="s">
        <v>10078</v>
      </c>
      <c r="AR521" t="s">
        <v>74</v>
      </c>
      <c r="AS521" t="s">
        <v>74</v>
      </c>
      <c r="AT521" t="s">
        <v>74</v>
      </c>
      <c r="AU521">
        <v>2017</v>
      </c>
      <c r="AV521" t="s">
        <v>74</v>
      </c>
      <c r="AW521" t="s">
        <v>74</v>
      </c>
      <c r="AX521" t="s">
        <v>74</v>
      </c>
      <c r="AY521" t="s">
        <v>74</v>
      </c>
      <c r="AZ521" t="s">
        <v>74</v>
      </c>
      <c r="BA521" t="s">
        <v>74</v>
      </c>
      <c r="BB521">
        <v>70</v>
      </c>
      <c r="BC521">
        <v>87</v>
      </c>
      <c r="BD521" t="s">
        <v>74</v>
      </c>
      <c r="BE521" t="s">
        <v>74</v>
      </c>
      <c r="BF521" t="s">
        <v>74</v>
      </c>
      <c r="BG521" t="s">
        <v>10079</v>
      </c>
      <c r="BH521" t="s">
        <v>74</v>
      </c>
      <c r="BI521">
        <v>18</v>
      </c>
      <c r="BJ521" t="s">
        <v>10080</v>
      </c>
      <c r="BK521" t="s">
        <v>3409</v>
      </c>
      <c r="BL521" t="s">
        <v>10081</v>
      </c>
      <c r="BM521" t="s">
        <v>10082</v>
      </c>
      <c r="BN521" t="s">
        <v>74</v>
      </c>
      <c r="BO521" t="s">
        <v>74</v>
      </c>
      <c r="BP521" t="s">
        <v>74</v>
      </c>
      <c r="BQ521" t="s">
        <v>74</v>
      </c>
      <c r="BR521" t="s">
        <v>105</v>
      </c>
      <c r="BS521" t="s">
        <v>10083</v>
      </c>
      <c r="BT521" t="str">
        <f>HYPERLINK("https%3A%2F%2Fwww.webofscience.com%2Fwos%2Fwoscc%2Ffull-record%2FWOS:000454856100005","View Full Record in Web of Science")</f>
        <v>View Full Record in Web of Science</v>
      </c>
    </row>
    <row r="522" spans="1:72" x14ac:dyDescent="0.15">
      <c r="A522" t="s">
        <v>72</v>
      </c>
      <c r="B522" t="s">
        <v>10084</v>
      </c>
      <c r="C522" t="s">
        <v>74</v>
      </c>
      <c r="D522" t="s">
        <v>74</v>
      </c>
      <c r="E522" t="s">
        <v>74</v>
      </c>
      <c r="F522" t="s">
        <v>10085</v>
      </c>
      <c r="G522" t="s">
        <v>74</v>
      </c>
      <c r="H522" t="s">
        <v>74</v>
      </c>
      <c r="I522" t="s">
        <v>10086</v>
      </c>
      <c r="J522" t="s">
        <v>2118</v>
      </c>
      <c r="K522" t="s">
        <v>74</v>
      </c>
      <c r="L522" t="s">
        <v>74</v>
      </c>
      <c r="M522" t="s">
        <v>78</v>
      </c>
      <c r="N522" t="s">
        <v>79</v>
      </c>
      <c r="O522" t="s">
        <v>74</v>
      </c>
      <c r="P522" t="s">
        <v>74</v>
      </c>
      <c r="Q522" t="s">
        <v>74</v>
      </c>
      <c r="R522" t="s">
        <v>74</v>
      </c>
      <c r="S522" t="s">
        <v>74</v>
      </c>
      <c r="T522" t="s">
        <v>10087</v>
      </c>
      <c r="U522" t="s">
        <v>10088</v>
      </c>
      <c r="V522" t="s">
        <v>10089</v>
      </c>
      <c r="W522" t="s">
        <v>10090</v>
      </c>
      <c r="X522" t="s">
        <v>10091</v>
      </c>
      <c r="Y522" t="s">
        <v>10092</v>
      </c>
      <c r="Z522" t="s">
        <v>10093</v>
      </c>
      <c r="AA522" t="s">
        <v>10094</v>
      </c>
      <c r="AB522" t="s">
        <v>10095</v>
      </c>
      <c r="AC522" t="s">
        <v>10096</v>
      </c>
      <c r="AD522" t="s">
        <v>10097</v>
      </c>
      <c r="AE522" t="s">
        <v>10098</v>
      </c>
      <c r="AF522" t="s">
        <v>74</v>
      </c>
      <c r="AG522">
        <v>61</v>
      </c>
      <c r="AH522">
        <v>9</v>
      </c>
      <c r="AI522">
        <v>9</v>
      </c>
      <c r="AJ522">
        <v>0</v>
      </c>
      <c r="AK522">
        <v>15</v>
      </c>
      <c r="AL522" t="s">
        <v>211</v>
      </c>
      <c r="AM522" t="s">
        <v>187</v>
      </c>
      <c r="AN522" t="s">
        <v>933</v>
      </c>
      <c r="AO522" t="s">
        <v>2132</v>
      </c>
      <c r="AP522" t="s">
        <v>2133</v>
      </c>
      <c r="AQ522" t="s">
        <v>74</v>
      </c>
      <c r="AR522" t="s">
        <v>2134</v>
      </c>
      <c r="AS522" t="s">
        <v>2135</v>
      </c>
      <c r="AT522" t="s">
        <v>2136</v>
      </c>
      <c r="AU522">
        <v>2017</v>
      </c>
      <c r="AV522">
        <v>48</v>
      </c>
      <c r="AW522" t="s">
        <v>2137</v>
      </c>
      <c r="AX522" t="s">
        <v>74</v>
      </c>
      <c r="AY522" t="s">
        <v>74</v>
      </c>
      <c r="AZ522" t="s">
        <v>74</v>
      </c>
      <c r="BA522" t="s">
        <v>74</v>
      </c>
      <c r="BB522">
        <v>661</v>
      </c>
      <c r="BC522">
        <v>681</v>
      </c>
      <c r="BD522" t="s">
        <v>74</v>
      </c>
      <c r="BE522" t="s">
        <v>10099</v>
      </c>
      <c r="BF522" t="str">
        <f>HYPERLINK("http://dx.doi.org/10.1007/s00382-016-3102-y","http://dx.doi.org/10.1007/s00382-016-3102-y")</f>
        <v>http://dx.doi.org/10.1007/s00382-016-3102-y</v>
      </c>
      <c r="BG522" t="s">
        <v>74</v>
      </c>
      <c r="BH522" t="s">
        <v>74</v>
      </c>
      <c r="BI522">
        <v>21</v>
      </c>
      <c r="BJ522" t="s">
        <v>747</v>
      </c>
      <c r="BK522" t="s">
        <v>101</v>
      </c>
      <c r="BL522" t="s">
        <v>747</v>
      </c>
      <c r="BM522" t="s">
        <v>2139</v>
      </c>
      <c r="BN522" t="s">
        <v>74</v>
      </c>
      <c r="BO522" t="s">
        <v>1223</v>
      </c>
      <c r="BP522" t="s">
        <v>74</v>
      </c>
      <c r="BQ522" t="s">
        <v>74</v>
      </c>
      <c r="BR522" t="s">
        <v>105</v>
      </c>
      <c r="BS522" t="s">
        <v>10100</v>
      </c>
      <c r="BT522" t="str">
        <f>HYPERLINK("https%3A%2F%2Fwww.webofscience.com%2Fwos%2Fwoscc%2Ffull-record%2FWOS:000392307300038","View Full Record in Web of Science")</f>
        <v>View Full Record in Web of Science</v>
      </c>
    </row>
    <row r="523" spans="1:72" x14ac:dyDescent="0.15">
      <c r="A523" t="s">
        <v>72</v>
      </c>
      <c r="B523" t="s">
        <v>10101</v>
      </c>
      <c r="C523" t="s">
        <v>74</v>
      </c>
      <c r="D523" t="s">
        <v>74</v>
      </c>
      <c r="E523" t="s">
        <v>74</v>
      </c>
      <c r="F523" t="s">
        <v>10102</v>
      </c>
      <c r="G523" t="s">
        <v>74</v>
      </c>
      <c r="H523" t="s">
        <v>74</v>
      </c>
      <c r="I523" t="s">
        <v>10103</v>
      </c>
      <c r="J523" t="s">
        <v>10104</v>
      </c>
      <c r="K523" t="s">
        <v>74</v>
      </c>
      <c r="L523" t="s">
        <v>74</v>
      </c>
      <c r="M523" t="s">
        <v>78</v>
      </c>
      <c r="N523" t="s">
        <v>79</v>
      </c>
      <c r="O523" t="s">
        <v>74</v>
      </c>
      <c r="P523" t="s">
        <v>74</v>
      </c>
      <c r="Q523" t="s">
        <v>74</v>
      </c>
      <c r="R523" t="s">
        <v>74</v>
      </c>
      <c r="S523" t="s">
        <v>74</v>
      </c>
      <c r="T523" t="s">
        <v>10105</v>
      </c>
      <c r="U523" t="s">
        <v>10106</v>
      </c>
      <c r="V523" t="s">
        <v>10107</v>
      </c>
      <c r="W523" t="s">
        <v>10108</v>
      </c>
      <c r="X523" t="s">
        <v>10109</v>
      </c>
      <c r="Y523" t="s">
        <v>10110</v>
      </c>
      <c r="Z523" t="s">
        <v>10111</v>
      </c>
      <c r="AA523" t="s">
        <v>74</v>
      </c>
      <c r="AB523" t="s">
        <v>10112</v>
      </c>
      <c r="AC523" t="s">
        <v>10113</v>
      </c>
      <c r="AD523" t="s">
        <v>10114</v>
      </c>
      <c r="AE523" t="s">
        <v>10115</v>
      </c>
      <c r="AF523" t="s">
        <v>74</v>
      </c>
      <c r="AG523">
        <v>33</v>
      </c>
      <c r="AH523">
        <v>20</v>
      </c>
      <c r="AI523">
        <v>27</v>
      </c>
      <c r="AJ523">
        <v>2</v>
      </c>
      <c r="AK523">
        <v>36</v>
      </c>
      <c r="AL523" t="s">
        <v>168</v>
      </c>
      <c r="AM523" t="s">
        <v>169</v>
      </c>
      <c r="AN523" t="s">
        <v>170</v>
      </c>
      <c r="AO523" t="s">
        <v>10116</v>
      </c>
      <c r="AP523" t="s">
        <v>10117</v>
      </c>
      <c r="AQ523" t="s">
        <v>74</v>
      </c>
      <c r="AR523" t="s">
        <v>10118</v>
      </c>
      <c r="AS523" t="s">
        <v>10119</v>
      </c>
      <c r="AT523" t="s">
        <v>2136</v>
      </c>
      <c r="AU523">
        <v>2017</v>
      </c>
      <c r="AV523">
        <v>133</v>
      </c>
      <c r="AW523" t="s">
        <v>74</v>
      </c>
      <c r="AX523" t="s">
        <v>74</v>
      </c>
      <c r="AY523" t="s">
        <v>74</v>
      </c>
      <c r="AZ523" t="s">
        <v>74</v>
      </c>
      <c r="BA523" t="s">
        <v>74</v>
      </c>
      <c r="BB523">
        <v>108</v>
      </c>
      <c r="BC523">
        <v>120</v>
      </c>
      <c r="BD523" t="s">
        <v>74</v>
      </c>
      <c r="BE523" t="s">
        <v>10120</v>
      </c>
      <c r="BF523" t="str">
        <f>HYPERLINK("http://dx.doi.org/10.1016/j.coldregions.2016.10.009","http://dx.doi.org/10.1016/j.coldregions.2016.10.009")</f>
        <v>http://dx.doi.org/10.1016/j.coldregions.2016.10.009</v>
      </c>
      <c r="BG523" t="s">
        <v>74</v>
      </c>
      <c r="BH523" t="s">
        <v>74</v>
      </c>
      <c r="BI523">
        <v>13</v>
      </c>
      <c r="BJ523" t="s">
        <v>10121</v>
      </c>
      <c r="BK523" t="s">
        <v>101</v>
      </c>
      <c r="BL523" t="s">
        <v>10122</v>
      </c>
      <c r="BM523" t="s">
        <v>10123</v>
      </c>
      <c r="BN523" t="s">
        <v>74</v>
      </c>
      <c r="BO523" t="s">
        <v>301</v>
      </c>
      <c r="BP523" t="s">
        <v>74</v>
      </c>
      <c r="BQ523" t="s">
        <v>74</v>
      </c>
      <c r="BR523" t="s">
        <v>105</v>
      </c>
      <c r="BS523" t="s">
        <v>10124</v>
      </c>
      <c r="BT523" t="str">
        <f>HYPERLINK("https%3A%2F%2Fwww.webofscience.com%2Fwos%2Fwoscc%2Ffull-record%2FWOS:000388113000012","View Full Record in Web of Science")</f>
        <v>View Full Record in Web of Science</v>
      </c>
    </row>
    <row r="524" spans="1:72" x14ac:dyDescent="0.15">
      <c r="A524" t="s">
        <v>1823</v>
      </c>
      <c r="B524" t="s">
        <v>10125</v>
      </c>
      <c r="C524" t="s">
        <v>74</v>
      </c>
      <c r="D524" t="s">
        <v>10126</v>
      </c>
      <c r="E524" t="s">
        <v>74</v>
      </c>
      <c r="F524" t="s">
        <v>10127</v>
      </c>
      <c r="G524" t="s">
        <v>74</v>
      </c>
      <c r="H524" t="s">
        <v>74</v>
      </c>
      <c r="I524" t="s">
        <v>10128</v>
      </c>
      <c r="J524" t="s">
        <v>10129</v>
      </c>
      <c r="K524" t="s">
        <v>9839</v>
      </c>
      <c r="L524" t="s">
        <v>74</v>
      </c>
      <c r="M524" t="s">
        <v>78</v>
      </c>
      <c r="N524" t="s">
        <v>1829</v>
      </c>
      <c r="O524" t="s">
        <v>10130</v>
      </c>
      <c r="P524" t="s">
        <v>10131</v>
      </c>
      <c r="Q524" t="s">
        <v>10132</v>
      </c>
      <c r="R524" t="s">
        <v>74</v>
      </c>
      <c r="S524" t="s">
        <v>74</v>
      </c>
      <c r="T524" t="s">
        <v>10133</v>
      </c>
      <c r="U524" t="s">
        <v>74</v>
      </c>
      <c r="V524" t="s">
        <v>10134</v>
      </c>
      <c r="W524" t="s">
        <v>10135</v>
      </c>
      <c r="X524" t="s">
        <v>10136</v>
      </c>
      <c r="Y524" t="s">
        <v>10137</v>
      </c>
      <c r="Z524" t="s">
        <v>10138</v>
      </c>
      <c r="AA524" t="s">
        <v>10139</v>
      </c>
      <c r="AB524" t="s">
        <v>74</v>
      </c>
      <c r="AC524" t="s">
        <v>10140</v>
      </c>
      <c r="AD524" t="s">
        <v>10141</v>
      </c>
      <c r="AE524" t="s">
        <v>10142</v>
      </c>
      <c r="AF524" t="s">
        <v>74</v>
      </c>
      <c r="AG524">
        <v>20</v>
      </c>
      <c r="AH524">
        <v>2</v>
      </c>
      <c r="AI524">
        <v>2</v>
      </c>
      <c r="AJ524">
        <v>1</v>
      </c>
      <c r="AK524">
        <v>2</v>
      </c>
      <c r="AL524" t="s">
        <v>3497</v>
      </c>
      <c r="AM524" t="s">
        <v>3498</v>
      </c>
      <c r="AN524" t="s">
        <v>3499</v>
      </c>
      <c r="AO524" t="s">
        <v>9852</v>
      </c>
      <c r="AP524" t="s">
        <v>9853</v>
      </c>
      <c r="AQ524" t="s">
        <v>10143</v>
      </c>
      <c r="AR524" t="s">
        <v>9855</v>
      </c>
      <c r="AS524" t="s">
        <v>74</v>
      </c>
      <c r="AT524" t="s">
        <v>74</v>
      </c>
      <c r="AU524">
        <v>2017</v>
      </c>
      <c r="AV524">
        <v>10528</v>
      </c>
      <c r="AW524" t="s">
        <v>74</v>
      </c>
      <c r="AX524" t="s">
        <v>74</v>
      </c>
      <c r="AY524" t="s">
        <v>74</v>
      </c>
      <c r="AZ524" t="s">
        <v>74</v>
      </c>
      <c r="BA524" t="s">
        <v>74</v>
      </c>
      <c r="BB524">
        <v>228</v>
      </c>
      <c r="BC524">
        <v>238</v>
      </c>
      <c r="BD524" t="s">
        <v>74</v>
      </c>
      <c r="BE524" t="s">
        <v>10144</v>
      </c>
      <c r="BF524" t="str">
        <f>HYPERLINK("http://dx.doi.org/10.1007/978-3-319-68345-4_21","http://dx.doi.org/10.1007/978-3-319-68345-4_21")</f>
        <v>http://dx.doi.org/10.1007/978-3-319-68345-4_21</v>
      </c>
      <c r="BG524" t="s">
        <v>74</v>
      </c>
      <c r="BH524" t="s">
        <v>74</v>
      </c>
      <c r="BI524">
        <v>11</v>
      </c>
      <c r="BJ524" t="s">
        <v>10145</v>
      </c>
      <c r="BK524" t="s">
        <v>1844</v>
      </c>
      <c r="BL524" t="s">
        <v>4409</v>
      </c>
      <c r="BM524" t="s">
        <v>10146</v>
      </c>
      <c r="BN524" t="s">
        <v>74</v>
      </c>
      <c r="BO524" t="s">
        <v>74</v>
      </c>
      <c r="BP524" t="s">
        <v>74</v>
      </c>
      <c r="BQ524" t="s">
        <v>74</v>
      </c>
      <c r="BR524" t="s">
        <v>105</v>
      </c>
      <c r="BS524" t="s">
        <v>10147</v>
      </c>
      <c r="BT524" t="str">
        <f>HYPERLINK("https%3A%2F%2Fwww.webofscience.com%2Fwos%2Fwoscc%2Ffull-record%2FWOS:000463352600021","View Full Record in Web of Science")</f>
        <v>View Full Record in Web of Science</v>
      </c>
    </row>
    <row r="525" spans="1:72" x14ac:dyDescent="0.15">
      <c r="A525" t="s">
        <v>1921</v>
      </c>
      <c r="B525" t="s">
        <v>10148</v>
      </c>
      <c r="C525" t="s">
        <v>74</v>
      </c>
      <c r="D525" t="s">
        <v>10149</v>
      </c>
      <c r="E525" t="s">
        <v>74</v>
      </c>
      <c r="F525" t="s">
        <v>10150</v>
      </c>
      <c r="G525" t="s">
        <v>74</v>
      </c>
      <c r="H525" t="s">
        <v>74</v>
      </c>
      <c r="I525" t="s">
        <v>10151</v>
      </c>
      <c r="J525" t="s">
        <v>10152</v>
      </c>
      <c r="K525" t="s">
        <v>10153</v>
      </c>
      <c r="L525" t="s">
        <v>74</v>
      </c>
      <c r="M525" t="s">
        <v>78</v>
      </c>
      <c r="N525" t="s">
        <v>2067</v>
      </c>
      <c r="O525" t="s">
        <v>74</v>
      </c>
      <c r="P525" t="s">
        <v>74</v>
      </c>
      <c r="Q525" t="s">
        <v>74</v>
      </c>
      <c r="R525" t="s">
        <v>74</v>
      </c>
      <c r="S525" t="s">
        <v>74</v>
      </c>
      <c r="T525" t="s">
        <v>74</v>
      </c>
      <c r="U525" t="s">
        <v>10154</v>
      </c>
      <c r="V525" t="s">
        <v>10155</v>
      </c>
      <c r="W525" t="s">
        <v>10156</v>
      </c>
      <c r="X525" t="s">
        <v>10157</v>
      </c>
      <c r="Y525" t="s">
        <v>10158</v>
      </c>
      <c r="Z525" t="s">
        <v>74</v>
      </c>
      <c r="AA525" t="s">
        <v>10159</v>
      </c>
      <c r="AB525" t="s">
        <v>10160</v>
      </c>
      <c r="AC525" t="s">
        <v>10161</v>
      </c>
      <c r="AD525" t="s">
        <v>10161</v>
      </c>
      <c r="AE525" t="s">
        <v>10162</v>
      </c>
      <c r="AF525" t="s">
        <v>74</v>
      </c>
      <c r="AG525">
        <v>90</v>
      </c>
      <c r="AH525">
        <v>3</v>
      </c>
      <c r="AI525">
        <v>3</v>
      </c>
      <c r="AJ525">
        <v>0</v>
      </c>
      <c r="AK525">
        <v>0</v>
      </c>
      <c r="AL525" t="s">
        <v>10163</v>
      </c>
      <c r="AM525" t="s">
        <v>9475</v>
      </c>
      <c r="AN525" t="s">
        <v>10164</v>
      </c>
      <c r="AO525" t="s">
        <v>10165</v>
      </c>
      <c r="AP525" t="s">
        <v>74</v>
      </c>
      <c r="AQ525" t="s">
        <v>10166</v>
      </c>
      <c r="AR525" t="s">
        <v>10167</v>
      </c>
      <c r="AS525" t="s">
        <v>74</v>
      </c>
      <c r="AT525" t="s">
        <v>74</v>
      </c>
      <c r="AU525">
        <v>2017</v>
      </c>
      <c r="AV525">
        <v>526</v>
      </c>
      <c r="AW525" t="s">
        <v>74</v>
      </c>
      <c r="AX525" t="s">
        <v>74</v>
      </c>
      <c r="AY525" t="s">
        <v>74</v>
      </c>
      <c r="AZ525" t="s">
        <v>74</v>
      </c>
      <c r="BA525" t="s">
        <v>74</v>
      </c>
      <c r="BB525">
        <v>133</v>
      </c>
      <c r="BC525">
        <v>150</v>
      </c>
      <c r="BD525" t="s">
        <v>74</v>
      </c>
      <c r="BE525" t="s">
        <v>10168</v>
      </c>
      <c r="BF525" t="str">
        <f>HYPERLINK("http://dx.doi.org/10.1130/2017.2526(07)","http://dx.doi.org/10.1130/2017.2526(07)")</f>
        <v>http://dx.doi.org/10.1130/2017.2526(07)</v>
      </c>
      <c r="BG525" t="s">
        <v>74</v>
      </c>
      <c r="BH525" t="s">
        <v>74</v>
      </c>
      <c r="BI525">
        <v>18</v>
      </c>
      <c r="BJ525" t="s">
        <v>10169</v>
      </c>
      <c r="BK525" t="s">
        <v>2084</v>
      </c>
      <c r="BL525" t="s">
        <v>10169</v>
      </c>
      <c r="BM525" t="s">
        <v>10170</v>
      </c>
      <c r="BN525" t="s">
        <v>74</v>
      </c>
      <c r="BO525" t="s">
        <v>74</v>
      </c>
      <c r="BP525" t="s">
        <v>74</v>
      </c>
      <c r="BQ525" t="s">
        <v>74</v>
      </c>
      <c r="BR525" t="s">
        <v>105</v>
      </c>
      <c r="BS525" t="s">
        <v>10171</v>
      </c>
      <c r="BT525" t="str">
        <f>HYPERLINK("https%3A%2F%2Fwww.webofscience.com%2Fwos%2Fwoscc%2Ffull-record%2FWOS:000540369200007","View Full Record in Web of Science")</f>
        <v>View Full Record in Web of Science</v>
      </c>
    </row>
    <row r="526" spans="1:72" x14ac:dyDescent="0.15">
      <c r="A526" t="s">
        <v>1921</v>
      </c>
      <c r="B526" t="s">
        <v>74</v>
      </c>
      <c r="C526" t="s">
        <v>74</v>
      </c>
      <c r="D526" t="s">
        <v>10172</v>
      </c>
      <c r="E526" t="s">
        <v>74</v>
      </c>
      <c r="F526" t="s">
        <v>74</v>
      </c>
      <c r="G526" t="s">
        <v>74</v>
      </c>
      <c r="H526" t="s">
        <v>74</v>
      </c>
      <c r="I526" t="s">
        <v>10173</v>
      </c>
      <c r="J526" t="s">
        <v>10174</v>
      </c>
      <c r="K526" t="s">
        <v>10175</v>
      </c>
      <c r="L526" t="s">
        <v>74</v>
      </c>
      <c r="M526" t="s">
        <v>78</v>
      </c>
      <c r="N526" t="s">
        <v>3496</v>
      </c>
      <c r="O526" t="s">
        <v>74</v>
      </c>
      <c r="P526" t="s">
        <v>74</v>
      </c>
      <c r="Q526" t="s">
        <v>74</v>
      </c>
      <c r="R526" t="s">
        <v>74</v>
      </c>
      <c r="S526" t="s">
        <v>74</v>
      </c>
      <c r="T526" t="s">
        <v>74</v>
      </c>
      <c r="U526" t="s">
        <v>74</v>
      </c>
      <c r="V526" t="s">
        <v>74</v>
      </c>
      <c r="W526" t="s">
        <v>74</v>
      </c>
      <c r="X526" t="s">
        <v>74</v>
      </c>
      <c r="Y526" t="s">
        <v>74</v>
      </c>
      <c r="Z526" t="s">
        <v>74</v>
      </c>
      <c r="AA526" t="s">
        <v>74</v>
      </c>
      <c r="AB526" t="s">
        <v>74</v>
      </c>
      <c r="AC526" t="s">
        <v>74</v>
      </c>
      <c r="AD526" t="s">
        <v>74</v>
      </c>
      <c r="AE526" t="s">
        <v>74</v>
      </c>
      <c r="AF526" t="s">
        <v>74</v>
      </c>
      <c r="AG526">
        <v>0</v>
      </c>
      <c r="AH526">
        <v>0</v>
      </c>
      <c r="AI526">
        <v>0</v>
      </c>
      <c r="AJ526">
        <v>0</v>
      </c>
      <c r="AK526">
        <v>2</v>
      </c>
      <c r="AL526" t="s">
        <v>10176</v>
      </c>
      <c r="AM526" t="s">
        <v>5400</v>
      </c>
      <c r="AN526" t="s">
        <v>5401</v>
      </c>
      <c r="AO526" t="s">
        <v>10177</v>
      </c>
      <c r="AP526" t="s">
        <v>74</v>
      </c>
      <c r="AQ526" t="s">
        <v>10178</v>
      </c>
      <c r="AR526" t="s">
        <v>10179</v>
      </c>
      <c r="AS526" t="s">
        <v>74</v>
      </c>
      <c r="AT526" t="s">
        <v>74</v>
      </c>
      <c r="AU526">
        <v>2017</v>
      </c>
      <c r="AV526">
        <v>146</v>
      </c>
      <c r="AW526" t="s">
        <v>74</v>
      </c>
      <c r="AX526" t="s">
        <v>74</v>
      </c>
      <c r="AY526" t="s">
        <v>74</v>
      </c>
      <c r="AZ526" t="s">
        <v>74</v>
      </c>
      <c r="BA526" t="s">
        <v>74</v>
      </c>
      <c r="BB526">
        <v>1</v>
      </c>
      <c r="BC526">
        <v>325</v>
      </c>
      <c r="BD526" t="s">
        <v>74</v>
      </c>
      <c r="BE526" t="s">
        <v>74</v>
      </c>
      <c r="BF526" t="s">
        <v>74</v>
      </c>
      <c r="BG526" t="s">
        <v>74</v>
      </c>
      <c r="BH526" t="s">
        <v>74</v>
      </c>
      <c r="BI526">
        <v>326</v>
      </c>
      <c r="BJ526" t="s">
        <v>10180</v>
      </c>
      <c r="BK526" t="s">
        <v>2084</v>
      </c>
      <c r="BL526" t="s">
        <v>10181</v>
      </c>
      <c r="BM526" t="s">
        <v>10182</v>
      </c>
      <c r="BN526" t="s">
        <v>74</v>
      </c>
      <c r="BO526" t="s">
        <v>74</v>
      </c>
      <c r="BP526" t="s">
        <v>74</v>
      </c>
      <c r="BQ526" t="s">
        <v>74</v>
      </c>
      <c r="BR526" t="s">
        <v>105</v>
      </c>
      <c r="BS526" t="s">
        <v>10183</v>
      </c>
      <c r="BT526" t="str">
        <f>HYPERLINK("https%3A%2F%2Fwww.webofscience.com%2Fwos%2Fwoscc%2Ffull-record%2FWOS:000473347500024","View Full Record in Web of Science")</f>
        <v>View Full Record in Web of Science</v>
      </c>
    </row>
    <row r="527" spans="1:72" x14ac:dyDescent="0.15">
      <c r="A527" t="s">
        <v>1921</v>
      </c>
      <c r="B527" t="s">
        <v>10184</v>
      </c>
      <c r="C527" t="s">
        <v>74</v>
      </c>
      <c r="D527" t="s">
        <v>10172</v>
      </c>
      <c r="E527" t="s">
        <v>74</v>
      </c>
      <c r="F527" t="s">
        <v>10185</v>
      </c>
      <c r="G527" t="s">
        <v>74</v>
      </c>
      <c r="H527" t="s">
        <v>74</v>
      </c>
      <c r="I527" t="s">
        <v>10186</v>
      </c>
      <c r="J527" t="s">
        <v>10174</v>
      </c>
      <c r="K527" t="s">
        <v>10175</v>
      </c>
      <c r="L527" t="s">
        <v>74</v>
      </c>
      <c r="M527" t="s">
        <v>78</v>
      </c>
      <c r="N527" t="s">
        <v>10187</v>
      </c>
      <c r="O527" t="s">
        <v>74</v>
      </c>
      <c r="P527" t="s">
        <v>74</v>
      </c>
      <c r="Q527" t="s">
        <v>74</v>
      </c>
      <c r="R527" t="s">
        <v>74</v>
      </c>
      <c r="S527" t="s">
        <v>74</v>
      </c>
      <c r="T527" t="s">
        <v>74</v>
      </c>
      <c r="U527" t="s">
        <v>74</v>
      </c>
      <c r="V527" t="s">
        <v>74</v>
      </c>
      <c r="W527" t="s">
        <v>10188</v>
      </c>
      <c r="X527" t="s">
        <v>10189</v>
      </c>
      <c r="Y527" t="s">
        <v>10190</v>
      </c>
      <c r="Z527" t="s">
        <v>10191</v>
      </c>
      <c r="AA527" t="s">
        <v>74</v>
      </c>
      <c r="AB527" t="s">
        <v>74</v>
      </c>
      <c r="AC527" t="s">
        <v>74</v>
      </c>
      <c r="AD527" t="s">
        <v>74</v>
      </c>
      <c r="AE527" t="s">
        <v>74</v>
      </c>
      <c r="AF527" t="s">
        <v>74</v>
      </c>
      <c r="AG527">
        <v>1</v>
      </c>
      <c r="AH527">
        <v>1</v>
      </c>
      <c r="AI527">
        <v>1</v>
      </c>
      <c r="AJ527">
        <v>0</v>
      </c>
      <c r="AK527">
        <v>1</v>
      </c>
      <c r="AL527" t="s">
        <v>10176</v>
      </c>
      <c r="AM527" t="s">
        <v>5400</v>
      </c>
      <c r="AN527" t="s">
        <v>5401</v>
      </c>
      <c r="AO527" t="s">
        <v>10177</v>
      </c>
      <c r="AP527" t="s">
        <v>74</v>
      </c>
      <c r="AQ527" t="s">
        <v>10178</v>
      </c>
      <c r="AR527" t="s">
        <v>10179</v>
      </c>
      <c r="AS527" t="s">
        <v>74</v>
      </c>
      <c r="AT527" t="s">
        <v>74</v>
      </c>
      <c r="AU527">
        <v>2017</v>
      </c>
      <c r="AV527">
        <v>146</v>
      </c>
      <c r="AW527" t="s">
        <v>74</v>
      </c>
      <c r="AX527" t="s">
        <v>74</v>
      </c>
      <c r="AY527" t="s">
        <v>74</v>
      </c>
      <c r="AZ527" t="s">
        <v>74</v>
      </c>
      <c r="BA527" t="s">
        <v>74</v>
      </c>
      <c r="BB527">
        <v>3</v>
      </c>
      <c r="BC527">
        <v>5</v>
      </c>
      <c r="BD527" t="s">
        <v>74</v>
      </c>
      <c r="BE527" t="s">
        <v>10192</v>
      </c>
      <c r="BF527" t="str">
        <f>HYPERLINK("http://dx.doi.org/10.1127/1438-9134/2017/003","http://dx.doi.org/10.1127/1438-9134/2017/003")</f>
        <v>http://dx.doi.org/10.1127/1438-9134/2017/003</v>
      </c>
      <c r="BG527" t="s">
        <v>74</v>
      </c>
      <c r="BH527" t="s">
        <v>74</v>
      </c>
      <c r="BI527">
        <v>3</v>
      </c>
      <c r="BJ527" t="s">
        <v>10180</v>
      </c>
      <c r="BK527" t="s">
        <v>2084</v>
      </c>
      <c r="BL527" t="s">
        <v>10181</v>
      </c>
      <c r="BM527" t="s">
        <v>10182</v>
      </c>
      <c r="BN527" t="s">
        <v>74</v>
      </c>
      <c r="BO527" t="s">
        <v>74</v>
      </c>
      <c r="BP527" t="s">
        <v>74</v>
      </c>
      <c r="BQ527" t="s">
        <v>74</v>
      </c>
      <c r="BR527" t="s">
        <v>105</v>
      </c>
      <c r="BS527" t="s">
        <v>10193</v>
      </c>
      <c r="BT527" t="str">
        <f>HYPERLINK("https%3A%2F%2Fwww.webofscience.com%2Fwos%2Fwoscc%2Ffull-record%2FWOS:000473347500001","View Full Record in Web of Science")</f>
        <v>View Full Record in Web of Science</v>
      </c>
    </row>
    <row r="528" spans="1:72" x14ac:dyDescent="0.15">
      <c r="A528" t="s">
        <v>1921</v>
      </c>
      <c r="B528" t="s">
        <v>10194</v>
      </c>
      <c r="C528" t="s">
        <v>74</v>
      </c>
      <c r="D528" t="s">
        <v>10172</v>
      </c>
      <c r="E528" t="s">
        <v>74</v>
      </c>
      <c r="F528" t="s">
        <v>10195</v>
      </c>
      <c r="G528" t="s">
        <v>74</v>
      </c>
      <c r="H528" t="s">
        <v>74</v>
      </c>
      <c r="I528" t="s">
        <v>10196</v>
      </c>
      <c r="J528" t="s">
        <v>10174</v>
      </c>
      <c r="K528" t="s">
        <v>10175</v>
      </c>
      <c r="L528" t="s">
        <v>74</v>
      </c>
      <c r="M528" t="s">
        <v>78</v>
      </c>
      <c r="N528" t="s">
        <v>2067</v>
      </c>
      <c r="O528" t="s">
        <v>74</v>
      </c>
      <c r="P528" t="s">
        <v>74</v>
      </c>
      <c r="Q528" t="s">
        <v>74</v>
      </c>
      <c r="R528" t="s">
        <v>74</v>
      </c>
      <c r="S528" t="s">
        <v>74</v>
      </c>
      <c r="T528" t="s">
        <v>10197</v>
      </c>
      <c r="U528" t="s">
        <v>10198</v>
      </c>
      <c r="V528" t="s">
        <v>10199</v>
      </c>
      <c r="W528" t="s">
        <v>10200</v>
      </c>
      <c r="X528" t="s">
        <v>10201</v>
      </c>
      <c r="Y528" t="s">
        <v>10202</v>
      </c>
      <c r="Z528" t="s">
        <v>10203</v>
      </c>
      <c r="AA528" t="s">
        <v>74</v>
      </c>
      <c r="AB528" t="s">
        <v>74</v>
      </c>
      <c r="AC528" t="s">
        <v>74</v>
      </c>
      <c r="AD528" t="s">
        <v>74</v>
      </c>
      <c r="AE528" t="s">
        <v>74</v>
      </c>
      <c r="AF528" t="s">
        <v>74</v>
      </c>
      <c r="AG528">
        <v>60</v>
      </c>
      <c r="AH528">
        <v>14</v>
      </c>
      <c r="AI528">
        <v>15</v>
      </c>
      <c r="AJ528">
        <v>0</v>
      </c>
      <c r="AK528">
        <v>1</v>
      </c>
      <c r="AL528" t="s">
        <v>10176</v>
      </c>
      <c r="AM528" t="s">
        <v>5400</v>
      </c>
      <c r="AN528" t="s">
        <v>5401</v>
      </c>
      <c r="AO528" t="s">
        <v>10177</v>
      </c>
      <c r="AP528" t="s">
        <v>74</v>
      </c>
      <c r="AQ528" t="s">
        <v>10178</v>
      </c>
      <c r="AR528" t="s">
        <v>10179</v>
      </c>
      <c r="AS528" t="s">
        <v>74</v>
      </c>
      <c r="AT528" t="s">
        <v>74</v>
      </c>
      <c r="AU528">
        <v>2017</v>
      </c>
      <c r="AV528">
        <v>146</v>
      </c>
      <c r="AW528" t="s">
        <v>74</v>
      </c>
      <c r="AX528" t="s">
        <v>74</v>
      </c>
      <c r="AY528" t="s">
        <v>74</v>
      </c>
      <c r="AZ528" t="s">
        <v>74</v>
      </c>
      <c r="BA528" t="s">
        <v>74</v>
      </c>
      <c r="BB528">
        <v>7</v>
      </c>
      <c r="BC528">
        <v>22</v>
      </c>
      <c r="BD528" t="s">
        <v>74</v>
      </c>
      <c r="BE528" t="s">
        <v>10204</v>
      </c>
      <c r="BF528" t="str">
        <f>HYPERLINK("http://dx.doi.org/10.1127/1438-9134/2017/007","http://dx.doi.org/10.1127/1438-9134/2017/007")</f>
        <v>http://dx.doi.org/10.1127/1438-9134/2017/007</v>
      </c>
      <c r="BG528" t="s">
        <v>74</v>
      </c>
      <c r="BH528" t="s">
        <v>74</v>
      </c>
      <c r="BI528">
        <v>16</v>
      </c>
      <c r="BJ528" t="s">
        <v>10180</v>
      </c>
      <c r="BK528" t="s">
        <v>2084</v>
      </c>
      <c r="BL528" t="s">
        <v>10181</v>
      </c>
      <c r="BM528" t="s">
        <v>10182</v>
      </c>
      <c r="BN528" t="s">
        <v>74</v>
      </c>
      <c r="BO528" t="s">
        <v>74</v>
      </c>
      <c r="BP528" t="s">
        <v>74</v>
      </c>
      <c r="BQ528" t="s">
        <v>74</v>
      </c>
      <c r="BR528" t="s">
        <v>105</v>
      </c>
      <c r="BS528" t="s">
        <v>10205</v>
      </c>
      <c r="BT528" t="str">
        <f>HYPERLINK("https%3A%2F%2Fwww.webofscience.com%2Fwos%2Fwoscc%2Ffull-record%2FWOS:000473347500002","View Full Record in Web of Science")</f>
        <v>View Full Record in Web of Science</v>
      </c>
    </row>
    <row r="529" spans="1:72" x14ac:dyDescent="0.15">
      <c r="A529" t="s">
        <v>1921</v>
      </c>
      <c r="B529" t="s">
        <v>10206</v>
      </c>
      <c r="C529" t="s">
        <v>74</v>
      </c>
      <c r="D529" t="s">
        <v>10172</v>
      </c>
      <c r="E529" t="s">
        <v>74</v>
      </c>
      <c r="F529" t="s">
        <v>10207</v>
      </c>
      <c r="G529" t="s">
        <v>74</v>
      </c>
      <c r="H529" t="s">
        <v>74</v>
      </c>
      <c r="I529" t="s">
        <v>10208</v>
      </c>
      <c r="J529" t="s">
        <v>10174</v>
      </c>
      <c r="K529" t="s">
        <v>10175</v>
      </c>
      <c r="L529" t="s">
        <v>74</v>
      </c>
      <c r="M529" t="s">
        <v>78</v>
      </c>
      <c r="N529" t="s">
        <v>2067</v>
      </c>
      <c r="O529" t="s">
        <v>74</v>
      </c>
      <c r="P529" t="s">
        <v>74</v>
      </c>
      <c r="Q529" t="s">
        <v>74</v>
      </c>
      <c r="R529" t="s">
        <v>74</v>
      </c>
      <c r="S529" t="s">
        <v>74</v>
      </c>
      <c r="T529" t="s">
        <v>10209</v>
      </c>
      <c r="U529" t="s">
        <v>10210</v>
      </c>
      <c r="V529" t="s">
        <v>10211</v>
      </c>
      <c r="W529" t="s">
        <v>10212</v>
      </c>
      <c r="X529" t="s">
        <v>10213</v>
      </c>
      <c r="Y529" t="s">
        <v>10214</v>
      </c>
      <c r="Z529" t="s">
        <v>10215</v>
      </c>
      <c r="AA529" t="s">
        <v>10216</v>
      </c>
      <c r="AB529" t="s">
        <v>10217</v>
      </c>
      <c r="AC529" t="s">
        <v>74</v>
      </c>
      <c r="AD529" t="s">
        <v>74</v>
      </c>
      <c r="AE529" t="s">
        <v>74</v>
      </c>
      <c r="AF529" t="s">
        <v>74</v>
      </c>
      <c r="AG529">
        <v>32</v>
      </c>
      <c r="AH529">
        <v>16</v>
      </c>
      <c r="AI529">
        <v>16</v>
      </c>
      <c r="AJ529">
        <v>0</v>
      </c>
      <c r="AK529">
        <v>1</v>
      </c>
      <c r="AL529" t="s">
        <v>10176</v>
      </c>
      <c r="AM529" t="s">
        <v>5400</v>
      </c>
      <c r="AN529" t="s">
        <v>5401</v>
      </c>
      <c r="AO529" t="s">
        <v>10177</v>
      </c>
      <c r="AP529" t="s">
        <v>74</v>
      </c>
      <c r="AQ529" t="s">
        <v>10178</v>
      </c>
      <c r="AR529" t="s">
        <v>10179</v>
      </c>
      <c r="AS529" t="s">
        <v>74</v>
      </c>
      <c r="AT529" t="s">
        <v>74</v>
      </c>
      <c r="AU529">
        <v>2017</v>
      </c>
      <c r="AV529">
        <v>146</v>
      </c>
      <c r="AW529" t="s">
        <v>74</v>
      </c>
      <c r="AX529" t="s">
        <v>74</v>
      </c>
      <c r="AY529" t="s">
        <v>74</v>
      </c>
      <c r="AZ529" t="s">
        <v>74</v>
      </c>
      <c r="BA529" t="s">
        <v>74</v>
      </c>
      <c r="BB529">
        <v>23</v>
      </c>
      <c r="BC529">
        <v>31</v>
      </c>
      <c r="BD529" t="s">
        <v>74</v>
      </c>
      <c r="BE529" t="s">
        <v>10218</v>
      </c>
      <c r="BF529" t="str">
        <f>HYPERLINK("http://dx.doi.org/10.1127/1438-9134/2017/023","http://dx.doi.org/10.1127/1438-9134/2017/023")</f>
        <v>http://dx.doi.org/10.1127/1438-9134/2017/023</v>
      </c>
      <c r="BG529" t="s">
        <v>74</v>
      </c>
      <c r="BH529" t="s">
        <v>74</v>
      </c>
      <c r="BI529">
        <v>9</v>
      </c>
      <c r="BJ529" t="s">
        <v>10180</v>
      </c>
      <c r="BK529" t="s">
        <v>2084</v>
      </c>
      <c r="BL529" t="s">
        <v>10181</v>
      </c>
      <c r="BM529" t="s">
        <v>10182</v>
      </c>
      <c r="BN529" t="s">
        <v>74</v>
      </c>
      <c r="BO529" t="s">
        <v>74</v>
      </c>
      <c r="BP529" t="s">
        <v>74</v>
      </c>
      <c r="BQ529" t="s">
        <v>74</v>
      </c>
      <c r="BR529" t="s">
        <v>105</v>
      </c>
      <c r="BS529" t="s">
        <v>10219</v>
      </c>
      <c r="BT529" t="str">
        <f>HYPERLINK("https%3A%2F%2Fwww.webofscience.com%2Fwos%2Fwoscc%2Ffull-record%2FWOS:000473347500003","View Full Record in Web of Science")</f>
        <v>View Full Record in Web of Science</v>
      </c>
    </row>
    <row r="530" spans="1:72" x14ac:dyDescent="0.15">
      <c r="A530" t="s">
        <v>1921</v>
      </c>
      <c r="B530" t="s">
        <v>10220</v>
      </c>
      <c r="C530" t="s">
        <v>74</v>
      </c>
      <c r="D530" t="s">
        <v>10172</v>
      </c>
      <c r="E530" t="s">
        <v>74</v>
      </c>
      <c r="F530" t="s">
        <v>10221</v>
      </c>
      <c r="G530" t="s">
        <v>74</v>
      </c>
      <c r="H530" t="s">
        <v>74</v>
      </c>
      <c r="I530" t="s">
        <v>10222</v>
      </c>
      <c r="J530" t="s">
        <v>10174</v>
      </c>
      <c r="K530" t="s">
        <v>10175</v>
      </c>
      <c r="L530" t="s">
        <v>74</v>
      </c>
      <c r="M530" t="s">
        <v>78</v>
      </c>
      <c r="N530" t="s">
        <v>2067</v>
      </c>
      <c r="O530" t="s">
        <v>74</v>
      </c>
      <c r="P530" t="s">
        <v>74</v>
      </c>
      <c r="Q530" t="s">
        <v>74</v>
      </c>
      <c r="R530" t="s">
        <v>74</v>
      </c>
      <c r="S530" t="s">
        <v>74</v>
      </c>
      <c r="T530" t="s">
        <v>10223</v>
      </c>
      <c r="U530" t="s">
        <v>74</v>
      </c>
      <c r="V530" t="s">
        <v>10224</v>
      </c>
      <c r="W530" t="s">
        <v>10225</v>
      </c>
      <c r="X530" t="s">
        <v>10226</v>
      </c>
      <c r="Y530" t="s">
        <v>10227</v>
      </c>
      <c r="Z530" t="s">
        <v>10228</v>
      </c>
      <c r="AA530" t="s">
        <v>74</v>
      </c>
      <c r="AB530" t="s">
        <v>74</v>
      </c>
      <c r="AC530" t="s">
        <v>74</v>
      </c>
      <c r="AD530" t="s">
        <v>74</v>
      </c>
      <c r="AE530" t="s">
        <v>74</v>
      </c>
      <c r="AF530" t="s">
        <v>74</v>
      </c>
      <c r="AG530">
        <v>15</v>
      </c>
      <c r="AH530">
        <v>2</v>
      </c>
      <c r="AI530">
        <v>2</v>
      </c>
      <c r="AJ530">
        <v>0</v>
      </c>
      <c r="AK530">
        <v>4</v>
      </c>
      <c r="AL530" t="s">
        <v>10176</v>
      </c>
      <c r="AM530" t="s">
        <v>5400</v>
      </c>
      <c r="AN530" t="s">
        <v>5401</v>
      </c>
      <c r="AO530" t="s">
        <v>10177</v>
      </c>
      <c r="AP530" t="s">
        <v>74</v>
      </c>
      <c r="AQ530" t="s">
        <v>10178</v>
      </c>
      <c r="AR530" t="s">
        <v>10179</v>
      </c>
      <c r="AS530" t="s">
        <v>74</v>
      </c>
      <c r="AT530" t="s">
        <v>74</v>
      </c>
      <c r="AU530">
        <v>2017</v>
      </c>
      <c r="AV530">
        <v>146</v>
      </c>
      <c r="AW530" t="s">
        <v>74</v>
      </c>
      <c r="AX530" t="s">
        <v>74</v>
      </c>
      <c r="AY530" t="s">
        <v>74</v>
      </c>
      <c r="AZ530" t="s">
        <v>74</v>
      </c>
      <c r="BA530" t="s">
        <v>74</v>
      </c>
      <c r="BB530">
        <v>33</v>
      </c>
      <c r="BC530">
        <v>42</v>
      </c>
      <c r="BD530" t="s">
        <v>74</v>
      </c>
      <c r="BE530" t="s">
        <v>10229</v>
      </c>
      <c r="BF530" t="str">
        <f>HYPERLINK("http://dx.doi.org/10.1127/1438-9134/2017/033","http://dx.doi.org/10.1127/1438-9134/2017/033")</f>
        <v>http://dx.doi.org/10.1127/1438-9134/2017/033</v>
      </c>
      <c r="BG530" t="s">
        <v>74</v>
      </c>
      <c r="BH530" t="s">
        <v>74</v>
      </c>
      <c r="BI530">
        <v>10</v>
      </c>
      <c r="BJ530" t="s">
        <v>10180</v>
      </c>
      <c r="BK530" t="s">
        <v>2084</v>
      </c>
      <c r="BL530" t="s">
        <v>10181</v>
      </c>
      <c r="BM530" t="s">
        <v>10182</v>
      </c>
      <c r="BN530" t="s">
        <v>74</v>
      </c>
      <c r="BO530" t="s">
        <v>74</v>
      </c>
      <c r="BP530" t="s">
        <v>74</v>
      </c>
      <c r="BQ530" t="s">
        <v>74</v>
      </c>
      <c r="BR530" t="s">
        <v>105</v>
      </c>
      <c r="BS530" t="s">
        <v>10230</v>
      </c>
      <c r="BT530" t="str">
        <f>HYPERLINK("https%3A%2F%2Fwww.webofscience.com%2Fwos%2Fwoscc%2Ffull-record%2FWOS:000473347500004","View Full Record in Web of Science")</f>
        <v>View Full Record in Web of Science</v>
      </c>
    </row>
    <row r="531" spans="1:72" x14ac:dyDescent="0.15">
      <c r="A531" t="s">
        <v>1921</v>
      </c>
      <c r="B531" t="s">
        <v>10231</v>
      </c>
      <c r="C531" t="s">
        <v>74</v>
      </c>
      <c r="D531" t="s">
        <v>10172</v>
      </c>
      <c r="E531" t="s">
        <v>74</v>
      </c>
      <c r="F531" t="s">
        <v>10232</v>
      </c>
      <c r="G531" t="s">
        <v>74</v>
      </c>
      <c r="H531" t="s">
        <v>74</v>
      </c>
      <c r="I531" t="s">
        <v>10233</v>
      </c>
      <c r="J531" t="s">
        <v>10174</v>
      </c>
      <c r="K531" t="s">
        <v>10175</v>
      </c>
      <c r="L531" t="s">
        <v>74</v>
      </c>
      <c r="M531" t="s">
        <v>78</v>
      </c>
      <c r="N531" t="s">
        <v>2067</v>
      </c>
      <c r="O531" t="s">
        <v>74</v>
      </c>
      <c r="P531" t="s">
        <v>74</v>
      </c>
      <c r="Q531" t="s">
        <v>74</v>
      </c>
      <c r="R531" t="s">
        <v>74</v>
      </c>
      <c r="S531" t="s">
        <v>74</v>
      </c>
      <c r="T531" t="s">
        <v>10234</v>
      </c>
      <c r="U531" t="s">
        <v>10235</v>
      </c>
      <c r="V531" t="s">
        <v>10236</v>
      </c>
      <c r="W531" t="s">
        <v>10237</v>
      </c>
      <c r="X531" t="s">
        <v>10238</v>
      </c>
      <c r="Y531" t="s">
        <v>10239</v>
      </c>
      <c r="Z531" t="s">
        <v>10240</v>
      </c>
      <c r="AA531" t="s">
        <v>74</v>
      </c>
      <c r="AB531" t="s">
        <v>74</v>
      </c>
      <c r="AC531" t="s">
        <v>74</v>
      </c>
      <c r="AD531" t="s">
        <v>74</v>
      </c>
      <c r="AE531" t="s">
        <v>74</v>
      </c>
      <c r="AF531" t="s">
        <v>74</v>
      </c>
      <c r="AG531">
        <v>23</v>
      </c>
      <c r="AH531">
        <v>6</v>
      </c>
      <c r="AI531">
        <v>6</v>
      </c>
      <c r="AJ531">
        <v>0</v>
      </c>
      <c r="AK531">
        <v>2</v>
      </c>
      <c r="AL531" t="s">
        <v>10176</v>
      </c>
      <c r="AM531" t="s">
        <v>5400</v>
      </c>
      <c r="AN531" t="s">
        <v>5401</v>
      </c>
      <c r="AO531" t="s">
        <v>10177</v>
      </c>
      <c r="AP531" t="s">
        <v>74</v>
      </c>
      <c r="AQ531" t="s">
        <v>10178</v>
      </c>
      <c r="AR531" t="s">
        <v>10179</v>
      </c>
      <c r="AS531" t="s">
        <v>74</v>
      </c>
      <c r="AT531" t="s">
        <v>74</v>
      </c>
      <c r="AU531">
        <v>2017</v>
      </c>
      <c r="AV531">
        <v>146</v>
      </c>
      <c r="AW531" t="s">
        <v>74</v>
      </c>
      <c r="AX531" t="s">
        <v>74</v>
      </c>
      <c r="AY531" t="s">
        <v>74</v>
      </c>
      <c r="AZ531" t="s">
        <v>74</v>
      </c>
      <c r="BA531" t="s">
        <v>74</v>
      </c>
      <c r="BB531">
        <v>43</v>
      </c>
      <c r="BC531">
        <v>62</v>
      </c>
      <c r="BD531" t="s">
        <v>74</v>
      </c>
      <c r="BE531" t="s">
        <v>10241</v>
      </c>
      <c r="BF531" t="str">
        <f>HYPERLINK("http://dx.doi.org/10.1127/1438-9134/2017/043","http://dx.doi.org/10.1127/1438-9134/2017/043")</f>
        <v>http://dx.doi.org/10.1127/1438-9134/2017/043</v>
      </c>
      <c r="BG531" t="s">
        <v>74</v>
      </c>
      <c r="BH531" t="s">
        <v>74</v>
      </c>
      <c r="BI531">
        <v>20</v>
      </c>
      <c r="BJ531" t="s">
        <v>10180</v>
      </c>
      <c r="BK531" t="s">
        <v>2084</v>
      </c>
      <c r="BL531" t="s">
        <v>10181</v>
      </c>
      <c r="BM531" t="s">
        <v>10182</v>
      </c>
      <c r="BN531" t="s">
        <v>74</v>
      </c>
      <c r="BO531" t="s">
        <v>74</v>
      </c>
      <c r="BP531" t="s">
        <v>74</v>
      </c>
      <c r="BQ531" t="s">
        <v>74</v>
      </c>
      <c r="BR531" t="s">
        <v>105</v>
      </c>
      <c r="BS531" t="s">
        <v>10242</v>
      </c>
      <c r="BT531" t="str">
        <f>HYPERLINK("https%3A%2F%2Fwww.webofscience.com%2Fwos%2Fwoscc%2Ffull-record%2FWOS:000473347500005","View Full Record in Web of Science")</f>
        <v>View Full Record in Web of Science</v>
      </c>
    </row>
    <row r="532" spans="1:72" x14ac:dyDescent="0.15">
      <c r="A532" t="s">
        <v>1921</v>
      </c>
      <c r="B532" t="s">
        <v>10243</v>
      </c>
      <c r="C532" t="s">
        <v>74</v>
      </c>
      <c r="D532" t="s">
        <v>10172</v>
      </c>
      <c r="E532" t="s">
        <v>74</v>
      </c>
      <c r="F532" t="s">
        <v>10244</v>
      </c>
      <c r="G532" t="s">
        <v>74</v>
      </c>
      <c r="H532" t="s">
        <v>74</v>
      </c>
      <c r="I532" t="s">
        <v>10245</v>
      </c>
      <c r="J532" t="s">
        <v>10174</v>
      </c>
      <c r="K532" t="s">
        <v>10175</v>
      </c>
      <c r="L532" t="s">
        <v>74</v>
      </c>
      <c r="M532" t="s">
        <v>78</v>
      </c>
      <c r="N532" t="s">
        <v>2067</v>
      </c>
      <c r="O532" t="s">
        <v>74</v>
      </c>
      <c r="P532" t="s">
        <v>74</v>
      </c>
      <c r="Q532" t="s">
        <v>74</v>
      </c>
      <c r="R532" t="s">
        <v>74</v>
      </c>
      <c r="S532" t="s">
        <v>74</v>
      </c>
      <c r="T532" t="s">
        <v>10246</v>
      </c>
      <c r="U532" t="s">
        <v>74</v>
      </c>
      <c r="V532" t="s">
        <v>10247</v>
      </c>
      <c r="W532" t="s">
        <v>10248</v>
      </c>
      <c r="X532" t="s">
        <v>10249</v>
      </c>
      <c r="Y532" t="s">
        <v>10250</v>
      </c>
      <c r="Z532" t="s">
        <v>10251</v>
      </c>
      <c r="AA532" t="s">
        <v>10252</v>
      </c>
      <c r="AB532" t="s">
        <v>10253</v>
      </c>
      <c r="AC532" t="s">
        <v>74</v>
      </c>
      <c r="AD532" t="s">
        <v>74</v>
      </c>
      <c r="AE532" t="s">
        <v>74</v>
      </c>
      <c r="AF532" t="s">
        <v>74</v>
      </c>
      <c r="AG532">
        <v>15</v>
      </c>
      <c r="AH532">
        <v>6</v>
      </c>
      <c r="AI532">
        <v>6</v>
      </c>
      <c r="AJ532">
        <v>0</v>
      </c>
      <c r="AK532">
        <v>2</v>
      </c>
      <c r="AL532" t="s">
        <v>10176</v>
      </c>
      <c r="AM532" t="s">
        <v>5400</v>
      </c>
      <c r="AN532" t="s">
        <v>5401</v>
      </c>
      <c r="AO532" t="s">
        <v>10177</v>
      </c>
      <c r="AP532" t="s">
        <v>74</v>
      </c>
      <c r="AQ532" t="s">
        <v>10178</v>
      </c>
      <c r="AR532" t="s">
        <v>10179</v>
      </c>
      <c r="AS532" t="s">
        <v>74</v>
      </c>
      <c r="AT532" t="s">
        <v>74</v>
      </c>
      <c r="AU532">
        <v>2017</v>
      </c>
      <c r="AV532">
        <v>146</v>
      </c>
      <c r="AW532" t="s">
        <v>74</v>
      </c>
      <c r="AX532" t="s">
        <v>74</v>
      </c>
      <c r="AY532" t="s">
        <v>74</v>
      </c>
      <c r="AZ532" t="s">
        <v>74</v>
      </c>
      <c r="BA532" t="s">
        <v>74</v>
      </c>
      <c r="BB532">
        <v>63</v>
      </c>
      <c r="BC532">
        <v>72</v>
      </c>
      <c r="BD532" t="s">
        <v>74</v>
      </c>
      <c r="BE532" t="s">
        <v>10254</v>
      </c>
      <c r="BF532" t="str">
        <f>HYPERLINK("http://dx.doi.org/10.1127/1438-9134/2017/063","http://dx.doi.org/10.1127/1438-9134/2017/063")</f>
        <v>http://dx.doi.org/10.1127/1438-9134/2017/063</v>
      </c>
      <c r="BG532" t="s">
        <v>74</v>
      </c>
      <c r="BH532" t="s">
        <v>74</v>
      </c>
      <c r="BI532">
        <v>10</v>
      </c>
      <c r="BJ532" t="s">
        <v>10180</v>
      </c>
      <c r="BK532" t="s">
        <v>2084</v>
      </c>
      <c r="BL532" t="s">
        <v>10181</v>
      </c>
      <c r="BM532" t="s">
        <v>10182</v>
      </c>
      <c r="BN532" t="s">
        <v>74</v>
      </c>
      <c r="BO532" t="s">
        <v>74</v>
      </c>
      <c r="BP532" t="s">
        <v>74</v>
      </c>
      <c r="BQ532" t="s">
        <v>74</v>
      </c>
      <c r="BR532" t="s">
        <v>105</v>
      </c>
      <c r="BS532" t="s">
        <v>10255</v>
      </c>
      <c r="BT532" t="str">
        <f>HYPERLINK("https%3A%2F%2Fwww.webofscience.com%2Fwos%2Fwoscc%2Ffull-record%2FWOS:000473347500006","View Full Record in Web of Science")</f>
        <v>View Full Record in Web of Science</v>
      </c>
    </row>
    <row r="533" spans="1:72" x14ac:dyDescent="0.15">
      <c r="A533" t="s">
        <v>1921</v>
      </c>
      <c r="B533" t="s">
        <v>10256</v>
      </c>
      <c r="C533" t="s">
        <v>74</v>
      </c>
      <c r="D533" t="s">
        <v>10172</v>
      </c>
      <c r="E533" t="s">
        <v>74</v>
      </c>
      <c r="F533" t="s">
        <v>10257</v>
      </c>
      <c r="G533" t="s">
        <v>74</v>
      </c>
      <c r="H533" t="s">
        <v>74</v>
      </c>
      <c r="I533" t="s">
        <v>10258</v>
      </c>
      <c r="J533" t="s">
        <v>10174</v>
      </c>
      <c r="K533" t="s">
        <v>10175</v>
      </c>
      <c r="L533" t="s">
        <v>74</v>
      </c>
      <c r="M533" t="s">
        <v>78</v>
      </c>
      <c r="N533" t="s">
        <v>2067</v>
      </c>
      <c r="O533" t="s">
        <v>74</v>
      </c>
      <c r="P533" t="s">
        <v>74</v>
      </c>
      <c r="Q533" t="s">
        <v>74</v>
      </c>
      <c r="R533" t="s">
        <v>74</v>
      </c>
      <c r="S533" t="s">
        <v>74</v>
      </c>
      <c r="T533" t="s">
        <v>10259</v>
      </c>
      <c r="U533" t="s">
        <v>10260</v>
      </c>
      <c r="V533" t="s">
        <v>10261</v>
      </c>
      <c r="W533" t="s">
        <v>10262</v>
      </c>
      <c r="X533" t="s">
        <v>10263</v>
      </c>
      <c r="Y533" t="s">
        <v>10264</v>
      </c>
      <c r="Z533" t="s">
        <v>10265</v>
      </c>
      <c r="AA533" t="s">
        <v>10266</v>
      </c>
      <c r="AB533" t="s">
        <v>10267</v>
      </c>
      <c r="AC533" t="s">
        <v>74</v>
      </c>
      <c r="AD533" t="s">
        <v>74</v>
      </c>
      <c r="AE533" t="s">
        <v>74</v>
      </c>
      <c r="AF533" t="s">
        <v>74</v>
      </c>
      <c r="AG533">
        <v>73</v>
      </c>
      <c r="AH533">
        <v>2</v>
      </c>
      <c r="AI533">
        <v>2</v>
      </c>
      <c r="AJ533">
        <v>0</v>
      </c>
      <c r="AK533">
        <v>1</v>
      </c>
      <c r="AL533" t="s">
        <v>10176</v>
      </c>
      <c r="AM533" t="s">
        <v>5400</v>
      </c>
      <c r="AN533" t="s">
        <v>5401</v>
      </c>
      <c r="AO533" t="s">
        <v>10177</v>
      </c>
      <c r="AP533" t="s">
        <v>74</v>
      </c>
      <c r="AQ533" t="s">
        <v>10178</v>
      </c>
      <c r="AR533" t="s">
        <v>10179</v>
      </c>
      <c r="AS533" t="s">
        <v>74</v>
      </c>
      <c r="AT533" t="s">
        <v>74</v>
      </c>
      <c r="AU533">
        <v>2017</v>
      </c>
      <c r="AV533">
        <v>146</v>
      </c>
      <c r="AW533" t="s">
        <v>74</v>
      </c>
      <c r="AX533" t="s">
        <v>74</v>
      </c>
      <c r="AY533" t="s">
        <v>74</v>
      </c>
      <c r="AZ533" t="s">
        <v>74</v>
      </c>
      <c r="BA533" t="s">
        <v>74</v>
      </c>
      <c r="BB533">
        <v>73</v>
      </c>
      <c r="BC533">
        <v>87</v>
      </c>
      <c r="BD533" t="s">
        <v>74</v>
      </c>
      <c r="BE533" t="s">
        <v>10268</v>
      </c>
      <c r="BF533" t="str">
        <f>HYPERLINK("http://dx.doi.org/10.1127/1438-9134/2017/073","http://dx.doi.org/10.1127/1438-9134/2017/073")</f>
        <v>http://dx.doi.org/10.1127/1438-9134/2017/073</v>
      </c>
      <c r="BG533" t="s">
        <v>74</v>
      </c>
      <c r="BH533" t="s">
        <v>74</v>
      </c>
      <c r="BI533">
        <v>15</v>
      </c>
      <c r="BJ533" t="s">
        <v>10180</v>
      </c>
      <c r="BK533" t="s">
        <v>2084</v>
      </c>
      <c r="BL533" t="s">
        <v>10181</v>
      </c>
      <c r="BM533" t="s">
        <v>10182</v>
      </c>
      <c r="BN533" t="s">
        <v>74</v>
      </c>
      <c r="BO533" t="s">
        <v>74</v>
      </c>
      <c r="BP533" t="s">
        <v>74</v>
      </c>
      <c r="BQ533" t="s">
        <v>74</v>
      </c>
      <c r="BR533" t="s">
        <v>105</v>
      </c>
      <c r="BS533" t="s">
        <v>10269</v>
      </c>
      <c r="BT533" t="str">
        <f>HYPERLINK("https%3A%2F%2Fwww.webofscience.com%2Fwos%2Fwoscc%2Ffull-record%2FWOS:000473347500007","View Full Record in Web of Science")</f>
        <v>View Full Record in Web of Science</v>
      </c>
    </row>
    <row r="534" spans="1:72" x14ac:dyDescent="0.15">
      <c r="A534" t="s">
        <v>1921</v>
      </c>
      <c r="B534" t="s">
        <v>10270</v>
      </c>
      <c r="C534" t="s">
        <v>74</v>
      </c>
      <c r="D534" t="s">
        <v>10172</v>
      </c>
      <c r="E534" t="s">
        <v>74</v>
      </c>
      <c r="F534" t="s">
        <v>10271</v>
      </c>
      <c r="G534" t="s">
        <v>74</v>
      </c>
      <c r="H534" t="s">
        <v>74</v>
      </c>
      <c r="I534" t="s">
        <v>10272</v>
      </c>
      <c r="J534" t="s">
        <v>10174</v>
      </c>
      <c r="K534" t="s">
        <v>10175</v>
      </c>
      <c r="L534" t="s">
        <v>74</v>
      </c>
      <c r="M534" t="s">
        <v>78</v>
      </c>
      <c r="N534" t="s">
        <v>2067</v>
      </c>
      <c r="O534" t="s">
        <v>74</v>
      </c>
      <c r="P534" t="s">
        <v>74</v>
      </c>
      <c r="Q534" t="s">
        <v>74</v>
      </c>
      <c r="R534" t="s">
        <v>74</v>
      </c>
      <c r="S534" t="s">
        <v>74</v>
      </c>
      <c r="T534" t="s">
        <v>10273</v>
      </c>
      <c r="U534" t="s">
        <v>10274</v>
      </c>
      <c r="V534" t="s">
        <v>10275</v>
      </c>
      <c r="W534" t="s">
        <v>10276</v>
      </c>
      <c r="X534" t="s">
        <v>10277</v>
      </c>
      <c r="Y534" t="s">
        <v>10278</v>
      </c>
      <c r="Z534" t="s">
        <v>10251</v>
      </c>
      <c r="AA534" t="s">
        <v>10279</v>
      </c>
      <c r="AB534" t="s">
        <v>10280</v>
      </c>
      <c r="AC534" t="s">
        <v>74</v>
      </c>
      <c r="AD534" t="s">
        <v>74</v>
      </c>
      <c r="AE534" t="s">
        <v>74</v>
      </c>
      <c r="AF534" t="s">
        <v>74</v>
      </c>
      <c r="AG534">
        <v>58</v>
      </c>
      <c r="AH534">
        <v>2</v>
      </c>
      <c r="AI534">
        <v>2</v>
      </c>
      <c r="AJ534">
        <v>0</v>
      </c>
      <c r="AK534">
        <v>0</v>
      </c>
      <c r="AL534" t="s">
        <v>10176</v>
      </c>
      <c r="AM534" t="s">
        <v>5400</v>
      </c>
      <c r="AN534" t="s">
        <v>5401</v>
      </c>
      <c r="AO534" t="s">
        <v>10177</v>
      </c>
      <c r="AP534" t="s">
        <v>74</v>
      </c>
      <c r="AQ534" t="s">
        <v>10178</v>
      </c>
      <c r="AR534" t="s">
        <v>10179</v>
      </c>
      <c r="AS534" t="s">
        <v>74</v>
      </c>
      <c r="AT534" t="s">
        <v>74</v>
      </c>
      <c r="AU534">
        <v>2017</v>
      </c>
      <c r="AV534">
        <v>146</v>
      </c>
      <c r="AW534" t="s">
        <v>74</v>
      </c>
      <c r="AX534" t="s">
        <v>74</v>
      </c>
      <c r="AY534" t="s">
        <v>74</v>
      </c>
      <c r="AZ534" t="s">
        <v>74</v>
      </c>
      <c r="BA534" t="s">
        <v>74</v>
      </c>
      <c r="BB534">
        <v>89</v>
      </c>
      <c r="BC534">
        <v>102</v>
      </c>
      <c r="BD534" t="s">
        <v>74</v>
      </c>
      <c r="BE534" t="s">
        <v>10281</v>
      </c>
      <c r="BF534" t="str">
        <f>HYPERLINK("http://dx.doi.org/10.1127/1438-9134/2017/089","http://dx.doi.org/10.1127/1438-9134/2017/089")</f>
        <v>http://dx.doi.org/10.1127/1438-9134/2017/089</v>
      </c>
      <c r="BG534" t="s">
        <v>74</v>
      </c>
      <c r="BH534" t="s">
        <v>74</v>
      </c>
      <c r="BI534">
        <v>14</v>
      </c>
      <c r="BJ534" t="s">
        <v>10180</v>
      </c>
      <c r="BK534" t="s">
        <v>2084</v>
      </c>
      <c r="BL534" t="s">
        <v>10181</v>
      </c>
      <c r="BM534" t="s">
        <v>10182</v>
      </c>
      <c r="BN534" t="s">
        <v>74</v>
      </c>
      <c r="BO534" t="s">
        <v>74</v>
      </c>
      <c r="BP534" t="s">
        <v>74</v>
      </c>
      <c r="BQ534" t="s">
        <v>74</v>
      </c>
      <c r="BR534" t="s">
        <v>105</v>
      </c>
      <c r="BS534" t="s">
        <v>10282</v>
      </c>
      <c r="BT534" t="str">
        <f>HYPERLINK("https%3A%2F%2Fwww.webofscience.com%2Fwos%2Fwoscc%2Ffull-record%2FWOS:000473347500008","View Full Record in Web of Science")</f>
        <v>View Full Record in Web of Science</v>
      </c>
    </row>
    <row r="535" spans="1:72" x14ac:dyDescent="0.15">
      <c r="A535" t="s">
        <v>1921</v>
      </c>
      <c r="B535" t="s">
        <v>10283</v>
      </c>
      <c r="C535" t="s">
        <v>74</v>
      </c>
      <c r="D535" t="s">
        <v>10172</v>
      </c>
      <c r="E535" t="s">
        <v>74</v>
      </c>
      <c r="F535" t="s">
        <v>10284</v>
      </c>
      <c r="G535" t="s">
        <v>74</v>
      </c>
      <c r="H535" t="s">
        <v>74</v>
      </c>
      <c r="I535" t="s">
        <v>10285</v>
      </c>
      <c r="J535" t="s">
        <v>10174</v>
      </c>
      <c r="K535" t="s">
        <v>10175</v>
      </c>
      <c r="L535" t="s">
        <v>74</v>
      </c>
      <c r="M535" t="s">
        <v>78</v>
      </c>
      <c r="N535" t="s">
        <v>2067</v>
      </c>
      <c r="O535" t="s">
        <v>74</v>
      </c>
      <c r="P535" t="s">
        <v>74</v>
      </c>
      <c r="Q535" t="s">
        <v>74</v>
      </c>
      <c r="R535" t="s">
        <v>74</v>
      </c>
      <c r="S535" t="s">
        <v>74</v>
      </c>
      <c r="T535" t="s">
        <v>10286</v>
      </c>
      <c r="U535" t="s">
        <v>10287</v>
      </c>
      <c r="V535" t="s">
        <v>10288</v>
      </c>
      <c r="W535" t="s">
        <v>10289</v>
      </c>
      <c r="X535" t="s">
        <v>10290</v>
      </c>
      <c r="Y535" t="s">
        <v>10291</v>
      </c>
      <c r="Z535" t="s">
        <v>10292</v>
      </c>
      <c r="AA535" t="s">
        <v>10293</v>
      </c>
      <c r="AB535" t="s">
        <v>10294</v>
      </c>
      <c r="AC535" t="s">
        <v>74</v>
      </c>
      <c r="AD535" t="s">
        <v>74</v>
      </c>
      <c r="AE535" t="s">
        <v>74</v>
      </c>
      <c r="AF535" t="s">
        <v>74</v>
      </c>
      <c r="AG535">
        <v>81</v>
      </c>
      <c r="AH535">
        <v>14</v>
      </c>
      <c r="AI535">
        <v>14</v>
      </c>
      <c r="AJ535">
        <v>0</v>
      </c>
      <c r="AK535">
        <v>2</v>
      </c>
      <c r="AL535" t="s">
        <v>10176</v>
      </c>
      <c r="AM535" t="s">
        <v>5400</v>
      </c>
      <c r="AN535" t="s">
        <v>5401</v>
      </c>
      <c r="AO535" t="s">
        <v>10177</v>
      </c>
      <c r="AP535" t="s">
        <v>74</v>
      </c>
      <c r="AQ535" t="s">
        <v>10178</v>
      </c>
      <c r="AR535" t="s">
        <v>10179</v>
      </c>
      <c r="AS535" t="s">
        <v>74</v>
      </c>
      <c r="AT535" t="s">
        <v>74</v>
      </c>
      <c r="AU535">
        <v>2017</v>
      </c>
      <c r="AV535">
        <v>146</v>
      </c>
      <c r="AW535" t="s">
        <v>74</v>
      </c>
      <c r="AX535" t="s">
        <v>74</v>
      </c>
      <c r="AY535" t="s">
        <v>74</v>
      </c>
      <c r="AZ535" t="s">
        <v>74</v>
      </c>
      <c r="BA535" t="s">
        <v>74</v>
      </c>
      <c r="BB535">
        <v>103</v>
      </c>
      <c r="BC535">
        <v>123</v>
      </c>
      <c r="BD535" t="s">
        <v>74</v>
      </c>
      <c r="BE535" t="s">
        <v>10295</v>
      </c>
      <c r="BF535" t="str">
        <f>HYPERLINK("http://dx.doi.org/10.1127/1438-9134/2017/123","http://dx.doi.org/10.1127/1438-9134/2017/123")</f>
        <v>http://dx.doi.org/10.1127/1438-9134/2017/123</v>
      </c>
      <c r="BG535" t="s">
        <v>74</v>
      </c>
      <c r="BH535" t="s">
        <v>74</v>
      </c>
      <c r="BI535">
        <v>21</v>
      </c>
      <c r="BJ535" t="s">
        <v>10180</v>
      </c>
      <c r="BK535" t="s">
        <v>2084</v>
      </c>
      <c r="BL535" t="s">
        <v>10181</v>
      </c>
      <c r="BM535" t="s">
        <v>10182</v>
      </c>
      <c r="BN535" t="s">
        <v>74</v>
      </c>
      <c r="BO535" t="s">
        <v>74</v>
      </c>
      <c r="BP535" t="s">
        <v>74</v>
      </c>
      <c r="BQ535" t="s">
        <v>74</v>
      </c>
      <c r="BR535" t="s">
        <v>105</v>
      </c>
      <c r="BS535" t="s">
        <v>10296</v>
      </c>
      <c r="BT535" t="str">
        <f>HYPERLINK("https%3A%2F%2Fwww.webofscience.com%2Fwos%2Fwoscc%2Ffull-record%2FWOS:000473347500009","View Full Record in Web of Science")</f>
        <v>View Full Record in Web of Science</v>
      </c>
    </row>
    <row r="536" spans="1:72" x14ac:dyDescent="0.15">
      <c r="A536" t="s">
        <v>1921</v>
      </c>
      <c r="B536" t="s">
        <v>10297</v>
      </c>
      <c r="C536" t="s">
        <v>74</v>
      </c>
      <c r="D536" t="s">
        <v>10172</v>
      </c>
      <c r="E536" t="s">
        <v>74</v>
      </c>
      <c r="F536" t="s">
        <v>10298</v>
      </c>
      <c r="G536" t="s">
        <v>74</v>
      </c>
      <c r="H536" t="s">
        <v>74</v>
      </c>
      <c r="I536" t="s">
        <v>10299</v>
      </c>
      <c r="J536" t="s">
        <v>10174</v>
      </c>
      <c r="K536" t="s">
        <v>10175</v>
      </c>
      <c r="L536" t="s">
        <v>74</v>
      </c>
      <c r="M536" t="s">
        <v>78</v>
      </c>
      <c r="N536" t="s">
        <v>2067</v>
      </c>
      <c r="O536" t="s">
        <v>74</v>
      </c>
      <c r="P536" t="s">
        <v>74</v>
      </c>
      <c r="Q536" t="s">
        <v>74</v>
      </c>
      <c r="R536" t="s">
        <v>74</v>
      </c>
      <c r="S536" t="s">
        <v>74</v>
      </c>
      <c r="T536" t="s">
        <v>10300</v>
      </c>
      <c r="U536" t="s">
        <v>10301</v>
      </c>
      <c r="V536" t="s">
        <v>10302</v>
      </c>
      <c r="W536" t="s">
        <v>10303</v>
      </c>
      <c r="X536" t="s">
        <v>10304</v>
      </c>
      <c r="Y536" t="s">
        <v>10305</v>
      </c>
      <c r="Z536" t="s">
        <v>10306</v>
      </c>
      <c r="AA536" t="s">
        <v>74</v>
      </c>
      <c r="AB536" t="s">
        <v>74</v>
      </c>
      <c r="AC536" t="s">
        <v>74</v>
      </c>
      <c r="AD536" t="s">
        <v>74</v>
      </c>
      <c r="AE536" t="s">
        <v>74</v>
      </c>
      <c r="AF536" t="s">
        <v>74</v>
      </c>
      <c r="AG536">
        <v>42</v>
      </c>
      <c r="AH536">
        <v>7</v>
      </c>
      <c r="AI536">
        <v>8</v>
      </c>
      <c r="AJ536">
        <v>0</v>
      </c>
      <c r="AK536">
        <v>1</v>
      </c>
      <c r="AL536" t="s">
        <v>10176</v>
      </c>
      <c r="AM536" t="s">
        <v>5400</v>
      </c>
      <c r="AN536" t="s">
        <v>5401</v>
      </c>
      <c r="AO536" t="s">
        <v>10177</v>
      </c>
      <c r="AP536" t="s">
        <v>74</v>
      </c>
      <c r="AQ536" t="s">
        <v>10178</v>
      </c>
      <c r="AR536" t="s">
        <v>10179</v>
      </c>
      <c r="AS536" t="s">
        <v>74</v>
      </c>
      <c r="AT536" t="s">
        <v>74</v>
      </c>
      <c r="AU536">
        <v>2017</v>
      </c>
      <c r="AV536">
        <v>146</v>
      </c>
      <c r="AW536" t="s">
        <v>74</v>
      </c>
      <c r="AX536" t="s">
        <v>74</v>
      </c>
      <c r="AY536" t="s">
        <v>74</v>
      </c>
      <c r="AZ536" t="s">
        <v>74</v>
      </c>
      <c r="BA536" t="s">
        <v>74</v>
      </c>
      <c r="BB536">
        <v>125</v>
      </c>
      <c r="BC536">
        <v>136</v>
      </c>
      <c r="BD536" t="s">
        <v>74</v>
      </c>
      <c r="BE536" t="s">
        <v>10307</v>
      </c>
      <c r="BF536" t="str">
        <f>HYPERLINK("http://dx.doi.org/10.1127/1438-9134/2017/125","http://dx.doi.org/10.1127/1438-9134/2017/125")</f>
        <v>http://dx.doi.org/10.1127/1438-9134/2017/125</v>
      </c>
      <c r="BG536" t="s">
        <v>74</v>
      </c>
      <c r="BH536" t="s">
        <v>74</v>
      </c>
      <c r="BI536">
        <v>12</v>
      </c>
      <c r="BJ536" t="s">
        <v>10180</v>
      </c>
      <c r="BK536" t="s">
        <v>2084</v>
      </c>
      <c r="BL536" t="s">
        <v>10181</v>
      </c>
      <c r="BM536" t="s">
        <v>10182</v>
      </c>
      <c r="BN536" t="s">
        <v>74</v>
      </c>
      <c r="BO536" t="s">
        <v>74</v>
      </c>
      <c r="BP536" t="s">
        <v>74</v>
      </c>
      <c r="BQ536" t="s">
        <v>74</v>
      </c>
      <c r="BR536" t="s">
        <v>105</v>
      </c>
      <c r="BS536" t="s">
        <v>10308</v>
      </c>
      <c r="BT536" t="str">
        <f>HYPERLINK("https%3A%2F%2Fwww.webofscience.com%2Fwos%2Fwoscc%2Ffull-record%2FWOS:000473347500010","View Full Record in Web of Science")</f>
        <v>View Full Record in Web of Science</v>
      </c>
    </row>
    <row r="537" spans="1:72" x14ac:dyDescent="0.15">
      <c r="A537" t="s">
        <v>1921</v>
      </c>
      <c r="B537" t="s">
        <v>10309</v>
      </c>
      <c r="C537" t="s">
        <v>74</v>
      </c>
      <c r="D537" t="s">
        <v>10172</v>
      </c>
      <c r="E537" t="s">
        <v>74</v>
      </c>
      <c r="F537" t="s">
        <v>10310</v>
      </c>
      <c r="G537" t="s">
        <v>74</v>
      </c>
      <c r="H537" t="s">
        <v>74</v>
      </c>
      <c r="I537" t="s">
        <v>10311</v>
      </c>
      <c r="J537" t="s">
        <v>10174</v>
      </c>
      <c r="K537" t="s">
        <v>10175</v>
      </c>
      <c r="L537" t="s">
        <v>74</v>
      </c>
      <c r="M537" t="s">
        <v>78</v>
      </c>
      <c r="N537" t="s">
        <v>2067</v>
      </c>
      <c r="O537" t="s">
        <v>74</v>
      </c>
      <c r="P537" t="s">
        <v>74</v>
      </c>
      <c r="Q537" t="s">
        <v>74</v>
      </c>
      <c r="R537" t="s">
        <v>74</v>
      </c>
      <c r="S537" t="s">
        <v>74</v>
      </c>
      <c r="T537" t="s">
        <v>10312</v>
      </c>
      <c r="U537" t="s">
        <v>10313</v>
      </c>
      <c r="V537" t="s">
        <v>10314</v>
      </c>
      <c r="W537" t="s">
        <v>10315</v>
      </c>
      <c r="X537" t="s">
        <v>10316</v>
      </c>
      <c r="Y537" t="s">
        <v>10317</v>
      </c>
      <c r="Z537" t="s">
        <v>10318</v>
      </c>
      <c r="AA537" t="s">
        <v>74</v>
      </c>
      <c r="AB537" t="s">
        <v>74</v>
      </c>
      <c r="AC537" t="s">
        <v>74</v>
      </c>
      <c r="AD537" t="s">
        <v>74</v>
      </c>
      <c r="AE537" t="s">
        <v>74</v>
      </c>
      <c r="AF537" t="s">
        <v>74</v>
      </c>
      <c r="AG537">
        <v>36</v>
      </c>
      <c r="AH537">
        <v>3</v>
      </c>
      <c r="AI537">
        <v>3</v>
      </c>
      <c r="AJ537">
        <v>0</v>
      </c>
      <c r="AK537">
        <v>2</v>
      </c>
      <c r="AL537" t="s">
        <v>10176</v>
      </c>
      <c r="AM537" t="s">
        <v>5400</v>
      </c>
      <c r="AN537" t="s">
        <v>5401</v>
      </c>
      <c r="AO537" t="s">
        <v>10177</v>
      </c>
      <c r="AP537" t="s">
        <v>74</v>
      </c>
      <c r="AQ537" t="s">
        <v>10178</v>
      </c>
      <c r="AR537" t="s">
        <v>10179</v>
      </c>
      <c r="AS537" t="s">
        <v>74</v>
      </c>
      <c r="AT537" t="s">
        <v>74</v>
      </c>
      <c r="AU537">
        <v>2017</v>
      </c>
      <c r="AV537">
        <v>146</v>
      </c>
      <c r="AW537" t="s">
        <v>74</v>
      </c>
      <c r="AX537" t="s">
        <v>74</v>
      </c>
      <c r="AY537" t="s">
        <v>74</v>
      </c>
      <c r="AZ537" t="s">
        <v>74</v>
      </c>
      <c r="BA537" t="s">
        <v>74</v>
      </c>
      <c r="BB537">
        <v>137</v>
      </c>
      <c r="BC537">
        <v>146</v>
      </c>
      <c r="BD537" t="s">
        <v>74</v>
      </c>
      <c r="BE537" t="s">
        <v>10319</v>
      </c>
      <c r="BF537" t="str">
        <f>HYPERLINK("http://dx.doi.org/10.1127/1438-9134/2017/137","http://dx.doi.org/10.1127/1438-9134/2017/137")</f>
        <v>http://dx.doi.org/10.1127/1438-9134/2017/137</v>
      </c>
      <c r="BG537" t="s">
        <v>74</v>
      </c>
      <c r="BH537" t="s">
        <v>74</v>
      </c>
      <c r="BI537">
        <v>10</v>
      </c>
      <c r="BJ537" t="s">
        <v>10180</v>
      </c>
      <c r="BK537" t="s">
        <v>2084</v>
      </c>
      <c r="BL537" t="s">
        <v>10181</v>
      </c>
      <c r="BM537" t="s">
        <v>10182</v>
      </c>
      <c r="BN537" t="s">
        <v>74</v>
      </c>
      <c r="BO537" t="s">
        <v>74</v>
      </c>
      <c r="BP537" t="s">
        <v>74</v>
      </c>
      <c r="BQ537" t="s">
        <v>74</v>
      </c>
      <c r="BR537" t="s">
        <v>105</v>
      </c>
      <c r="BS537" t="s">
        <v>10320</v>
      </c>
      <c r="BT537" t="str">
        <f>HYPERLINK("https%3A%2F%2Fwww.webofscience.com%2Fwos%2Fwoscc%2Ffull-record%2FWOS:000473347500011","View Full Record in Web of Science")</f>
        <v>View Full Record in Web of Science</v>
      </c>
    </row>
    <row r="538" spans="1:72" x14ac:dyDescent="0.15">
      <c r="A538" t="s">
        <v>1921</v>
      </c>
      <c r="B538" t="s">
        <v>10321</v>
      </c>
      <c r="C538" t="s">
        <v>74</v>
      </c>
      <c r="D538" t="s">
        <v>10172</v>
      </c>
      <c r="E538" t="s">
        <v>74</v>
      </c>
      <c r="F538" t="s">
        <v>10322</v>
      </c>
      <c r="G538" t="s">
        <v>74</v>
      </c>
      <c r="H538" t="s">
        <v>74</v>
      </c>
      <c r="I538" t="s">
        <v>10323</v>
      </c>
      <c r="J538" t="s">
        <v>10174</v>
      </c>
      <c r="K538" t="s">
        <v>10175</v>
      </c>
      <c r="L538" t="s">
        <v>74</v>
      </c>
      <c r="M538" t="s">
        <v>78</v>
      </c>
      <c r="N538" t="s">
        <v>2067</v>
      </c>
      <c r="O538" t="s">
        <v>74</v>
      </c>
      <c r="P538" t="s">
        <v>74</v>
      </c>
      <c r="Q538" t="s">
        <v>74</v>
      </c>
      <c r="R538" t="s">
        <v>74</v>
      </c>
      <c r="S538" t="s">
        <v>74</v>
      </c>
      <c r="T538" t="s">
        <v>10324</v>
      </c>
      <c r="U538" t="s">
        <v>10325</v>
      </c>
      <c r="V538" t="s">
        <v>10326</v>
      </c>
      <c r="W538" t="s">
        <v>10327</v>
      </c>
      <c r="X538" t="s">
        <v>10328</v>
      </c>
      <c r="Y538" t="s">
        <v>10329</v>
      </c>
      <c r="Z538" t="s">
        <v>10330</v>
      </c>
      <c r="AA538" t="s">
        <v>10331</v>
      </c>
      <c r="AB538" t="s">
        <v>10332</v>
      </c>
      <c r="AC538" t="s">
        <v>74</v>
      </c>
      <c r="AD538" t="s">
        <v>74</v>
      </c>
      <c r="AE538" t="s">
        <v>74</v>
      </c>
      <c r="AF538" t="s">
        <v>74</v>
      </c>
      <c r="AG538">
        <v>39</v>
      </c>
      <c r="AH538">
        <v>39</v>
      </c>
      <c r="AI538">
        <v>43</v>
      </c>
      <c r="AJ538">
        <v>0</v>
      </c>
      <c r="AK538">
        <v>5</v>
      </c>
      <c r="AL538" t="s">
        <v>10176</v>
      </c>
      <c r="AM538" t="s">
        <v>5400</v>
      </c>
      <c r="AN538" t="s">
        <v>5401</v>
      </c>
      <c r="AO538" t="s">
        <v>10177</v>
      </c>
      <c r="AP538" t="s">
        <v>74</v>
      </c>
      <c r="AQ538" t="s">
        <v>10178</v>
      </c>
      <c r="AR538" t="s">
        <v>10179</v>
      </c>
      <c r="AS538" t="s">
        <v>74</v>
      </c>
      <c r="AT538" t="s">
        <v>74</v>
      </c>
      <c r="AU538">
        <v>2017</v>
      </c>
      <c r="AV538">
        <v>146</v>
      </c>
      <c r="AW538" t="s">
        <v>74</v>
      </c>
      <c r="AX538" t="s">
        <v>74</v>
      </c>
      <c r="AY538" t="s">
        <v>74</v>
      </c>
      <c r="AZ538" t="s">
        <v>74</v>
      </c>
      <c r="BA538" t="s">
        <v>74</v>
      </c>
      <c r="BB538">
        <v>147</v>
      </c>
      <c r="BC538">
        <v>155</v>
      </c>
      <c r="BD538" t="s">
        <v>74</v>
      </c>
      <c r="BE538" t="s">
        <v>10333</v>
      </c>
      <c r="BF538" t="str">
        <f>HYPERLINK("http://dx.doi.org/10.1127/1438-9134/2017/147","http://dx.doi.org/10.1127/1438-9134/2017/147")</f>
        <v>http://dx.doi.org/10.1127/1438-9134/2017/147</v>
      </c>
      <c r="BG538" t="s">
        <v>74</v>
      </c>
      <c r="BH538" t="s">
        <v>74</v>
      </c>
      <c r="BI538">
        <v>9</v>
      </c>
      <c r="BJ538" t="s">
        <v>10180</v>
      </c>
      <c r="BK538" t="s">
        <v>2084</v>
      </c>
      <c r="BL538" t="s">
        <v>10181</v>
      </c>
      <c r="BM538" t="s">
        <v>10182</v>
      </c>
      <c r="BN538" t="s">
        <v>74</v>
      </c>
      <c r="BO538" t="s">
        <v>74</v>
      </c>
      <c r="BP538" t="s">
        <v>74</v>
      </c>
      <c r="BQ538" t="s">
        <v>74</v>
      </c>
      <c r="BR538" t="s">
        <v>105</v>
      </c>
      <c r="BS538" t="s">
        <v>10334</v>
      </c>
      <c r="BT538" t="str">
        <f>HYPERLINK("https%3A%2F%2Fwww.webofscience.com%2Fwos%2Fwoscc%2Ffull-record%2FWOS:000473347500012","View Full Record in Web of Science")</f>
        <v>View Full Record in Web of Science</v>
      </c>
    </row>
    <row r="539" spans="1:72" x14ac:dyDescent="0.15">
      <c r="A539" t="s">
        <v>1921</v>
      </c>
      <c r="B539" t="s">
        <v>10335</v>
      </c>
      <c r="C539" t="s">
        <v>74</v>
      </c>
      <c r="D539" t="s">
        <v>10172</v>
      </c>
      <c r="E539" t="s">
        <v>74</v>
      </c>
      <c r="F539" t="s">
        <v>10336</v>
      </c>
      <c r="G539" t="s">
        <v>74</v>
      </c>
      <c r="H539" t="s">
        <v>74</v>
      </c>
      <c r="I539" t="s">
        <v>10337</v>
      </c>
      <c r="J539" t="s">
        <v>10174</v>
      </c>
      <c r="K539" t="s">
        <v>10175</v>
      </c>
      <c r="L539" t="s">
        <v>74</v>
      </c>
      <c r="M539" t="s">
        <v>78</v>
      </c>
      <c r="N539" t="s">
        <v>2067</v>
      </c>
      <c r="O539" t="s">
        <v>74</v>
      </c>
      <c r="P539" t="s">
        <v>74</v>
      </c>
      <c r="Q539" t="s">
        <v>74</v>
      </c>
      <c r="R539" t="s">
        <v>74</v>
      </c>
      <c r="S539" t="s">
        <v>74</v>
      </c>
      <c r="T539" t="s">
        <v>10338</v>
      </c>
      <c r="U539" t="s">
        <v>10339</v>
      </c>
      <c r="V539" t="s">
        <v>10340</v>
      </c>
      <c r="W539" t="s">
        <v>10341</v>
      </c>
      <c r="X539" t="s">
        <v>10342</v>
      </c>
      <c r="Y539" t="s">
        <v>10343</v>
      </c>
      <c r="Z539" t="s">
        <v>10330</v>
      </c>
      <c r="AA539" t="s">
        <v>10344</v>
      </c>
      <c r="AB539" t="s">
        <v>10345</v>
      </c>
      <c r="AC539" t="s">
        <v>74</v>
      </c>
      <c r="AD539" t="s">
        <v>74</v>
      </c>
      <c r="AE539" t="s">
        <v>74</v>
      </c>
      <c r="AF539" t="s">
        <v>74</v>
      </c>
      <c r="AG539">
        <v>27</v>
      </c>
      <c r="AH539">
        <v>26</v>
      </c>
      <c r="AI539">
        <v>27</v>
      </c>
      <c r="AJ539">
        <v>0</v>
      </c>
      <c r="AK539">
        <v>2</v>
      </c>
      <c r="AL539" t="s">
        <v>10176</v>
      </c>
      <c r="AM539" t="s">
        <v>5400</v>
      </c>
      <c r="AN539" t="s">
        <v>5401</v>
      </c>
      <c r="AO539" t="s">
        <v>10177</v>
      </c>
      <c r="AP539" t="s">
        <v>74</v>
      </c>
      <c r="AQ539" t="s">
        <v>10178</v>
      </c>
      <c r="AR539" t="s">
        <v>10179</v>
      </c>
      <c r="AS539" t="s">
        <v>74</v>
      </c>
      <c r="AT539" t="s">
        <v>74</v>
      </c>
      <c r="AU539">
        <v>2017</v>
      </c>
      <c r="AV539">
        <v>146</v>
      </c>
      <c r="AW539" t="s">
        <v>74</v>
      </c>
      <c r="AX539" t="s">
        <v>74</v>
      </c>
      <c r="AY539" t="s">
        <v>74</v>
      </c>
      <c r="AZ539" t="s">
        <v>74</v>
      </c>
      <c r="BA539" t="s">
        <v>74</v>
      </c>
      <c r="BB539">
        <v>157</v>
      </c>
      <c r="BC539">
        <v>173</v>
      </c>
      <c r="BD539" t="s">
        <v>74</v>
      </c>
      <c r="BE539" t="s">
        <v>10346</v>
      </c>
      <c r="BF539" t="str">
        <f>HYPERLINK("http://dx.doi.org/10.1127/1438-9134/2017/157","http://dx.doi.org/10.1127/1438-9134/2017/157")</f>
        <v>http://dx.doi.org/10.1127/1438-9134/2017/157</v>
      </c>
      <c r="BG539" t="s">
        <v>74</v>
      </c>
      <c r="BH539" t="s">
        <v>74</v>
      </c>
      <c r="BI539">
        <v>17</v>
      </c>
      <c r="BJ539" t="s">
        <v>10180</v>
      </c>
      <c r="BK539" t="s">
        <v>2084</v>
      </c>
      <c r="BL539" t="s">
        <v>10181</v>
      </c>
      <c r="BM539" t="s">
        <v>10182</v>
      </c>
      <c r="BN539" t="s">
        <v>74</v>
      </c>
      <c r="BO539" t="s">
        <v>74</v>
      </c>
      <c r="BP539" t="s">
        <v>74</v>
      </c>
      <c r="BQ539" t="s">
        <v>74</v>
      </c>
      <c r="BR539" t="s">
        <v>105</v>
      </c>
      <c r="BS539" t="s">
        <v>10347</v>
      </c>
      <c r="BT539" t="str">
        <f>HYPERLINK("https%3A%2F%2Fwww.webofscience.com%2Fwos%2Fwoscc%2Ffull-record%2FWOS:000473347500013","View Full Record in Web of Science")</f>
        <v>View Full Record in Web of Science</v>
      </c>
    </row>
    <row r="540" spans="1:72" x14ac:dyDescent="0.15">
      <c r="A540" t="s">
        <v>1921</v>
      </c>
      <c r="B540" t="s">
        <v>10348</v>
      </c>
      <c r="C540" t="s">
        <v>74</v>
      </c>
      <c r="D540" t="s">
        <v>10172</v>
      </c>
      <c r="E540" t="s">
        <v>74</v>
      </c>
      <c r="F540" t="s">
        <v>10349</v>
      </c>
      <c r="G540" t="s">
        <v>74</v>
      </c>
      <c r="H540" t="s">
        <v>74</v>
      </c>
      <c r="I540" t="s">
        <v>10350</v>
      </c>
      <c r="J540" t="s">
        <v>10174</v>
      </c>
      <c r="K540" t="s">
        <v>10175</v>
      </c>
      <c r="L540" t="s">
        <v>74</v>
      </c>
      <c r="M540" t="s">
        <v>78</v>
      </c>
      <c r="N540" t="s">
        <v>2067</v>
      </c>
      <c r="O540" t="s">
        <v>74</v>
      </c>
      <c r="P540" t="s">
        <v>74</v>
      </c>
      <c r="Q540" t="s">
        <v>74</v>
      </c>
      <c r="R540" t="s">
        <v>74</v>
      </c>
      <c r="S540" t="s">
        <v>74</v>
      </c>
      <c r="T540" t="s">
        <v>10351</v>
      </c>
      <c r="U540" t="s">
        <v>10352</v>
      </c>
      <c r="V540" t="s">
        <v>10353</v>
      </c>
      <c r="W540" t="s">
        <v>10354</v>
      </c>
      <c r="X540" t="s">
        <v>10355</v>
      </c>
      <c r="Y540" t="s">
        <v>10356</v>
      </c>
      <c r="Z540" t="s">
        <v>10357</v>
      </c>
      <c r="AA540" t="s">
        <v>10358</v>
      </c>
      <c r="AB540" t="s">
        <v>10359</v>
      </c>
      <c r="AC540" t="s">
        <v>74</v>
      </c>
      <c r="AD540" t="s">
        <v>74</v>
      </c>
      <c r="AE540" t="s">
        <v>74</v>
      </c>
      <c r="AF540" t="s">
        <v>74</v>
      </c>
      <c r="AG540">
        <v>44</v>
      </c>
      <c r="AH540">
        <v>12</v>
      </c>
      <c r="AI540">
        <v>12</v>
      </c>
      <c r="AJ540">
        <v>0</v>
      </c>
      <c r="AK540">
        <v>0</v>
      </c>
      <c r="AL540" t="s">
        <v>10176</v>
      </c>
      <c r="AM540" t="s">
        <v>5400</v>
      </c>
      <c r="AN540" t="s">
        <v>5401</v>
      </c>
      <c r="AO540" t="s">
        <v>10177</v>
      </c>
      <c r="AP540" t="s">
        <v>74</v>
      </c>
      <c r="AQ540" t="s">
        <v>10178</v>
      </c>
      <c r="AR540" t="s">
        <v>10179</v>
      </c>
      <c r="AS540" t="s">
        <v>74</v>
      </c>
      <c r="AT540" t="s">
        <v>74</v>
      </c>
      <c r="AU540">
        <v>2017</v>
      </c>
      <c r="AV540">
        <v>146</v>
      </c>
      <c r="AW540" t="s">
        <v>74</v>
      </c>
      <c r="AX540" t="s">
        <v>74</v>
      </c>
      <c r="AY540" t="s">
        <v>74</v>
      </c>
      <c r="AZ540" t="s">
        <v>74</v>
      </c>
      <c r="BA540" t="s">
        <v>74</v>
      </c>
      <c r="BB540">
        <v>175</v>
      </c>
      <c r="BC540">
        <v>196</v>
      </c>
      <c r="BD540" t="s">
        <v>74</v>
      </c>
      <c r="BE540" t="s">
        <v>10360</v>
      </c>
      <c r="BF540" t="str">
        <f>HYPERLINK("http://dx.doi.org/10.1127/1438-9134/2017/175","http://dx.doi.org/10.1127/1438-9134/2017/175")</f>
        <v>http://dx.doi.org/10.1127/1438-9134/2017/175</v>
      </c>
      <c r="BG540" t="s">
        <v>74</v>
      </c>
      <c r="BH540" t="s">
        <v>74</v>
      </c>
      <c r="BI540">
        <v>22</v>
      </c>
      <c r="BJ540" t="s">
        <v>10180</v>
      </c>
      <c r="BK540" t="s">
        <v>2084</v>
      </c>
      <c r="BL540" t="s">
        <v>10181</v>
      </c>
      <c r="BM540" t="s">
        <v>10182</v>
      </c>
      <c r="BN540" t="s">
        <v>74</v>
      </c>
      <c r="BO540" t="s">
        <v>74</v>
      </c>
      <c r="BP540" t="s">
        <v>74</v>
      </c>
      <c r="BQ540" t="s">
        <v>74</v>
      </c>
      <c r="BR540" t="s">
        <v>105</v>
      </c>
      <c r="BS540" t="s">
        <v>10361</v>
      </c>
      <c r="BT540" t="str">
        <f>HYPERLINK("https%3A%2F%2Fwww.webofscience.com%2Fwos%2Fwoscc%2Ffull-record%2FWOS:000473347500014","View Full Record in Web of Science")</f>
        <v>View Full Record in Web of Science</v>
      </c>
    </row>
    <row r="541" spans="1:72" x14ac:dyDescent="0.15">
      <c r="A541" t="s">
        <v>1921</v>
      </c>
      <c r="B541" t="s">
        <v>10362</v>
      </c>
      <c r="C541" t="s">
        <v>74</v>
      </c>
      <c r="D541" t="s">
        <v>10172</v>
      </c>
      <c r="E541" t="s">
        <v>74</v>
      </c>
      <c r="F541" t="s">
        <v>10363</v>
      </c>
      <c r="G541" t="s">
        <v>74</v>
      </c>
      <c r="H541" t="s">
        <v>74</v>
      </c>
      <c r="I541" t="s">
        <v>10364</v>
      </c>
      <c r="J541" t="s">
        <v>10174</v>
      </c>
      <c r="K541" t="s">
        <v>10175</v>
      </c>
      <c r="L541" t="s">
        <v>74</v>
      </c>
      <c r="M541" t="s">
        <v>78</v>
      </c>
      <c r="N541" t="s">
        <v>2067</v>
      </c>
      <c r="O541" t="s">
        <v>74</v>
      </c>
      <c r="P541" t="s">
        <v>74</v>
      </c>
      <c r="Q541" t="s">
        <v>74</v>
      </c>
      <c r="R541" t="s">
        <v>74</v>
      </c>
      <c r="S541" t="s">
        <v>74</v>
      </c>
      <c r="T541" t="s">
        <v>10365</v>
      </c>
      <c r="U541" t="s">
        <v>10366</v>
      </c>
      <c r="V541" t="s">
        <v>10367</v>
      </c>
      <c r="W541" t="s">
        <v>10368</v>
      </c>
      <c r="X541" t="s">
        <v>10369</v>
      </c>
      <c r="Y541" t="s">
        <v>10370</v>
      </c>
      <c r="Z541" t="s">
        <v>10371</v>
      </c>
      <c r="AA541" t="s">
        <v>10372</v>
      </c>
      <c r="AB541" t="s">
        <v>10373</v>
      </c>
      <c r="AC541" t="s">
        <v>74</v>
      </c>
      <c r="AD541" t="s">
        <v>74</v>
      </c>
      <c r="AE541" t="s">
        <v>74</v>
      </c>
      <c r="AF541" t="s">
        <v>74</v>
      </c>
      <c r="AG541">
        <v>12</v>
      </c>
      <c r="AH541">
        <v>10</v>
      </c>
      <c r="AI541">
        <v>11</v>
      </c>
      <c r="AJ541">
        <v>1</v>
      </c>
      <c r="AK541">
        <v>1</v>
      </c>
      <c r="AL541" t="s">
        <v>10176</v>
      </c>
      <c r="AM541" t="s">
        <v>5400</v>
      </c>
      <c r="AN541" t="s">
        <v>5401</v>
      </c>
      <c r="AO541" t="s">
        <v>10177</v>
      </c>
      <c r="AP541" t="s">
        <v>74</v>
      </c>
      <c r="AQ541" t="s">
        <v>10178</v>
      </c>
      <c r="AR541" t="s">
        <v>10179</v>
      </c>
      <c r="AS541" t="s">
        <v>74</v>
      </c>
      <c r="AT541" t="s">
        <v>74</v>
      </c>
      <c r="AU541">
        <v>2017</v>
      </c>
      <c r="AV541">
        <v>146</v>
      </c>
      <c r="AW541" t="s">
        <v>74</v>
      </c>
      <c r="AX541" t="s">
        <v>74</v>
      </c>
      <c r="AY541" t="s">
        <v>74</v>
      </c>
      <c r="AZ541" t="s">
        <v>74</v>
      </c>
      <c r="BA541" t="s">
        <v>74</v>
      </c>
      <c r="BB541">
        <v>197</v>
      </c>
      <c r="BC541">
        <v>208</v>
      </c>
      <c r="BD541" t="s">
        <v>74</v>
      </c>
      <c r="BE541" t="s">
        <v>10374</v>
      </c>
      <c r="BF541" t="str">
        <f>HYPERLINK("http://dx.doi.org/10.1127/1438-9134/2017/197","http://dx.doi.org/10.1127/1438-9134/2017/197")</f>
        <v>http://dx.doi.org/10.1127/1438-9134/2017/197</v>
      </c>
      <c r="BG541" t="s">
        <v>74</v>
      </c>
      <c r="BH541" t="s">
        <v>74</v>
      </c>
      <c r="BI541">
        <v>12</v>
      </c>
      <c r="BJ541" t="s">
        <v>10180</v>
      </c>
      <c r="BK541" t="s">
        <v>2084</v>
      </c>
      <c r="BL541" t="s">
        <v>10181</v>
      </c>
      <c r="BM541" t="s">
        <v>10182</v>
      </c>
      <c r="BN541" t="s">
        <v>74</v>
      </c>
      <c r="BO541" t="s">
        <v>74</v>
      </c>
      <c r="BP541" t="s">
        <v>74</v>
      </c>
      <c r="BQ541" t="s">
        <v>74</v>
      </c>
      <c r="BR541" t="s">
        <v>105</v>
      </c>
      <c r="BS541" t="s">
        <v>10375</v>
      </c>
      <c r="BT541" t="str">
        <f>HYPERLINK("https%3A%2F%2Fwww.webofscience.com%2Fwos%2Fwoscc%2Ffull-record%2FWOS:000473347500015","View Full Record in Web of Science")</f>
        <v>View Full Record in Web of Science</v>
      </c>
    </row>
    <row r="542" spans="1:72" x14ac:dyDescent="0.15">
      <c r="A542" t="s">
        <v>1921</v>
      </c>
      <c r="B542" t="s">
        <v>10376</v>
      </c>
      <c r="C542" t="s">
        <v>74</v>
      </c>
      <c r="D542" t="s">
        <v>10172</v>
      </c>
      <c r="E542" t="s">
        <v>74</v>
      </c>
      <c r="F542" t="s">
        <v>10377</v>
      </c>
      <c r="G542" t="s">
        <v>74</v>
      </c>
      <c r="H542" t="s">
        <v>74</v>
      </c>
      <c r="I542" t="s">
        <v>10378</v>
      </c>
      <c r="J542" t="s">
        <v>10174</v>
      </c>
      <c r="K542" t="s">
        <v>10175</v>
      </c>
      <c r="L542" t="s">
        <v>74</v>
      </c>
      <c r="M542" t="s">
        <v>78</v>
      </c>
      <c r="N542" t="s">
        <v>2067</v>
      </c>
      <c r="O542" t="s">
        <v>74</v>
      </c>
      <c r="P542" t="s">
        <v>74</v>
      </c>
      <c r="Q542" t="s">
        <v>74</v>
      </c>
      <c r="R542" t="s">
        <v>74</v>
      </c>
      <c r="S542" t="s">
        <v>74</v>
      </c>
      <c r="T542" t="s">
        <v>10379</v>
      </c>
      <c r="U542" t="s">
        <v>10380</v>
      </c>
      <c r="V542" t="s">
        <v>10381</v>
      </c>
      <c r="W542" t="s">
        <v>10382</v>
      </c>
      <c r="X542" t="s">
        <v>10383</v>
      </c>
      <c r="Y542" t="s">
        <v>10384</v>
      </c>
      <c r="Z542" t="s">
        <v>10385</v>
      </c>
      <c r="AA542" t="s">
        <v>74</v>
      </c>
      <c r="AB542" t="s">
        <v>74</v>
      </c>
      <c r="AC542" t="s">
        <v>74</v>
      </c>
      <c r="AD542" t="s">
        <v>74</v>
      </c>
      <c r="AE542" t="s">
        <v>74</v>
      </c>
      <c r="AF542" t="s">
        <v>74</v>
      </c>
      <c r="AG542">
        <v>64</v>
      </c>
      <c r="AH542">
        <v>6</v>
      </c>
      <c r="AI542">
        <v>6</v>
      </c>
      <c r="AJ542">
        <v>0</v>
      </c>
      <c r="AK542">
        <v>0</v>
      </c>
      <c r="AL542" t="s">
        <v>10176</v>
      </c>
      <c r="AM542" t="s">
        <v>5400</v>
      </c>
      <c r="AN542" t="s">
        <v>5401</v>
      </c>
      <c r="AO542" t="s">
        <v>10177</v>
      </c>
      <c r="AP542" t="s">
        <v>74</v>
      </c>
      <c r="AQ542" t="s">
        <v>10178</v>
      </c>
      <c r="AR542" t="s">
        <v>10179</v>
      </c>
      <c r="AS542" t="s">
        <v>74</v>
      </c>
      <c r="AT542" t="s">
        <v>74</v>
      </c>
      <c r="AU542">
        <v>2017</v>
      </c>
      <c r="AV542">
        <v>146</v>
      </c>
      <c r="AW542" t="s">
        <v>74</v>
      </c>
      <c r="AX542" t="s">
        <v>74</v>
      </c>
      <c r="AY542" t="s">
        <v>74</v>
      </c>
      <c r="AZ542" t="s">
        <v>74</v>
      </c>
      <c r="BA542" t="s">
        <v>74</v>
      </c>
      <c r="BB542">
        <v>209</v>
      </c>
      <c r="BC542">
        <v>227</v>
      </c>
      <c r="BD542" t="s">
        <v>74</v>
      </c>
      <c r="BE542" t="s">
        <v>10386</v>
      </c>
      <c r="BF542" t="str">
        <f>HYPERLINK("http://dx.doi.org/10.1127/1438-9134/2017/209","http://dx.doi.org/10.1127/1438-9134/2017/209")</f>
        <v>http://dx.doi.org/10.1127/1438-9134/2017/209</v>
      </c>
      <c r="BG542" t="s">
        <v>74</v>
      </c>
      <c r="BH542" t="s">
        <v>74</v>
      </c>
      <c r="BI542">
        <v>19</v>
      </c>
      <c r="BJ542" t="s">
        <v>10180</v>
      </c>
      <c r="BK542" t="s">
        <v>2084</v>
      </c>
      <c r="BL542" t="s">
        <v>10181</v>
      </c>
      <c r="BM542" t="s">
        <v>10182</v>
      </c>
      <c r="BN542" t="s">
        <v>74</v>
      </c>
      <c r="BO542" t="s">
        <v>74</v>
      </c>
      <c r="BP542" t="s">
        <v>74</v>
      </c>
      <c r="BQ542" t="s">
        <v>74</v>
      </c>
      <c r="BR542" t="s">
        <v>105</v>
      </c>
      <c r="BS542" t="s">
        <v>10387</v>
      </c>
      <c r="BT542" t="str">
        <f>HYPERLINK("https%3A%2F%2Fwww.webofscience.com%2Fwos%2Fwoscc%2Ffull-record%2FWOS:000473347500016","View Full Record in Web of Science")</f>
        <v>View Full Record in Web of Science</v>
      </c>
    </row>
    <row r="543" spans="1:72" x14ac:dyDescent="0.15">
      <c r="A543" t="s">
        <v>1921</v>
      </c>
      <c r="B543" t="s">
        <v>10388</v>
      </c>
      <c r="C543" t="s">
        <v>74</v>
      </c>
      <c r="D543" t="s">
        <v>10172</v>
      </c>
      <c r="E543" t="s">
        <v>74</v>
      </c>
      <c r="F543" t="s">
        <v>10389</v>
      </c>
      <c r="G543" t="s">
        <v>74</v>
      </c>
      <c r="H543" t="s">
        <v>74</v>
      </c>
      <c r="I543" t="s">
        <v>10390</v>
      </c>
      <c r="J543" t="s">
        <v>10174</v>
      </c>
      <c r="K543" t="s">
        <v>10175</v>
      </c>
      <c r="L543" t="s">
        <v>74</v>
      </c>
      <c r="M543" t="s">
        <v>78</v>
      </c>
      <c r="N543" t="s">
        <v>2067</v>
      </c>
      <c r="O543" t="s">
        <v>74</v>
      </c>
      <c r="P543" t="s">
        <v>74</v>
      </c>
      <c r="Q543" t="s">
        <v>74</v>
      </c>
      <c r="R543" t="s">
        <v>74</v>
      </c>
      <c r="S543" t="s">
        <v>74</v>
      </c>
      <c r="T543" t="s">
        <v>10391</v>
      </c>
      <c r="U543" t="s">
        <v>10392</v>
      </c>
      <c r="V543" t="s">
        <v>10393</v>
      </c>
      <c r="W543" t="s">
        <v>10394</v>
      </c>
      <c r="X543" t="s">
        <v>10395</v>
      </c>
      <c r="Y543" t="s">
        <v>10396</v>
      </c>
      <c r="Z543" t="s">
        <v>10397</v>
      </c>
      <c r="AA543" t="s">
        <v>74</v>
      </c>
      <c r="AB543" t="s">
        <v>10398</v>
      </c>
      <c r="AC543" t="s">
        <v>74</v>
      </c>
      <c r="AD543" t="s">
        <v>74</v>
      </c>
      <c r="AE543" t="s">
        <v>74</v>
      </c>
      <c r="AF543" t="s">
        <v>74</v>
      </c>
      <c r="AG543">
        <v>35</v>
      </c>
      <c r="AH543">
        <v>5</v>
      </c>
      <c r="AI543">
        <v>5</v>
      </c>
      <c r="AJ543">
        <v>0</v>
      </c>
      <c r="AK543">
        <v>1</v>
      </c>
      <c r="AL543" t="s">
        <v>10176</v>
      </c>
      <c r="AM543" t="s">
        <v>5400</v>
      </c>
      <c r="AN543" t="s">
        <v>5401</v>
      </c>
      <c r="AO543" t="s">
        <v>10177</v>
      </c>
      <c r="AP543" t="s">
        <v>74</v>
      </c>
      <c r="AQ543" t="s">
        <v>10178</v>
      </c>
      <c r="AR543" t="s">
        <v>10179</v>
      </c>
      <c r="AS543" t="s">
        <v>74</v>
      </c>
      <c r="AT543" t="s">
        <v>74</v>
      </c>
      <c r="AU543">
        <v>2017</v>
      </c>
      <c r="AV543">
        <v>146</v>
      </c>
      <c r="AW543" t="s">
        <v>74</v>
      </c>
      <c r="AX543" t="s">
        <v>74</v>
      </c>
      <c r="AY543" t="s">
        <v>74</v>
      </c>
      <c r="AZ543" t="s">
        <v>74</v>
      </c>
      <c r="BA543" t="s">
        <v>74</v>
      </c>
      <c r="BB543">
        <v>229</v>
      </c>
      <c r="BC543">
        <v>240</v>
      </c>
      <c r="BD543" t="s">
        <v>74</v>
      </c>
      <c r="BE543" t="s">
        <v>10399</v>
      </c>
      <c r="BF543" t="str">
        <f>HYPERLINK("http://dx.doi.org/10.1127/1438-9134/2017/229","http://dx.doi.org/10.1127/1438-9134/2017/229")</f>
        <v>http://dx.doi.org/10.1127/1438-9134/2017/229</v>
      </c>
      <c r="BG543" t="s">
        <v>74</v>
      </c>
      <c r="BH543" t="s">
        <v>74</v>
      </c>
      <c r="BI543">
        <v>12</v>
      </c>
      <c r="BJ543" t="s">
        <v>10180</v>
      </c>
      <c r="BK543" t="s">
        <v>2084</v>
      </c>
      <c r="BL543" t="s">
        <v>10181</v>
      </c>
      <c r="BM543" t="s">
        <v>10182</v>
      </c>
      <c r="BN543" t="s">
        <v>74</v>
      </c>
      <c r="BO543" t="s">
        <v>74</v>
      </c>
      <c r="BP543" t="s">
        <v>74</v>
      </c>
      <c r="BQ543" t="s">
        <v>74</v>
      </c>
      <c r="BR543" t="s">
        <v>105</v>
      </c>
      <c r="BS543" t="s">
        <v>10400</v>
      </c>
      <c r="BT543" t="str">
        <f>HYPERLINK("https%3A%2F%2Fwww.webofscience.com%2Fwos%2Fwoscc%2Ffull-record%2FWOS:000473347500017","View Full Record in Web of Science")</f>
        <v>View Full Record in Web of Science</v>
      </c>
    </row>
    <row r="544" spans="1:72" x14ac:dyDescent="0.15">
      <c r="A544" t="s">
        <v>1921</v>
      </c>
      <c r="B544" t="s">
        <v>10401</v>
      </c>
      <c r="C544" t="s">
        <v>74</v>
      </c>
      <c r="D544" t="s">
        <v>10172</v>
      </c>
      <c r="E544" t="s">
        <v>74</v>
      </c>
      <c r="F544" t="s">
        <v>10402</v>
      </c>
      <c r="G544" t="s">
        <v>74</v>
      </c>
      <c r="H544" t="s">
        <v>74</v>
      </c>
      <c r="I544" t="s">
        <v>10403</v>
      </c>
      <c r="J544" t="s">
        <v>10174</v>
      </c>
      <c r="K544" t="s">
        <v>10175</v>
      </c>
      <c r="L544" t="s">
        <v>74</v>
      </c>
      <c r="M544" t="s">
        <v>78</v>
      </c>
      <c r="N544" t="s">
        <v>2067</v>
      </c>
      <c r="O544" t="s">
        <v>74</v>
      </c>
      <c r="P544" t="s">
        <v>74</v>
      </c>
      <c r="Q544" t="s">
        <v>74</v>
      </c>
      <c r="R544" t="s">
        <v>74</v>
      </c>
      <c r="S544" t="s">
        <v>74</v>
      </c>
      <c r="T544" t="s">
        <v>10404</v>
      </c>
      <c r="U544" t="s">
        <v>10405</v>
      </c>
      <c r="V544" t="s">
        <v>10406</v>
      </c>
      <c r="W544" t="s">
        <v>10407</v>
      </c>
      <c r="X544" t="s">
        <v>10408</v>
      </c>
      <c r="Y544" t="s">
        <v>10409</v>
      </c>
      <c r="Z544" t="s">
        <v>10330</v>
      </c>
      <c r="AA544" t="s">
        <v>10410</v>
      </c>
      <c r="AB544" t="s">
        <v>10411</v>
      </c>
      <c r="AC544" t="s">
        <v>74</v>
      </c>
      <c r="AD544" t="s">
        <v>74</v>
      </c>
      <c r="AE544" t="s">
        <v>74</v>
      </c>
      <c r="AF544" t="s">
        <v>74</v>
      </c>
      <c r="AG544">
        <v>36</v>
      </c>
      <c r="AH544">
        <v>11</v>
      </c>
      <c r="AI544">
        <v>12</v>
      </c>
      <c r="AJ544">
        <v>1</v>
      </c>
      <c r="AK544">
        <v>3</v>
      </c>
      <c r="AL544" t="s">
        <v>10176</v>
      </c>
      <c r="AM544" t="s">
        <v>5400</v>
      </c>
      <c r="AN544" t="s">
        <v>5401</v>
      </c>
      <c r="AO544" t="s">
        <v>10177</v>
      </c>
      <c r="AP544" t="s">
        <v>74</v>
      </c>
      <c r="AQ544" t="s">
        <v>10178</v>
      </c>
      <c r="AR544" t="s">
        <v>10179</v>
      </c>
      <c r="AS544" t="s">
        <v>74</v>
      </c>
      <c r="AT544" t="s">
        <v>74</v>
      </c>
      <c r="AU544">
        <v>2017</v>
      </c>
      <c r="AV544">
        <v>146</v>
      </c>
      <c r="AW544" t="s">
        <v>74</v>
      </c>
      <c r="AX544" t="s">
        <v>74</v>
      </c>
      <c r="AY544" t="s">
        <v>74</v>
      </c>
      <c r="AZ544" t="s">
        <v>74</v>
      </c>
      <c r="BA544" t="s">
        <v>74</v>
      </c>
      <c r="BB544">
        <v>241</v>
      </c>
      <c r="BC544">
        <v>252</v>
      </c>
      <c r="BD544" t="s">
        <v>74</v>
      </c>
      <c r="BE544" t="s">
        <v>10412</v>
      </c>
      <c r="BF544" t="str">
        <f>HYPERLINK("http://dx.doi.org/10.1127/1438-9134/2017/241","http://dx.doi.org/10.1127/1438-9134/2017/241")</f>
        <v>http://dx.doi.org/10.1127/1438-9134/2017/241</v>
      </c>
      <c r="BG544" t="s">
        <v>74</v>
      </c>
      <c r="BH544" t="s">
        <v>74</v>
      </c>
      <c r="BI544">
        <v>12</v>
      </c>
      <c r="BJ544" t="s">
        <v>10180</v>
      </c>
      <c r="BK544" t="s">
        <v>2084</v>
      </c>
      <c r="BL544" t="s">
        <v>10181</v>
      </c>
      <c r="BM544" t="s">
        <v>10182</v>
      </c>
      <c r="BN544" t="s">
        <v>74</v>
      </c>
      <c r="BO544" t="s">
        <v>74</v>
      </c>
      <c r="BP544" t="s">
        <v>74</v>
      </c>
      <c r="BQ544" t="s">
        <v>74</v>
      </c>
      <c r="BR544" t="s">
        <v>105</v>
      </c>
      <c r="BS544" t="s">
        <v>10413</v>
      </c>
      <c r="BT544" t="str">
        <f>HYPERLINK("https%3A%2F%2Fwww.webofscience.com%2Fwos%2Fwoscc%2Ffull-record%2FWOS:000473347500018","View Full Record in Web of Science")</f>
        <v>View Full Record in Web of Science</v>
      </c>
    </row>
    <row r="545" spans="1:72" x14ac:dyDescent="0.15">
      <c r="A545" t="s">
        <v>1921</v>
      </c>
      <c r="B545" t="s">
        <v>10414</v>
      </c>
      <c r="C545" t="s">
        <v>74</v>
      </c>
      <c r="D545" t="s">
        <v>10172</v>
      </c>
      <c r="E545" t="s">
        <v>74</v>
      </c>
      <c r="F545" t="s">
        <v>10415</v>
      </c>
      <c r="G545" t="s">
        <v>74</v>
      </c>
      <c r="H545" t="s">
        <v>74</v>
      </c>
      <c r="I545" t="s">
        <v>10416</v>
      </c>
      <c r="J545" t="s">
        <v>10174</v>
      </c>
      <c r="K545" t="s">
        <v>10175</v>
      </c>
      <c r="L545" t="s">
        <v>74</v>
      </c>
      <c r="M545" t="s">
        <v>78</v>
      </c>
      <c r="N545" t="s">
        <v>2067</v>
      </c>
      <c r="O545" t="s">
        <v>74</v>
      </c>
      <c r="P545" t="s">
        <v>74</v>
      </c>
      <c r="Q545" t="s">
        <v>74</v>
      </c>
      <c r="R545" t="s">
        <v>74</v>
      </c>
      <c r="S545" t="s">
        <v>74</v>
      </c>
      <c r="T545" t="s">
        <v>10417</v>
      </c>
      <c r="U545" t="s">
        <v>10418</v>
      </c>
      <c r="V545" t="s">
        <v>10419</v>
      </c>
      <c r="W545" t="s">
        <v>10420</v>
      </c>
      <c r="X545" t="s">
        <v>10355</v>
      </c>
      <c r="Y545" t="s">
        <v>10421</v>
      </c>
      <c r="Z545" t="s">
        <v>10422</v>
      </c>
      <c r="AA545" t="s">
        <v>74</v>
      </c>
      <c r="AB545" t="s">
        <v>74</v>
      </c>
      <c r="AC545" t="s">
        <v>74</v>
      </c>
      <c r="AD545" t="s">
        <v>74</v>
      </c>
      <c r="AE545" t="s">
        <v>74</v>
      </c>
      <c r="AF545" t="s">
        <v>74</v>
      </c>
      <c r="AG545">
        <v>59</v>
      </c>
      <c r="AH545">
        <v>5</v>
      </c>
      <c r="AI545">
        <v>5</v>
      </c>
      <c r="AJ545">
        <v>0</v>
      </c>
      <c r="AK545">
        <v>0</v>
      </c>
      <c r="AL545" t="s">
        <v>10176</v>
      </c>
      <c r="AM545" t="s">
        <v>5400</v>
      </c>
      <c r="AN545" t="s">
        <v>5401</v>
      </c>
      <c r="AO545" t="s">
        <v>10177</v>
      </c>
      <c r="AP545" t="s">
        <v>74</v>
      </c>
      <c r="AQ545" t="s">
        <v>10178</v>
      </c>
      <c r="AR545" t="s">
        <v>10179</v>
      </c>
      <c r="AS545" t="s">
        <v>74</v>
      </c>
      <c r="AT545" t="s">
        <v>74</v>
      </c>
      <c r="AU545">
        <v>2017</v>
      </c>
      <c r="AV545">
        <v>146</v>
      </c>
      <c r="AW545" t="s">
        <v>74</v>
      </c>
      <c r="AX545" t="s">
        <v>74</v>
      </c>
      <c r="AY545" t="s">
        <v>74</v>
      </c>
      <c r="AZ545" t="s">
        <v>74</v>
      </c>
      <c r="BA545" t="s">
        <v>74</v>
      </c>
      <c r="BB545">
        <v>253</v>
      </c>
      <c r="BC545">
        <v>277</v>
      </c>
      <c r="BD545" t="s">
        <v>74</v>
      </c>
      <c r="BE545" t="s">
        <v>10423</v>
      </c>
      <c r="BF545" t="str">
        <f>HYPERLINK("http://dx.doi.org/10.1127/1438-9134/2017/253","http://dx.doi.org/10.1127/1438-9134/2017/253")</f>
        <v>http://dx.doi.org/10.1127/1438-9134/2017/253</v>
      </c>
      <c r="BG545" t="s">
        <v>74</v>
      </c>
      <c r="BH545" t="s">
        <v>74</v>
      </c>
      <c r="BI545">
        <v>25</v>
      </c>
      <c r="BJ545" t="s">
        <v>10180</v>
      </c>
      <c r="BK545" t="s">
        <v>2084</v>
      </c>
      <c r="BL545" t="s">
        <v>10181</v>
      </c>
      <c r="BM545" t="s">
        <v>10182</v>
      </c>
      <c r="BN545" t="s">
        <v>74</v>
      </c>
      <c r="BO545" t="s">
        <v>74</v>
      </c>
      <c r="BP545" t="s">
        <v>74</v>
      </c>
      <c r="BQ545" t="s">
        <v>74</v>
      </c>
      <c r="BR545" t="s">
        <v>105</v>
      </c>
      <c r="BS545" t="s">
        <v>10424</v>
      </c>
      <c r="BT545" t="str">
        <f>HYPERLINK("https%3A%2F%2Fwww.webofscience.com%2Fwos%2Fwoscc%2Ffull-record%2FWOS:000473347500019","View Full Record in Web of Science")</f>
        <v>View Full Record in Web of Science</v>
      </c>
    </row>
    <row r="546" spans="1:72" x14ac:dyDescent="0.15">
      <c r="A546" t="s">
        <v>1921</v>
      </c>
      <c r="B546" t="s">
        <v>10425</v>
      </c>
      <c r="C546" t="s">
        <v>74</v>
      </c>
      <c r="D546" t="s">
        <v>10172</v>
      </c>
      <c r="E546" t="s">
        <v>74</v>
      </c>
      <c r="F546" t="s">
        <v>10426</v>
      </c>
      <c r="G546" t="s">
        <v>74</v>
      </c>
      <c r="H546" t="s">
        <v>74</v>
      </c>
      <c r="I546" t="s">
        <v>10427</v>
      </c>
      <c r="J546" t="s">
        <v>10174</v>
      </c>
      <c r="K546" t="s">
        <v>10175</v>
      </c>
      <c r="L546" t="s">
        <v>74</v>
      </c>
      <c r="M546" t="s">
        <v>78</v>
      </c>
      <c r="N546" t="s">
        <v>2067</v>
      </c>
      <c r="O546" t="s">
        <v>74</v>
      </c>
      <c r="P546" t="s">
        <v>74</v>
      </c>
      <c r="Q546" t="s">
        <v>74</v>
      </c>
      <c r="R546" t="s">
        <v>74</v>
      </c>
      <c r="S546" t="s">
        <v>74</v>
      </c>
      <c r="T546" t="s">
        <v>10428</v>
      </c>
      <c r="U546" t="s">
        <v>10429</v>
      </c>
      <c r="V546" t="s">
        <v>10430</v>
      </c>
      <c r="W546" t="s">
        <v>10431</v>
      </c>
      <c r="X546" t="s">
        <v>10432</v>
      </c>
      <c r="Y546" t="s">
        <v>10433</v>
      </c>
      <c r="Z546" t="s">
        <v>10434</v>
      </c>
      <c r="AA546" t="s">
        <v>10435</v>
      </c>
      <c r="AB546" t="s">
        <v>10436</v>
      </c>
      <c r="AC546" t="s">
        <v>74</v>
      </c>
      <c r="AD546" t="s">
        <v>74</v>
      </c>
      <c r="AE546" t="s">
        <v>74</v>
      </c>
      <c r="AF546" t="s">
        <v>74</v>
      </c>
      <c r="AG546">
        <v>69</v>
      </c>
      <c r="AH546">
        <v>4</v>
      </c>
      <c r="AI546">
        <v>4</v>
      </c>
      <c r="AJ546">
        <v>2</v>
      </c>
      <c r="AK546">
        <v>6</v>
      </c>
      <c r="AL546" t="s">
        <v>10176</v>
      </c>
      <c r="AM546" t="s">
        <v>5400</v>
      </c>
      <c r="AN546" t="s">
        <v>5401</v>
      </c>
      <c r="AO546" t="s">
        <v>10177</v>
      </c>
      <c r="AP546" t="s">
        <v>74</v>
      </c>
      <c r="AQ546" t="s">
        <v>10178</v>
      </c>
      <c r="AR546" t="s">
        <v>10179</v>
      </c>
      <c r="AS546" t="s">
        <v>74</v>
      </c>
      <c r="AT546" t="s">
        <v>74</v>
      </c>
      <c r="AU546">
        <v>2017</v>
      </c>
      <c r="AV546">
        <v>146</v>
      </c>
      <c r="AW546" t="s">
        <v>74</v>
      </c>
      <c r="AX546" t="s">
        <v>74</v>
      </c>
      <c r="AY546" t="s">
        <v>74</v>
      </c>
      <c r="AZ546" t="s">
        <v>74</v>
      </c>
      <c r="BA546" t="s">
        <v>74</v>
      </c>
      <c r="BB546">
        <v>279</v>
      </c>
      <c r="BC546">
        <v>302</v>
      </c>
      <c r="BD546" t="s">
        <v>74</v>
      </c>
      <c r="BE546" t="s">
        <v>10437</v>
      </c>
      <c r="BF546" t="str">
        <f>HYPERLINK("http://dx.doi.org/10.1127/1438-9134/2017/279","http://dx.doi.org/10.1127/1438-9134/2017/279")</f>
        <v>http://dx.doi.org/10.1127/1438-9134/2017/279</v>
      </c>
      <c r="BG546" t="s">
        <v>74</v>
      </c>
      <c r="BH546" t="s">
        <v>74</v>
      </c>
      <c r="BI546">
        <v>24</v>
      </c>
      <c r="BJ546" t="s">
        <v>10180</v>
      </c>
      <c r="BK546" t="s">
        <v>2084</v>
      </c>
      <c r="BL546" t="s">
        <v>10181</v>
      </c>
      <c r="BM546" t="s">
        <v>10182</v>
      </c>
      <c r="BN546" t="s">
        <v>74</v>
      </c>
      <c r="BO546" t="s">
        <v>74</v>
      </c>
      <c r="BP546" t="s">
        <v>74</v>
      </c>
      <c r="BQ546" t="s">
        <v>74</v>
      </c>
      <c r="BR546" t="s">
        <v>105</v>
      </c>
      <c r="BS546" t="s">
        <v>10438</v>
      </c>
      <c r="BT546" t="str">
        <f>HYPERLINK("https%3A%2F%2Fwww.webofscience.com%2Fwos%2Fwoscc%2Ffull-record%2FWOS:000473347500020","View Full Record in Web of Science")</f>
        <v>View Full Record in Web of Science</v>
      </c>
    </row>
    <row r="547" spans="1:72" x14ac:dyDescent="0.15">
      <c r="A547" t="s">
        <v>1921</v>
      </c>
      <c r="B547" t="s">
        <v>10439</v>
      </c>
      <c r="C547" t="s">
        <v>74</v>
      </c>
      <c r="D547" t="s">
        <v>10172</v>
      </c>
      <c r="E547" t="s">
        <v>74</v>
      </c>
      <c r="F547" t="s">
        <v>10440</v>
      </c>
      <c r="G547" t="s">
        <v>74</v>
      </c>
      <c r="H547" t="s">
        <v>74</v>
      </c>
      <c r="I547" t="s">
        <v>10441</v>
      </c>
      <c r="J547" t="s">
        <v>10174</v>
      </c>
      <c r="K547" t="s">
        <v>10175</v>
      </c>
      <c r="L547" t="s">
        <v>74</v>
      </c>
      <c r="M547" t="s">
        <v>78</v>
      </c>
      <c r="N547" t="s">
        <v>2067</v>
      </c>
      <c r="O547" t="s">
        <v>74</v>
      </c>
      <c r="P547" t="s">
        <v>74</v>
      </c>
      <c r="Q547" t="s">
        <v>74</v>
      </c>
      <c r="R547" t="s">
        <v>74</v>
      </c>
      <c r="S547" t="s">
        <v>74</v>
      </c>
      <c r="T547" t="s">
        <v>10442</v>
      </c>
      <c r="U547" t="s">
        <v>10443</v>
      </c>
      <c r="V547" t="s">
        <v>10444</v>
      </c>
      <c r="W547" t="s">
        <v>10445</v>
      </c>
      <c r="X547" t="s">
        <v>10446</v>
      </c>
      <c r="Y547" t="s">
        <v>10447</v>
      </c>
      <c r="Z547" t="s">
        <v>10448</v>
      </c>
      <c r="AA547" t="s">
        <v>74</v>
      </c>
      <c r="AB547" t="s">
        <v>10449</v>
      </c>
      <c r="AC547" t="s">
        <v>74</v>
      </c>
      <c r="AD547" t="s">
        <v>74</v>
      </c>
      <c r="AE547" t="s">
        <v>74</v>
      </c>
      <c r="AF547" t="s">
        <v>74</v>
      </c>
      <c r="AG547">
        <v>48</v>
      </c>
      <c r="AH547">
        <v>4</v>
      </c>
      <c r="AI547">
        <v>5</v>
      </c>
      <c r="AJ547">
        <v>0</v>
      </c>
      <c r="AK547">
        <v>3</v>
      </c>
      <c r="AL547" t="s">
        <v>10176</v>
      </c>
      <c r="AM547" t="s">
        <v>5400</v>
      </c>
      <c r="AN547" t="s">
        <v>5401</v>
      </c>
      <c r="AO547" t="s">
        <v>10177</v>
      </c>
      <c r="AP547" t="s">
        <v>74</v>
      </c>
      <c r="AQ547" t="s">
        <v>10178</v>
      </c>
      <c r="AR547" t="s">
        <v>10179</v>
      </c>
      <c r="AS547" t="s">
        <v>74</v>
      </c>
      <c r="AT547" t="s">
        <v>74</v>
      </c>
      <c r="AU547">
        <v>2017</v>
      </c>
      <c r="AV547">
        <v>146</v>
      </c>
      <c r="AW547" t="s">
        <v>74</v>
      </c>
      <c r="AX547" t="s">
        <v>74</v>
      </c>
      <c r="AY547" t="s">
        <v>74</v>
      </c>
      <c r="AZ547" t="s">
        <v>74</v>
      </c>
      <c r="BA547" t="s">
        <v>74</v>
      </c>
      <c r="BB547">
        <v>303</v>
      </c>
      <c r="BC547">
        <v>313</v>
      </c>
      <c r="BD547" t="s">
        <v>74</v>
      </c>
      <c r="BE547" t="s">
        <v>10450</v>
      </c>
      <c r="BF547" t="str">
        <f>HYPERLINK("http://dx.doi.org/10.1127/1438-9134/2017/303","http://dx.doi.org/10.1127/1438-9134/2017/303")</f>
        <v>http://dx.doi.org/10.1127/1438-9134/2017/303</v>
      </c>
      <c r="BG547" t="s">
        <v>74</v>
      </c>
      <c r="BH547" t="s">
        <v>74</v>
      </c>
      <c r="BI547">
        <v>11</v>
      </c>
      <c r="BJ547" t="s">
        <v>10180</v>
      </c>
      <c r="BK547" t="s">
        <v>2084</v>
      </c>
      <c r="BL547" t="s">
        <v>10181</v>
      </c>
      <c r="BM547" t="s">
        <v>10182</v>
      </c>
      <c r="BN547" t="s">
        <v>74</v>
      </c>
      <c r="BO547" t="s">
        <v>74</v>
      </c>
      <c r="BP547" t="s">
        <v>74</v>
      </c>
      <c r="BQ547" t="s">
        <v>74</v>
      </c>
      <c r="BR547" t="s">
        <v>105</v>
      </c>
      <c r="BS547" t="s">
        <v>10451</v>
      </c>
      <c r="BT547" t="str">
        <f>HYPERLINK("https%3A%2F%2Fwww.webofscience.com%2Fwos%2Fwoscc%2Ffull-record%2FWOS:000473347500021","View Full Record in Web of Science")</f>
        <v>View Full Record in Web of Science</v>
      </c>
    </row>
    <row r="548" spans="1:72" x14ac:dyDescent="0.15">
      <c r="A548" t="s">
        <v>1921</v>
      </c>
      <c r="B548" t="s">
        <v>10184</v>
      </c>
      <c r="C548" t="s">
        <v>74</v>
      </c>
      <c r="D548" t="s">
        <v>10172</v>
      </c>
      <c r="E548" t="s">
        <v>74</v>
      </c>
      <c r="F548" t="s">
        <v>10185</v>
      </c>
      <c r="G548" t="s">
        <v>74</v>
      </c>
      <c r="H548" t="s">
        <v>74</v>
      </c>
      <c r="I548" t="s">
        <v>10452</v>
      </c>
      <c r="J548" t="s">
        <v>10174</v>
      </c>
      <c r="K548" t="s">
        <v>10175</v>
      </c>
      <c r="L548" t="s">
        <v>74</v>
      </c>
      <c r="M548" t="s">
        <v>78</v>
      </c>
      <c r="N548" t="s">
        <v>10453</v>
      </c>
      <c r="O548" t="s">
        <v>74</v>
      </c>
      <c r="P548" t="s">
        <v>74</v>
      </c>
      <c r="Q548" t="s">
        <v>74</v>
      </c>
      <c r="R548" t="s">
        <v>74</v>
      </c>
      <c r="S548" t="s">
        <v>74</v>
      </c>
      <c r="T548" t="s">
        <v>74</v>
      </c>
      <c r="U548" t="s">
        <v>74</v>
      </c>
      <c r="V548" t="s">
        <v>74</v>
      </c>
      <c r="W548" t="s">
        <v>10454</v>
      </c>
      <c r="X548" t="s">
        <v>10189</v>
      </c>
      <c r="Y548" t="s">
        <v>10455</v>
      </c>
      <c r="Z548" t="s">
        <v>10191</v>
      </c>
      <c r="AA548" t="s">
        <v>74</v>
      </c>
      <c r="AB548" t="s">
        <v>74</v>
      </c>
      <c r="AC548" t="s">
        <v>74</v>
      </c>
      <c r="AD548" t="s">
        <v>74</v>
      </c>
      <c r="AE548" t="s">
        <v>74</v>
      </c>
      <c r="AF548" t="s">
        <v>74</v>
      </c>
      <c r="AG548">
        <v>0</v>
      </c>
      <c r="AH548">
        <v>1</v>
      </c>
      <c r="AI548">
        <v>1</v>
      </c>
      <c r="AJ548">
        <v>0</v>
      </c>
      <c r="AK548">
        <v>0</v>
      </c>
      <c r="AL548" t="s">
        <v>10176</v>
      </c>
      <c r="AM548" t="s">
        <v>5400</v>
      </c>
      <c r="AN548" t="s">
        <v>5401</v>
      </c>
      <c r="AO548" t="s">
        <v>10177</v>
      </c>
      <c r="AP548" t="s">
        <v>74</v>
      </c>
      <c r="AQ548" t="s">
        <v>10178</v>
      </c>
      <c r="AR548" t="s">
        <v>10179</v>
      </c>
      <c r="AS548" t="s">
        <v>74</v>
      </c>
      <c r="AT548" t="s">
        <v>74</v>
      </c>
      <c r="AU548">
        <v>2017</v>
      </c>
      <c r="AV548">
        <v>146</v>
      </c>
      <c r="AW548" t="s">
        <v>74</v>
      </c>
      <c r="AX548" t="s">
        <v>74</v>
      </c>
      <c r="AY548" t="s">
        <v>74</v>
      </c>
      <c r="AZ548" t="s">
        <v>74</v>
      </c>
      <c r="BA548" t="s">
        <v>74</v>
      </c>
      <c r="BB548">
        <v>315</v>
      </c>
      <c r="BC548">
        <v>325</v>
      </c>
      <c r="BD548" t="s">
        <v>74</v>
      </c>
      <c r="BE548" t="s">
        <v>10456</v>
      </c>
      <c r="BF548" t="str">
        <f>HYPERLINK("http://dx.doi.org/10.1127/1438-9134/2017/315","http://dx.doi.org/10.1127/1438-9134/2017/315")</f>
        <v>http://dx.doi.org/10.1127/1438-9134/2017/315</v>
      </c>
      <c r="BG548" t="s">
        <v>74</v>
      </c>
      <c r="BH548" t="s">
        <v>74</v>
      </c>
      <c r="BI548">
        <v>11</v>
      </c>
      <c r="BJ548" t="s">
        <v>10180</v>
      </c>
      <c r="BK548" t="s">
        <v>2084</v>
      </c>
      <c r="BL548" t="s">
        <v>10181</v>
      </c>
      <c r="BM548" t="s">
        <v>10182</v>
      </c>
      <c r="BN548" t="s">
        <v>74</v>
      </c>
      <c r="BO548" t="s">
        <v>74</v>
      </c>
      <c r="BP548" t="s">
        <v>74</v>
      </c>
      <c r="BQ548" t="s">
        <v>74</v>
      </c>
      <c r="BR548" t="s">
        <v>105</v>
      </c>
      <c r="BS548" t="s">
        <v>10457</v>
      </c>
      <c r="BT548" t="str">
        <f>HYPERLINK("https%3A%2F%2Fwww.webofscience.com%2Fwos%2Fwoscc%2Ffull-record%2FWOS:000473347500022","View Full Record in Web of Science")</f>
        <v>View Full Record in Web of Science</v>
      </c>
    </row>
    <row r="549" spans="1:72" x14ac:dyDescent="0.15">
      <c r="A549" t="s">
        <v>72</v>
      </c>
      <c r="B549" t="s">
        <v>10458</v>
      </c>
      <c r="C549" t="s">
        <v>74</v>
      </c>
      <c r="D549" t="s">
        <v>74</v>
      </c>
      <c r="E549" t="s">
        <v>74</v>
      </c>
      <c r="F549" t="s">
        <v>10459</v>
      </c>
      <c r="G549" t="s">
        <v>74</v>
      </c>
      <c r="H549" t="s">
        <v>74</v>
      </c>
      <c r="I549" t="s">
        <v>10460</v>
      </c>
      <c r="J549" t="s">
        <v>1187</v>
      </c>
      <c r="K549" t="s">
        <v>74</v>
      </c>
      <c r="L549" t="s">
        <v>74</v>
      </c>
      <c r="M549" t="s">
        <v>78</v>
      </c>
      <c r="N549" t="s">
        <v>79</v>
      </c>
      <c r="O549" t="s">
        <v>74</v>
      </c>
      <c r="P549" t="s">
        <v>74</v>
      </c>
      <c r="Q549" t="s">
        <v>74</v>
      </c>
      <c r="R549" t="s">
        <v>74</v>
      </c>
      <c r="S549" t="s">
        <v>74</v>
      </c>
      <c r="T549" t="s">
        <v>10461</v>
      </c>
      <c r="U549" t="s">
        <v>10462</v>
      </c>
      <c r="V549" t="s">
        <v>10463</v>
      </c>
      <c r="W549" t="s">
        <v>10464</v>
      </c>
      <c r="X549" t="s">
        <v>10465</v>
      </c>
      <c r="Y549" t="s">
        <v>10466</v>
      </c>
      <c r="Z549" t="s">
        <v>10467</v>
      </c>
      <c r="AA549" t="s">
        <v>10468</v>
      </c>
      <c r="AB549" t="s">
        <v>10469</v>
      </c>
      <c r="AC549" t="s">
        <v>10470</v>
      </c>
      <c r="AD549" t="s">
        <v>10471</v>
      </c>
      <c r="AE549" t="s">
        <v>10472</v>
      </c>
      <c r="AF549" t="s">
        <v>74</v>
      </c>
      <c r="AG549">
        <v>102</v>
      </c>
      <c r="AH549">
        <v>34</v>
      </c>
      <c r="AI549">
        <v>41</v>
      </c>
      <c r="AJ549">
        <v>1</v>
      </c>
      <c r="AK549">
        <v>47</v>
      </c>
      <c r="AL549" t="s">
        <v>264</v>
      </c>
      <c r="AM549" t="s">
        <v>169</v>
      </c>
      <c r="AN549" t="s">
        <v>265</v>
      </c>
      <c r="AO549" t="s">
        <v>1200</v>
      </c>
      <c r="AP549" t="s">
        <v>1201</v>
      </c>
      <c r="AQ549" t="s">
        <v>74</v>
      </c>
      <c r="AR549" t="s">
        <v>1202</v>
      </c>
      <c r="AS549" t="s">
        <v>1203</v>
      </c>
      <c r="AT549" t="s">
        <v>2162</v>
      </c>
      <c r="AU549">
        <v>2017</v>
      </c>
      <c r="AV549">
        <v>457</v>
      </c>
      <c r="AW549" t="s">
        <v>74</v>
      </c>
      <c r="AX549" t="s">
        <v>74</v>
      </c>
      <c r="AY549" t="s">
        <v>74</v>
      </c>
      <c r="AZ549" t="s">
        <v>74</v>
      </c>
      <c r="BA549" t="s">
        <v>74</v>
      </c>
      <c r="BB549">
        <v>238</v>
      </c>
      <c r="BC549">
        <v>249</v>
      </c>
      <c r="BD549" t="s">
        <v>74</v>
      </c>
      <c r="BE549" t="s">
        <v>10473</v>
      </c>
      <c r="BF549" t="str">
        <f>HYPERLINK("http://dx.doi.org/10.1016/j.epsl.2016.09.021","http://dx.doi.org/10.1016/j.epsl.2016.09.021")</f>
        <v>http://dx.doi.org/10.1016/j.epsl.2016.09.021</v>
      </c>
      <c r="BG549" t="s">
        <v>74</v>
      </c>
      <c r="BH549" t="s">
        <v>74</v>
      </c>
      <c r="BI549">
        <v>12</v>
      </c>
      <c r="BJ549" t="s">
        <v>299</v>
      </c>
      <c r="BK549" t="s">
        <v>101</v>
      </c>
      <c r="BL549" t="s">
        <v>299</v>
      </c>
      <c r="BM549" t="s">
        <v>2234</v>
      </c>
      <c r="BN549" t="s">
        <v>74</v>
      </c>
      <c r="BO549" t="s">
        <v>2028</v>
      </c>
      <c r="BP549" t="s">
        <v>74</v>
      </c>
      <c r="BQ549" t="s">
        <v>74</v>
      </c>
      <c r="BR549" t="s">
        <v>105</v>
      </c>
      <c r="BS549" t="s">
        <v>10474</v>
      </c>
      <c r="BT549" t="str">
        <f>HYPERLINK("https%3A%2F%2Fwww.webofscience.com%2Fwos%2Fwoscc%2Ffull-record%2FWOS:000389398000022","View Full Record in Web of Science")</f>
        <v>View Full Record in Web of Science</v>
      </c>
    </row>
    <row r="550" spans="1:72" x14ac:dyDescent="0.15">
      <c r="A550" t="s">
        <v>72</v>
      </c>
      <c r="B550" t="s">
        <v>10475</v>
      </c>
      <c r="C550" t="s">
        <v>74</v>
      </c>
      <c r="D550" t="s">
        <v>74</v>
      </c>
      <c r="E550" t="s">
        <v>74</v>
      </c>
      <c r="F550" t="s">
        <v>10476</v>
      </c>
      <c r="G550" t="s">
        <v>74</v>
      </c>
      <c r="H550" t="s">
        <v>74</v>
      </c>
      <c r="I550" t="s">
        <v>10477</v>
      </c>
      <c r="J550" t="s">
        <v>10478</v>
      </c>
      <c r="K550" t="s">
        <v>74</v>
      </c>
      <c r="L550" t="s">
        <v>74</v>
      </c>
      <c r="M550" t="s">
        <v>78</v>
      </c>
      <c r="N550" t="s">
        <v>79</v>
      </c>
      <c r="O550" t="s">
        <v>74</v>
      </c>
      <c r="P550" t="s">
        <v>74</v>
      </c>
      <c r="Q550" t="s">
        <v>74</v>
      </c>
      <c r="R550" t="s">
        <v>74</v>
      </c>
      <c r="S550" t="s">
        <v>74</v>
      </c>
      <c r="T550" t="s">
        <v>10479</v>
      </c>
      <c r="U550" t="s">
        <v>10480</v>
      </c>
      <c r="V550" t="s">
        <v>10481</v>
      </c>
      <c r="W550" t="s">
        <v>10482</v>
      </c>
      <c r="X550" t="s">
        <v>10483</v>
      </c>
      <c r="Y550" t="s">
        <v>10484</v>
      </c>
      <c r="Z550" t="s">
        <v>10485</v>
      </c>
      <c r="AA550" t="s">
        <v>10486</v>
      </c>
      <c r="AB550" t="s">
        <v>10487</v>
      </c>
      <c r="AC550" t="s">
        <v>10488</v>
      </c>
      <c r="AD550" t="s">
        <v>10489</v>
      </c>
      <c r="AE550" t="s">
        <v>10490</v>
      </c>
      <c r="AF550" t="s">
        <v>74</v>
      </c>
      <c r="AG550">
        <v>104</v>
      </c>
      <c r="AH550">
        <v>53</v>
      </c>
      <c r="AI550">
        <v>59</v>
      </c>
      <c r="AJ550">
        <v>3</v>
      </c>
      <c r="AK550">
        <v>36</v>
      </c>
      <c r="AL550" t="s">
        <v>661</v>
      </c>
      <c r="AM550" t="s">
        <v>142</v>
      </c>
      <c r="AN550" t="s">
        <v>662</v>
      </c>
      <c r="AO550" t="s">
        <v>74</v>
      </c>
      <c r="AP550" t="s">
        <v>10491</v>
      </c>
      <c r="AQ550" t="s">
        <v>74</v>
      </c>
      <c r="AR550" t="s">
        <v>10478</v>
      </c>
      <c r="AS550" t="s">
        <v>10492</v>
      </c>
      <c r="AT550" t="s">
        <v>2136</v>
      </c>
      <c r="AU550">
        <v>2017</v>
      </c>
      <c r="AV550">
        <v>5</v>
      </c>
      <c r="AW550">
        <v>1</v>
      </c>
      <c r="AX550" t="s">
        <v>74</v>
      </c>
      <c r="AY550" t="s">
        <v>74</v>
      </c>
      <c r="AZ550" t="s">
        <v>74</v>
      </c>
      <c r="BA550" t="s">
        <v>74</v>
      </c>
      <c r="BB550">
        <v>72</v>
      </c>
      <c r="BC550">
        <v>92</v>
      </c>
      <c r="BD550" t="s">
        <v>74</v>
      </c>
      <c r="BE550" t="s">
        <v>10493</v>
      </c>
      <c r="BF550" t="str">
        <f>HYPERLINK("http://dx.doi.org/10.1002/2016EF000434","http://dx.doi.org/10.1002/2016EF000434")</f>
        <v>http://dx.doi.org/10.1002/2016EF000434</v>
      </c>
      <c r="BG550" t="s">
        <v>74</v>
      </c>
      <c r="BH550" t="s">
        <v>74</v>
      </c>
      <c r="BI550">
        <v>21</v>
      </c>
      <c r="BJ550" t="s">
        <v>10494</v>
      </c>
      <c r="BK550" t="s">
        <v>101</v>
      </c>
      <c r="BL550" t="s">
        <v>10495</v>
      </c>
      <c r="BM550" t="s">
        <v>10496</v>
      </c>
      <c r="BN550" t="s">
        <v>74</v>
      </c>
      <c r="BO550" t="s">
        <v>591</v>
      </c>
      <c r="BP550" t="s">
        <v>74</v>
      </c>
      <c r="BQ550" t="s">
        <v>74</v>
      </c>
      <c r="BR550" t="s">
        <v>105</v>
      </c>
      <c r="BS550" t="s">
        <v>10497</v>
      </c>
      <c r="BT550" t="str">
        <f>HYPERLINK("https%3A%2F%2Fwww.webofscience.com%2Fwos%2Fwoscc%2Ffull-record%2FWOS:000395001800008","View Full Record in Web of Science")</f>
        <v>View Full Record in Web of Science</v>
      </c>
    </row>
    <row r="551" spans="1:72" x14ac:dyDescent="0.15">
      <c r="A551" t="s">
        <v>72</v>
      </c>
      <c r="B551" t="s">
        <v>10498</v>
      </c>
      <c r="C551" t="s">
        <v>74</v>
      </c>
      <c r="D551" t="s">
        <v>74</v>
      </c>
      <c r="E551" t="s">
        <v>74</v>
      </c>
      <c r="F551" t="s">
        <v>10499</v>
      </c>
      <c r="G551" t="s">
        <v>74</v>
      </c>
      <c r="H551" t="s">
        <v>74</v>
      </c>
      <c r="I551" t="s">
        <v>10500</v>
      </c>
      <c r="J551" t="s">
        <v>10501</v>
      </c>
      <c r="K551" t="s">
        <v>74</v>
      </c>
      <c r="L551" t="s">
        <v>74</v>
      </c>
      <c r="M551" t="s">
        <v>78</v>
      </c>
      <c r="N551" t="s">
        <v>79</v>
      </c>
      <c r="O551" t="s">
        <v>74</v>
      </c>
      <c r="P551" t="s">
        <v>74</v>
      </c>
      <c r="Q551" t="s">
        <v>74</v>
      </c>
      <c r="R551" t="s">
        <v>74</v>
      </c>
      <c r="S551" t="s">
        <v>74</v>
      </c>
      <c r="T551" t="s">
        <v>74</v>
      </c>
      <c r="U551" t="s">
        <v>10502</v>
      </c>
      <c r="V551" t="s">
        <v>10503</v>
      </c>
      <c r="W551" t="s">
        <v>10504</v>
      </c>
      <c r="X551" t="s">
        <v>10505</v>
      </c>
      <c r="Y551" t="s">
        <v>10506</v>
      </c>
      <c r="Z551" t="s">
        <v>10507</v>
      </c>
      <c r="AA551" t="s">
        <v>74</v>
      </c>
      <c r="AB551" t="s">
        <v>10508</v>
      </c>
      <c r="AC551" t="s">
        <v>74</v>
      </c>
      <c r="AD551" t="s">
        <v>74</v>
      </c>
      <c r="AE551" t="s">
        <v>74</v>
      </c>
      <c r="AF551" t="s">
        <v>74</v>
      </c>
      <c r="AG551">
        <v>12</v>
      </c>
      <c r="AH551">
        <v>36</v>
      </c>
      <c r="AI551">
        <v>38</v>
      </c>
      <c r="AJ551">
        <v>1</v>
      </c>
      <c r="AK551">
        <v>25</v>
      </c>
      <c r="AL551" t="s">
        <v>8845</v>
      </c>
      <c r="AM551" t="s">
        <v>2378</v>
      </c>
      <c r="AN551" t="s">
        <v>2379</v>
      </c>
      <c r="AO551" t="s">
        <v>10509</v>
      </c>
      <c r="AP551" t="s">
        <v>10510</v>
      </c>
      <c r="AQ551" t="s">
        <v>74</v>
      </c>
      <c r="AR551" t="s">
        <v>10501</v>
      </c>
      <c r="AS551" t="s">
        <v>10511</v>
      </c>
      <c r="AT551" t="s">
        <v>2136</v>
      </c>
      <c r="AU551">
        <v>2017</v>
      </c>
      <c r="AV551">
        <v>40</v>
      </c>
      <c r="AW551">
        <v>1</v>
      </c>
      <c r="AX551" t="s">
        <v>74</v>
      </c>
      <c r="AY551" t="s">
        <v>74</v>
      </c>
      <c r="AZ551" t="s">
        <v>74</v>
      </c>
      <c r="BA551" t="s">
        <v>74</v>
      </c>
      <c r="BB551">
        <v>235</v>
      </c>
      <c r="BC551">
        <v>237</v>
      </c>
      <c r="BD551" t="s">
        <v>74</v>
      </c>
      <c r="BE551" t="s">
        <v>10512</v>
      </c>
      <c r="BF551" t="str">
        <f>HYPERLINK("http://dx.doi.org/10.1111/ecog.02449","http://dx.doi.org/10.1111/ecog.02449")</f>
        <v>http://dx.doi.org/10.1111/ecog.02449</v>
      </c>
      <c r="BG551" t="s">
        <v>74</v>
      </c>
      <c r="BH551" t="s">
        <v>74</v>
      </c>
      <c r="BI551">
        <v>3</v>
      </c>
      <c r="BJ551" t="s">
        <v>5867</v>
      </c>
      <c r="BK551" t="s">
        <v>101</v>
      </c>
      <c r="BL551" t="s">
        <v>2257</v>
      </c>
      <c r="BM551" t="s">
        <v>10513</v>
      </c>
      <c r="BN551" t="s">
        <v>74</v>
      </c>
      <c r="BO551" t="s">
        <v>1223</v>
      </c>
      <c r="BP551" t="s">
        <v>74</v>
      </c>
      <c r="BQ551" t="s">
        <v>74</v>
      </c>
      <c r="BR551" t="s">
        <v>105</v>
      </c>
      <c r="BS551" t="s">
        <v>10514</v>
      </c>
      <c r="BT551" t="str">
        <f>HYPERLINK("https%3A%2F%2Fwww.webofscience.com%2Fwos%2Fwoscc%2Ffull-record%2FWOS:000394670600021","View Full Record in Web of Science")</f>
        <v>View Full Record in Web of Science</v>
      </c>
    </row>
    <row r="552" spans="1:72" x14ac:dyDescent="0.15">
      <c r="A552" t="s">
        <v>72</v>
      </c>
      <c r="B552" t="s">
        <v>10515</v>
      </c>
      <c r="C552" t="s">
        <v>74</v>
      </c>
      <c r="D552" t="s">
        <v>74</v>
      </c>
      <c r="E552" t="s">
        <v>74</v>
      </c>
      <c r="F552" t="s">
        <v>10516</v>
      </c>
      <c r="G552" t="s">
        <v>74</v>
      </c>
      <c r="H552" t="s">
        <v>74</v>
      </c>
      <c r="I552" t="s">
        <v>10517</v>
      </c>
      <c r="J552" t="s">
        <v>8979</v>
      </c>
      <c r="K552" t="s">
        <v>74</v>
      </c>
      <c r="L552" t="s">
        <v>74</v>
      </c>
      <c r="M552" t="s">
        <v>78</v>
      </c>
      <c r="N552" t="s">
        <v>79</v>
      </c>
      <c r="O552" t="s">
        <v>74</v>
      </c>
      <c r="P552" t="s">
        <v>74</v>
      </c>
      <c r="Q552" t="s">
        <v>74</v>
      </c>
      <c r="R552" t="s">
        <v>74</v>
      </c>
      <c r="S552" t="s">
        <v>74</v>
      </c>
      <c r="T552" t="s">
        <v>10518</v>
      </c>
      <c r="U552" t="s">
        <v>10519</v>
      </c>
      <c r="V552" t="s">
        <v>10520</v>
      </c>
      <c r="W552" t="s">
        <v>10521</v>
      </c>
      <c r="X552" t="s">
        <v>10522</v>
      </c>
      <c r="Y552" t="s">
        <v>10523</v>
      </c>
      <c r="Z552" t="s">
        <v>10524</v>
      </c>
      <c r="AA552" t="s">
        <v>10525</v>
      </c>
      <c r="AB552" t="s">
        <v>10526</v>
      </c>
      <c r="AC552" t="s">
        <v>10527</v>
      </c>
      <c r="AD552" t="s">
        <v>10528</v>
      </c>
      <c r="AE552" t="s">
        <v>10529</v>
      </c>
      <c r="AF552" t="s">
        <v>74</v>
      </c>
      <c r="AG552">
        <v>66</v>
      </c>
      <c r="AH552">
        <v>28</v>
      </c>
      <c r="AI552">
        <v>33</v>
      </c>
      <c r="AJ552">
        <v>1</v>
      </c>
      <c r="AK552">
        <v>48</v>
      </c>
      <c r="AL552" t="s">
        <v>2377</v>
      </c>
      <c r="AM552" t="s">
        <v>2378</v>
      </c>
      <c r="AN552" t="s">
        <v>2379</v>
      </c>
      <c r="AO552" t="s">
        <v>8992</v>
      </c>
      <c r="AP552" t="s">
        <v>74</v>
      </c>
      <c r="AQ552" t="s">
        <v>74</v>
      </c>
      <c r="AR552" t="s">
        <v>8993</v>
      </c>
      <c r="AS552" t="s">
        <v>8994</v>
      </c>
      <c r="AT552" t="s">
        <v>2136</v>
      </c>
      <c r="AU552">
        <v>2017</v>
      </c>
      <c r="AV552">
        <v>7</v>
      </c>
      <c r="AW552">
        <v>2</v>
      </c>
      <c r="AX552" t="s">
        <v>74</v>
      </c>
      <c r="AY552" t="s">
        <v>74</v>
      </c>
      <c r="AZ552" t="s">
        <v>74</v>
      </c>
      <c r="BA552" t="s">
        <v>74</v>
      </c>
      <c r="BB552">
        <v>475</v>
      </c>
      <c r="BC552">
        <v>485</v>
      </c>
      <c r="BD552" t="s">
        <v>74</v>
      </c>
      <c r="BE552" t="s">
        <v>10530</v>
      </c>
      <c r="BF552" t="str">
        <f>HYPERLINK("http://dx.doi.org/10.1002/ece3.2617","http://dx.doi.org/10.1002/ece3.2617")</f>
        <v>http://dx.doi.org/10.1002/ece3.2617</v>
      </c>
      <c r="BG552" t="s">
        <v>74</v>
      </c>
      <c r="BH552" t="s">
        <v>74</v>
      </c>
      <c r="BI552">
        <v>11</v>
      </c>
      <c r="BJ552" t="s">
        <v>8996</v>
      </c>
      <c r="BK552" t="s">
        <v>101</v>
      </c>
      <c r="BL552" t="s">
        <v>8997</v>
      </c>
      <c r="BM552" t="s">
        <v>8998</v>
      </c>
      <c r="BN552">
        <v>28116044</v>
      </c>
      <c r="BO552" t="s">
        <v>10531</v>
      </c>
      <c r="BP552" t="s">
        <v>74</v>
      </c>
      <c r="BQ552" t="s">
        <v>74</v>
      </c>
      <c r="BR552" t="s">
        <v>105</v>
      </c>
      <c r="BS552" t="s">
        <v>10532</v>
      </c>
      <c r="BT552" t="str">
        <f>HYPERLINK("https%3A%2F%2Fwww.webofscience.com%2Fwos%2Fwoscc%2Ffull-record%2FWOS:000392075300001","View Full Record in Web of Science")</f>
        <v>View Full Record in Web of Science</v>
      </c>
    </row>
    <row r="553" spans="1:72" x14ac:dyDescent="0.15">
      <c r="A553" t="s">
        <v>2331</v>
      </c>
      <c r="B553" t="s">
        <v>10533</v>
      </c>
      <c r="C553" t="s">
        <v>74</v>
      </c>
      <c r="D553" t="s">
        <v>4501</v>
      </c>
      <c r="E553" t="s">
        <v>4502</v>
      </c>
      <c r="F553" t="s">
        <v>10534</v>
      </c>
      <c r="G553" t="s">
        <v>74</v>
      </c>
      <c r="H553" t="s">
        <v>74</v>
      </c>
      <c r="I553" t="s">
        <v>10535</v>
      </c>
      <c r="J553" t="s">
        <v>4505</v>
      </c>
      <c r="K553" t="s">
        <v>74</v>
      </c>
      <c r="L553" t="s">
        <v>74</v>
      </c>
      <c r="M553" t="s">
        <v>78</v>
      </c>
      <c r="N553" t="s">
        <v>2067</v>
      </c>
      <c r="O553" t="s">
        <v>74</v>
      </c>
      <c r="P553" t="s">
        <v>74</v>
      </c>
      <c r="Q553" t="s">
        <v>74</v>
      </c>
      <c r="R553" t="s">
        <v>74</v>
      </c>
      <c r="S553" t="s">
        <v>74</v>
      </c>
      <c r="T553" t="s">
        <v>74</v>
      </c>
      <c r="U553" t="s">
        <v>10536</v>
      </c>
      <c r="V553" t="s">
        <v>74</v>
      </c>
      <c r="W553" t="s">
        <v>74</v>
      </c>
      <c r="X553" t="s">
        <v>74</v>
      </c>
      <c r="Y553" t="s">
        <v>74</v>
      </c>
      <c r="Z553" t="s">
        <v>74</v>
      </c>
      <c r="AA553" t="s">
        <v>10537</v>
      </c>
      <c r="AB553" t="s">
        <v>10538</v>
      </c>
      <c r="AC553" t="s">
        <v>74</v>
      </c>
      <c r="AD553" t="s">
        <v>74</v>
      </c>
      <c r="AE553" t="s">
        <v>74</v>
      </c>
      <c r="AF553" t="s">
        <v>74</v>
      </c>
      <c r="AG553">
        <v>204</v>
      </c>
      <c r="AH553">
        <v>1</v>
      </c>
      <c r="AI553">
        <v>1</v>
      </c>
      <c r="AJ553">
        <v>0</v>
      </c>
      <c r="AK553">
        <v>2</v>
      </c>
      <c r="AL553" t="s">
        <v>3097</v>
      </c>
      <c r="AM553" t="s">
        <v>1581</v>
      </c>
      <c r="AN553" t="s">
        <v>3208</v>
      </c>
      <c r="AO553" t="s">
        <v>74</v>
      </c>
      <c r="AP553" t="s">
        <v>74</v>
      </c>
      <c r="AQ553" t="s">
        <v>4507</v>
      </c>
      <c r="AR553" t="s">
        <v>74</v>
      </c>
      <c r="AS553" t="s">
        <v>74</v>
      </c>
      <c r="AT553" t="s">
        <v>74</v>
      </c>
      <c r="AU553">
        <v>2017</v>
      </c>
      <c r="AV553" t="s">
        <v>74</v>
      </c>
      <c r="AW553" t="s">
        <v>74</v>
      </c>
      <c r="AX553" t="s">
        <v>74</v>
      </c>
      <c r="AY553" t="s">
        <v>74</v>
      </c>
      <c r="AZ553" t="s">
        <v>74</v>
      </c>
      <c r="BA553" t="s">
        <v>74</v>
      </c>
      <c r="BB553">
        <v>729</v>
      </c>
      <c r="BC553">
        <v>748</v>
      </c>
      <c r="BD553" t="s">
        <v>74</v>
      </c>
      <c r="BE553" t="s">
        <v>74</v>
      </c>
      <c r="BF553" t="s">
        <v>74</v>
      </c>
      <c r="BG553" t="s">
        <v>4508</v>
      </c>
      <c r="BH553" t="s">
        <v>74</v>
      </c>
      <c r="BI553">
        <v>20</v>
      </c>
      <c r="BJ553" t="s">
        <v>4509</v>
      </c>
      <c r="BK553" t="s">
        <v>3212</v>
      </c>
      <c r="BL553" t="s">
        <v>4510</v>
      </c>
      <c r="BM553" t="s">
        <v>4511</v>
      </c>
      <c r="BN553" t="s">
        <v>74</v>
      </c>
      <c r="BO553" t="s">
        <v>74</v>
      </c>
      <c r="BP553" t="s">
        <v>74</v>
      </c>
      <c r="BQ553" t="s">
        <v>74</v>
      </c>
      <c r="BR553" t="s">
        <v>105</v>
      </c>
      <c r="BS553" t="s">
        <v>10539</v>
      </c>
      <c r="BT553" t="str">
        <f>HYPERLINK("https%3A%2F%2Fwww.webofscience.com%2Fwos%2Fwoscc%2Ffull-record%2FWOS:000425033100046","View Full Record in Web of Science")</f>
        <v>View Full Record in Web of Science</v>
      </c>
    </row>
    <row r="554" spans="1:72" x14ac:dyDescent="0.15">
      <c r="A554" t="s">
        <v>72</v>
      </c>
      <c r="B554" t="s">
        <v>10540</v>
      </c>
      <c r="C554" t="s">
        <v>74</v>
      </c>
      <c r="D554" t="s">
        <v>74</v>
      </c>
      <c r="E554" t="s">
        <v>74</v>
      </c>
      <c r="F554" t="s">
        <v>10541</v>
      </c>
      <c r="G554" t="s">
        <v>74</v>
      </c>
      <c r="H554" t="s">
        <v>74</v>
      </c>
      <c r="I554" t="s">
        <v>10542</v>
      </c>
      <c r="J554" t="s">
        <v>10543</v>
      </c>
      <c r="K554" t="s">
        <v>74</v>
      </c>
      <c r="L554" t="s">
        <v>74</v>
      </c>
      <c r="M554" t="s">
        <v>78</v>
      </c>
      <c r="N554" t="s">
        <v>79</v>
      </c>
      <c r="O554" t="s">
        <v>74</v>
      </c>
      <c r="P554" t="s">
        <v>74</v>
      </c>
      <c r="Q554" t="s">
        <v>74</v>
      </c>
      <c r="R554" t="s">
        <v>74</v>
      </c>
      <c r="S554" t="s">
        <v>74</v>
      </c>
      <c r="T554" t="s">
        <v>10544</v>
      </c>
      <c r="U554" t="s">
        <v>10545</v>
      </c>
      <c r="V554" t="s">
        <v>10546</v>
      </c>
      <c r="W554" t="s">
        <v>10547</v>
      </c>
      <c r="X554" t="s">
        <v>10548</v>
      </c>
      <c r="Y554" t="s">
        <v>10549</v>
      </c>
      <c r="Z554" t="s">
        <v>10550</v>
      </c>
      <c r="AA554" t="s">
        <v>10551</v>
      </c>
      <c r="AB554" t="s">
        <v>10552</v>
      </c>
      <c r="AC554" t="s">
        <v>10553</v>
      </c>
      <c r="AD554" t="s">
        <v>10554</v>
      </c>
      <c r="AE554" t="s">
        <v>10555</v>
      </c>
      <c r="AF554" t="s">
        <v>74</v>
      </c>
      <c r="AG554">
        <v>80</v>
      </c>
      <c r="AH554">
        <v>15</v>
      </c>
      <c r="AI554">
        <v>15</v>
      </c>
      <c r="AJ554">
        <v>0</v>
      </c>
      <c r="AK554">
        <v>23</v>
      </c>
      <c r="AL554" t="s">
        <v>2377</v>
      </c>
      <c r="AM554" t="s">
        <v>2378</v>
      </c>
      <c r="AN554" t="s">
        <v>2379</v>
      </c>
      <c r="AO554" t="s">
        <v>10556</v>
      </c>
      <c r="AP554" t="s">
        <v>10557</v>
      </c>
      <c r="AQ554" t="s">
        <v>74</v>
      </c>
      <c r="AR554" t="s">
        <v>10558</v>
      </c>
      <c r="AS554" t="s">
        <v>10559</v>
      </c>
      <c r="AT554" t="s">
        <v>2136</v>
      </c>
      <c r="AU554">
        <v>2017</v>
      </c>
      <c r="AV554">
        <v>26</v>
      </c>
      <c r="AW554">
        <v>1</v>
      </c>
      <c r="AX554" t="s">
        <v>74</v>
      </c>
      <c r="AY554" t="s">
        <v>74</v>
      </c>
      <c r="AZ554" t="s">
        <v>74</v>
      </c>
      <c r="BA554" t="s">
        <v>74</v>
      </c>
      <c r="BB554">
        <v>49</v>
      </c>
      <c r="BC554">
        <v>64</v>
      </c>
      <c r="BD554" t="s">
        <v>74</v>
      </c>
      <c r="BE554" t="s">
        <v>10560</v>
      </c>
      <c r="BF554" t="str">
        <f>HYPERLINK("http://dx.doi.org/10.1111/fog.12185","http://dx.doi.org/10.1111/fog.12185")</f>
        <v>http://dx.doi.org/10.1111/fog.12185</v>
      </c>
      <c r="BG554" t="s">
        <v>74</v>
      </c>
      <c r="BH554" t="s">
        <v>74</v>
      </c>
      <c r="BI554">
        <v>16</v>
      </c>
      <c r="BJ554" t="s">
        <v>10561</v>
      </c>
      <c r="BK554" t="s">
        <v>101</v>
      </c>
      <c r="BL554" t="s">
        <v>10561</v>
      </c>
      <c r="BM554" t="s">
        <v>10562</v>
      </c>
      <c r="BN554" t="s">
        <v>74</v>
      </c>
      <c r="BO554" t="s">
        <v>672</v>
      </c>
      <c r="BP554" t="s">
        <v>74</v>
      </c>
      <c r="BQ554" t="s">
        <v>74</v>
      </c>
      <c r="BR554" t="s">
        <v>105</v>
      </c>
      <c r="BS554" t="s">
        <v>10563</v>
      </c>
      <c r="BT554" t="str">
        <f>HYPERLINK("https%3A%2F%2Fwww.webofscience.com%2Fwos%2Fwoscc%2Ffull-record%2FWOS:000389329300004","View Full Record in Web of Science")</f>
        <v>View Full Record in Web of Science</v>
      </c>
    </row>
    <row r="555" spans="1:72" x14ac:dyDescent="0.15">
      <c r="A555" t="s">
        <v>2331</v>
      </c>
      <c r="B555" t="s">
        <v>10564</v>
      </c>
      <c r="C555" t="s">
        <v>74</v>
      </c>
      <c r="D555" t="s">
        <v>10565</v>
      </c>
      <c r="E555" t="s">
        <v>74</v>
      </c>
      <c r="F555" t="s">
        <v>10566</v>
      </c>
      <c r="G555" t="s">
        <v>74</v>
      </c>
      <c r="H555" t="s">
        <v>74</v>
      </c>
      <c r="I555" t="s">
        <v>10567</v>
      </c>
      <c r="J555" t="s">
        <v>10568</v>
      </c>
      <c r="K555" t="s">
        <v>74</v>
      </c>
      <c r="L555" t="s">
        <v>74</v>
      </c>
      <c r="M555" t="s">
        <v>78</v>
      </c>
      <c r="N555" t="s">
        <v>2067</v>
      </c>
      <c r="O555" t="s">
        <v>74</v>
      </c>
      <c r="P555" t="s">
        <v>74</v>
      </c>
      <c r="Q555" t="s">
        <v>74</v>
      </c>
      <c r="R555" t="s">
        <v>74</v>
      </c>
      <c r="S555" t="s">
        <v>74</v>
      </c>
      <c r="T555" t="s">
        <v>74</v>
      </c>
      <c r="U555" t="s">
        <v>74</v>
      </c>
      <c r="V555" t="s">
        <v>74</v>
      </c>
      <c r="W555" t="s">
        <v>10569</v>
      </c>
      <c r="X555" t="s">
        <v>10570</v>
      </c>
      <c r="Y555" t="s">
        <v>10571</v>
      </c>
      <c r="Z555" t="s">
        <v>74</v>
      </c>
      <c r="AA555" t="s">
        <v>74</v>
      </c>
      <c r="AB555" t="s">
        <v>74</v>
      </c>
      <c r="AC555" t="s">
        <v>74</v>
      </c>
      <c r="AD555" t="s">
        <v>74</v>
      </c>
      <c r="AE555" t="s">
        <v>74</v>
      </c>
      <c r="AF555" t="s">
        <v>74</v>
      </c>
      <c r="AG555">
        <v>108</v>
      </c>
      <c r="AH555">
        <v>1</v>
      </c>
      <c r="AI555">
        <v>1</v>
      </c>
      <c r="AJ555">
        <v>1</v>
      </c>
      <c r="AK555">
        <v>2</v>
      </c>
      <c r="AL555" t="s">
        <v>10572</v>
      </c>
      <c r="AM555" t="s">
        <v>10573</v>
      </c>
      <c r="AN555" t="s">
        <v>10574</v>
      </c>
      <c r="AO555" t="s">
        <v>74</v>
      </c>
      <c r="AP555" t="s">
        <v>74</v>
      </c>
      <c r="AQ555" t="s">
        <v>10575</v>
      </c>
      <c r="AR555" t="s">
        <v>74</v>
      </c>
      <c r="AS555" t="s">
        <v>74</v>
      </c>
      <c r="AT555" t="s">
        <v>74</v>
      </c>
      <c r="AU555">
        <v>2017</v>
      </c>
      <c r="AV555" t="s">
        <v>74</v>
      </c>
      <c r="AW555" t="s">
        <v>74</v>
      </c>
      <c r="AX555" t="s">
        <v>74</v>
      </c>
      <c r="AY555" t="s">
        <v>74</v>
      </c>
      <c r="AZ555" t="s">
        <v>74</v>
      </c>
      <c r="BA555" t="s">
        <v>74</v>
      </c>
      <c r="BB555">
        <v>537</v>
      </c>
      <c r="BC555">
        <v>558</v>
      </c>
      <c r="BD555" t="s">
        <v>74</v>
      </c>
      <c r="BE555" t="s">
        <v>74</v>
      </c>
      <c r="BF555" t="s">
        <v>74</v>
      </c>
      <c r="BG555" t="s">
        <v>10576</v>
      </c>
      <c r="BH555" t="s">
        <v>74</v>
      </c>
      <c r="BI555">
        <v>22</v>
      </c>
      <c r="BJ555" t="s">
        <v>4818</v>
      </c>
      <c r="BK555" t="s">
        <v>2084</v>
      </c>
      <c r="BL555" t="s">
        <v>4818</v>
      </c>
      <c r="BM555" t="s">
        <v>10577</v>
      </c>
      <c r="BN555" t="s">
        <v>74</v>
      </c>
      <c r="BO555" t="s">
        <v>74</v>
      </c>
      <c r="BP555" t="s">
        <v>74</v>
      </c>
      <c r="BQ555" t="s">
        <v>74</v>
      </c>
      <c r="BR555" t="s">
        <v>105</v>
      </c>
      <c r="BS555" t="s">
        <v>10578</v>
      </c>
      <c r="BT555" t="str">
        <f>HYPERLINK("https%3A%2F%2Fwww.webofscience.com%2Fwos%2Fwoscc%2Ffull-record%2FWOS:000468401500033","View Full Record in Web of Science")</f>
        <v>View Full Record in Web of Science</v>
      </c>
    </row>
    <row r="556" spans="1:72" x14ac:dyDescent="0.15">
      <c r="A556" t="s">
        <v>72</v>
      </c>
      <c r="B556" t="s">
        <v>10579</v>
      </c>
      <c r="C556" t="s">
        <v>74</v>
      </c>
      <c r="D556" t="s">
        <v>74</v>
      </c>
      <c r="E556" t="s">
        <v>74</v>
      </c>
      <c r="F556" t="s">
        <v>10580</v>
      </c>
      <c r="G556" t="s">
        <v>74</v>
      </c>
      <c r="H556" t="s">
        <v>74</v>
      </c>
      <c r="I556" t="s">
        <v>10581</v>
      </c>
      <c r="J556" t="s">
        <v>10582</v>
      </c>
      <c r="K556" t="s">
        <v>74</v>
      </c>
      <c r="L556" t="s">
        <v>74</v>
      </c>
      <c r="M556" t="s">
        <v>78</v>
      </c>
      <c r="N556" t="s">
        <v>79</v>
      </c>
      <c r="O556" t="s">
        <v>74</v>
      </c>
      <c r="P556" t="s">
        <v>74</v>
      </c>
      <c r="Q556" t="s">
        <v>74</v>
      </c>
      <c r="R556" t="s">
        <v>74</v>
      </c>
      <c r="S556" t="s">
        <v>74</v>
      </c>
      <c r="T556" t="s">
        <v>10583</v>
      </c>
      <c r="U556" t="s">
        <v>10584</v>
      </c>
      <c r="V556" t="s">
        <v>10585</v>
      </c>
      <c r="W556" t="s">
        <v>10586</v>
      </c>
      <c r="X556" t="s">
        <v>10587</v>
      </c>
      <c r="Y556" t="s">
        <v>10588</v>
      </c>
      <c r="Z556" t="s">
        <v>10589</v>
      </c>
      <c r="AA556" t="s">
        <v>10590</v>
      </c>
      <c r="AB556" t="s">
        <v>10591</v>
      </c>
      <c r="AC556" t="s">
        <v>10592</v>
      </c>
      <c r="AD556" t="s">
        <v>10593</v>
      </c>
      <c r="AE556" t="s">
        <v>10594</v>
      </c>
      <c r="AF556" t="s">
        <v>74</v>
      </c>
      <c r="AG556">
        <v>117</v>
      </c>
      <c r="AH556">
        <v>15</v>
      </c>
      <c r="AI556">
        <v>18</v>
      </c>
      <c r="AJ556">
        <v>0</v>
      </c>
      <c r="AK556">
        <v>5</v>
      </c>
      <c r="AL556" t="s">
        <v>1731</v>
      </c>
      <c r="AM556" t="s">
        <v>1732</v>
      </c>
      <c r="AN556" t="s">
        <v>1733</v>
      </c>
      <c r="AO556" t="s">
        <v>74</v>
      </c>
      <c r="AP556" t="s">
        <v>10595</v>
      </c>
      <c r="AQ556" t="s">
        <v>74</v>
      </c>
      <c r="AR556" t="s">
        <v>10596</v>
      </c>
      <c r="AS556" t="s">
        <v>10597</v>
      </c>
      <c r="AT556" t="s">
        <v>74</v>
      </c>
      <c r="AU556">
        <v>2017</v>
      </c>
      <c r="AV556">
        <v>4</v>
      </c>
      <c r="AW556" t="s">
        <v>74</v>
      </c>
      <c r="AX556" t="s">
        <v>74</v>
      </c>
      <c r="AY556" t="s">
        <v>74</v>
      </c>
      <c r="AZ556" t="s">
        <v>74</v>
      </c>
      <c r="BA556" t="s">
        <v>74</v>
      </c>
      <c r="BB556" t="s">
        <v>74</v>
      </c>
      <c r="BC556" t="s">
        <v>74</v>
      </c>
      <c r="BD556">
        <v>356</v>
      </c>
      <c r="BE556" t="s">
        <v>10598</v>
      </c>
      <c r="BF556" t="str">
        <f>HYPERLINK("http://dx.doi.org/10.3389/fmars.2017.00356","http://dx.doi.org/10.3389/fmars.2017.00356")</f>
        <v>http://dx.doi.org/10.3389/fmars.2017.00356</v>
      </c>
      <c r="BG556" t="s">
        <v>74</v>
      </c>
      <c r="BH556" t="s">
        <v>74</v>
      </c>
      <c r="BI556">
        <v>20</v>
      </c>
      <c r="BJ556" t="s">
        <v>1123</v>
      </c>
      <c r="BK556" t="s">
        <v>101</v>
      </c>
      <c r="BL556" t="s">
        <v>1124</v>
      </c>
      <c r="BM556" t="s">
        <v>10599</v>
      </c>
      <c r="BN556" t="s">
        <v>74</v>
      </c>
      <c r="BO556" t="s">
        <v>1713</v>
      </c>
      <c r="BP556" t="s">
        <v>74</v>
      </c>
      <c r="BQ556" t="s">
        <v>74</v>
      </c>
      <c r="BR556" t="s">
        <v>105</v>
      </c>
      <c r="BS556" t="s">
        <v>10600</v>
      </c>
      <c r="BT556" t="str">
        <f>HYPERLINK("https%3A%2F%2Fwww.webofscience.com%2Fwos%2Fwoscc%2Ffull-record%2FWOS:000457690600354","View Full Record in Web of Science")</f>
        <v>View Full Record in Web of Science</v>
      </c>
    </row>
    <row r="557" spans="1:72" x14ac:dyDescent="0.15">
      <c r="A557" t="s">
        <v>72</v>
      </c>
      <c r="B557" t="s">
        <v>10601</v>
      </c>
      <c r="C557" t="s">
        <v>74</v>
      </c>
      <c r="D557" t="s">
        <v>74</v>
      </c>
      <c r="E557" t="s">
        <v>74</v>
      </c>
      <c r="F557" t="s">
        <v>10602</v>
      </c>
      <c r="G557" t="s">
        <v>74</v>
      </c>
      <c r="H557" t="s">
        <v>74</v>
      </c>
      <c r="I557" t="s">
        <v>10603</v>
      </c>
      <c r="J557" t="s">
        <v>10582</v>
      </c>
      <c r="K557" t="s">
        <v>74</v>
      </c>
      <c r="L557" t="s">
        <v>74</v>
      </c>
      <c r="M557" t="s">
        <v>78</v>
      </c>
      <c r="N557" t="s">
        <v>79</v>
      </c>
      <c r="O557" t="s">
        <v>74</v>
      </c>
      <c r="P557" t="s">
        <v>74</v>
      </c>
      <c r="Q557" t="s">
        <v>74</v>
      </c>
      <c r="R557" t="s">
        <v>74</v>
      </c>
      <c r="S557" t="s">
        <v>74</v>
      </c>
      <c r="T557" t="s">
        <v>10604</v>
      </c>
      <c r="U557" t="s">
        <v>10605</v>
      </c>
      <c r="V557" t="s">
        <v>10606</v>
      </c>
      <c r="W557" t="s">
        <v>10607</v>
      </c>
      <c r="X557" t="s">
        <v>10608</v>
      </c>
      <c r="Y557" t="s">
        <v>10609</v>
      </c>
      <c r="Z557" t="s">
        <v>10610</v>
      </c>
      <c r="AA557" t="s">
        <v>10611</v>
      </c>
      <c r="AB557" t="s">
        <v>10612</v>
      </c>
      <c r="AC557" t="s">
        <v>10613</v>
      </c>
      <c r="AD557" t="s">
        <v>10614</v>
      </c>
      <c r="AE557" t="s">
        <v>10615</v>
      </c>
      <c r="AF557" t="s">
        <v>74</v>
      </c>
      <c r="AG557">
        <v>67</v>
      </c>
      <c r="AH557">
        <v>14</v>
      </c>
      <c r="AI557">
        <v>15</v>
      </c>
      <c r="AJ557">
        <v>0</v>
      </c>
      <c r="AK557">
        <v>8</v>
      </c>
      <c r="AL557" t="s">
        <v>1731</v>
      </c>
      <c r="AM557" t="s">
        <v>1732</v>
      </c>
      <c r="AN557" t="s">
        <v>1733</v>
      </c>
      <c r="AO557" t="s">
        <v>74</v>
      </c>
      <c r="AP557" t="s">
        <v>10595</v>
      </c>
      <c r="AQ557" t="s">
        <v>74</v>
      </c>
      <c r="AR557" t="s">
        <v>10596</v>
      </c>
      <c r="AS557" t="s">
        <v>10597</v>
      </c>
      <c r="AT557" t="s">
        <v>74</v>
      </c>
      <c r="AU557">
        <v>2017</v>
      </c>
      <c r="AV557">
        <v>4</v>
      </c>
      <c r="AW557" t="s">
        <v>74</v>
      </c>
      <c r="AX557" t="s">
        <v>74</v>
      </c>
      <c r="AY557" t="s">
        <v>74</v>
      </c>
      <c r="AZ557" t="s">
        <v>74</v>
      </c>
      <c r="BA557" t="s">
        <v>74</v>
      </c>
      <c r="BB557" t="s">
        <v>74</v>
      </c>
      <c r="BC557" t="s">
        <v>74</v>
      </c>
      <c r="BD557">
        <v>24</v>
      </c>
      <c r="BE557" t="s">
        <v>10616</v>
      </c>
      <c r="BF557" t="str">
        <f>HYPERLINK("http://dx.doi.org/10.3389/fmars.2017.00024","http://dx.doi.org/10.3389/fmars.2017.00024")</f>
        <v>http://dx.doi.org/10.3389/fmars.2017.00024</v>
      </c>
      <c r="BG557" t="s">
        <v>74</v>
      </c>
      <c r="BH557" t="s">
        <v>74</v>
      </c>
      <c r="BI557">
        <v>12</v>
      </c>
      <c r="BJ557" t="s">
        <v>1123</v>
      </c>
      <c r="BK557" t="s">
        <v>101</v>
      </c>
      <c r="BL557" t="s">
        <v>1124</v>
      </c>
      <c r="BM557" t="s">
        <v>10599</v>
      </c>
      <c r="BN557" t="s">
        <v>74</v>
      </c>
      <c r="BO557" t="s">
        <v>6663</v>
      </c>
      <c r="BP557" t="s">
        <v>74</v>
      </c>
      <c r="BQ557" t="s">
        <v>74</v>
      </c>
      <c r="BR557" t="s">
        <v>105</v>
      </c>
      <c r="BS557" t="s">
        <v>10617</v>
      </c>
      <c r="BT557" t="str">
        <f>HYPERLINK("https%3A%2F%2Fwww.webofscience.com%2Fwos%2Fwoscc%2Ffull-record%2FWOS:000457690600024","View Full Record in Web of Science")</f>
        <v>View Full Record in Web of Science</v>
      </c>
    </row>
    <row r="558" spans="1:72" x14ac:dyDescent="0.15">
      <c r="A558" t="s">
        <v>72</v>
      </c>
      <c r="B558" t="s">
        <v>10618</v>
      </c>
      <c r="C558" t="s">
        <v>74</v>
      </c>
      <c r="D558" t="s">
        <v>74</v>
      </c>
      <c r="E558" t="s">
        <v>74</v>
      </c>
      <c r="F558" t="s">
        <v>10619</v>
      </c>
      <c r="G558" t="s">
        <v>74</v>
      </c>
      <c r="H558" t="s">
        <v>74</v>
      </c>
      <c r="I558" t="s">
        <v>10620</v>
      </c>
      <c r="J558" t="s">
        <v>10582</v>
      </c>
      <c r="K558" t="s">
        <v>74</v>
      </c>
      <c r="L558" t="s">
        <v>74</v>
      </c>
      <c r="M558" t="s">
        <v>78</v>
      </c>
      <c r="N558" t="s">
        <v>79</v>
      </c>
      <c r="O558" t="s">
        <v>74</v>
      </c>
      <c r="P558" t="s">
        <v>74</v>
      </c>
      <c r="Q558" t="s">
        <v>74</v>
      </c>
      <c r="R558" t="s">
        <v>74</v>
      </c>
      <c r="S558" t="s">
        <v>74</v>
      </c>
      <c r="T558" t="s">
        <v>10621</v>
      </c>
      <c r="U558" t="s">
        <v>10622</v>
      </c>
      <c r="V558" t="s">
        <v>10623</v>
      </c>
      <c r="W558" t="s">
        <v>10624</v>
      </c>
      <c r="X558" t="s">
        <v>10625</v>
      </c>
      <c r="Y558" t="s">
        <v>10626</v>
      </c>
      <c r="Z558" t="s">
        <v>10627</v>
      </c>
      <c r="AA558" t="s">
        <v>10628</v>
      </c>
      <c r="AB558" t="s">
        <v>10629</v>
      </c>
      <c r="AC558" t="s">
        <v>10630</v>
      </c>
      <c r="AD558" t="s">
        <v>10631</v>
      </c>
      <c r="AE558" t="s">
        <v>10632</v>
      </c>
      <c r="AF558" t="s">
        <v>74</v>
      </c>
      <c r="AG558">
        <v>94</v>
      </c>
      <c r="AH558">
        <v>34</v>
      </c>
      <c r="AI558">
        <v>36</v>
      </c>
      <c r="AJ558">
        <v>4</v>
      </c>
      <c r="AK558">
        <v>10</v>
      </c>
      <c r="AL558" t="s">
        <v>1731</v>
      </c>
      <c r="AM558" t="s">
        <v>1732</v>
      </c>
      <c r="AN558" t="s">
        <v>1733</v>
      </c>
      <c r="AO558" t="s">
        <v>74</v>
      </c>
      <c r="AP558" t="s">
        <v>10595</v>
      </c>
      <c r="AQ558" t="s">
        <v>74</v>
      </c>
      <c r="AR558" t="s">
        <v>10596</v>
      </c>
      <c r="AS558" t="s">
        <v>10597</v>
      </c>
      <c r="AT558" t="s">
        <v>74</v>
      </c>
      <c r="AU558">
        <v>2017</v>
      </c>
      <c r="AV558">
        <v>4</v>
      </c>
      <c r="AW558" t="s">
        <v>74</v>
      </c>
      <c r="AX558" t="s">
        <v>74</v>
      </c>
      <c r="AY558" t="s">
        <v>74</v>
      </c>
      <c r="AZ558" t="s">
        <v>74</v>
      </c>
      <c r="BA558" t="s">
        <v>74</v>
      </c>
      <c r="BB558" t="s">
        <v>74</v>
      </c>
      <c r="BC558" t="s">
        <v>74</v>
      </c>
      <c r="BD558">
        <v>308</v>
      </c>
      <c r="BE558" t="s">
        <v>10633</v>
      </c>
      <c r="BF558" t="str">
        <f>HYPERLINK("http://dx.doi.org/10.3389/fmars.2017.00308","http://dx.doi.org/10.3389/fmars.2017.00308")</f>
        <v>http://dx.doi.org/10.3389/fmars.2017.00308</v>
      </c>
      <c r="BG558" t="s">
        <v>74</v>
      </c>
      <c r="BH558" t="s">
        <v>74</v>
      </c>
      <c r="BI558">
        <v>12</v>
      </c>
      <c r="BJ558" t="s">
        <v>1123</v>
      </c>
      <c r="BK558" t="s">
        <v>101</v>
      </c>
      <c r="BL558" t="s">
        <v>1124</v>
      </c>
      <c r="BM558" t="s">
        <v>10599</v>
      </c>
      <c r="BN558" t="s">
        <v>74</v>
      </c>
      <c r="BO558" t="s">
        <v>1368</v>
      </c>
      <c r="BP558" t="s">
        <v>74</v>
      </c>
      <c r="BQ558" t="s">
        <v>74</v>
      </c>
      <c r="BR558" t="s">
        <v>105</v>
      </c>
      <c r="BS558" t="s">
        <v>10634</v>
      </c>
      <c r="BT558" t="str">
        <f>HYPERLINK("https%3A%2F%2Fwww.webofscience.com%2Fwos%2Fwoscc%2Ffull-record%2FWOS:000457690600306","View Full Record in Web of Science")</f>
        <v>View Full Record in Web of Science</v>
      </c>
    </row>
    <row r="559" spans="1:72" x14ac:dyDescent="0.15">
      <c r="A559" t="s">
        <v>72</v>
      </c>
      <c r="B559" t="s">
        <v>10635</v>
      </c>
      <c r="C559" t="s">
        <v>74</v>
      </c>
      <c r="D559" t="s">
        <v>74</v>
      </c>
      <c r="E559" t="s">
        <v>74</v>
      </c>
      <c r="F559" t="s">
        <v>10636</v>
      </c>
      <c r="G559" t="s">
        <v>74</v>
      </c>
      <c r="H559" t="s">
        <v>74</v>
      </c>
      <c r="I559" t="s">
        <v>10637</v>
      </c>
      <c r="J559" t="s">
        <v>10582</v>
      </c>
      <c r="K559" t="s">
        <v>74</v>
      </c>
      <c r="L559" t="s">
        <v>74</v>
      </c>
      <c r="M559" t="s">
        <v>78</v>
      </c>
      <c r="N559" t="s">
        <v>79</v>
      </c>
      <c r="O559" t="s">
        <v>74</v>
      </c>
      <c r="P559" t="s">
        <v>74</v>
      </c>
      <c r="Q559" t="s">
        <v>74</v>
      </c>
      <c r="R559" t="s">
        <v>74</v>
      </c>
      <c r="S559" t="s">
        <v>74</v>
      </c>
      <c r="T559" t="s">
        <v>10638</v>
      </c>
      <c r="U559" t="s">
        <v>10639</v>
      </c>
      <c r="V559" t="s">
        <v>10640</v>
      </c>
      <c r="W559" t="s">
        <v>10641</v>
      </c>
      <c r="X559" t="s">
        <v>10642</v>
      </c>
      <c r="Y559" t="s">
        <v>10643</v>
      </c>
      <c r="Z559" t="s">
        <v>10644</v>
      </c>
      <c r="AA559" t="s">
        <v>10645</v>
      </c>
      <c r="AB559" t="s">
        <v>10646</v>
      </c>
      <c r="AC559" t="s">
        <v>10647</v>
      </c>
      <c r="AD559" t="s">
        <v>10648</v>
      </c>
      <c r="AE559" t="s">
        <v>10649</v>
      </c>
      <c r="AF559" t="s">
        <v>74</v>
      </c>
      <c r="AG559">
        <v>57</v>
      </c>
      <c r="AH559">
        <v>23</v>
      </c>
      <c r="AI559">
        <v>24</v>
      </c>
      <c r="AJ559">
        <v>4</v>
      </c>
      <c r="AK559">
        <v>19</v>
      </c>
      <c r="AL559" t="s">
        <v>1731</v>
      </c>
      <c r="AM559" t="s">
        <v>1732</v>
      </c>
      <c r="AN559" t="s">
        <v>1733</v>
      </c>
      <c r="AO559" t="s">
        <v>74</v>
      </c>
      <c r="AP559" t="s">
        <v>10595</v>
      </c>
      <c r="AQ559" t="s">
        <v>74</v>
      </c>
      <c r="AR559" t="s">
        <v>10596</v>
      </c>
      <c r="AS559" t="s">
        <v>10597</v>
      </c>
      <c r="AT559" t="s">
        <v>74</v>
      </c>
      <c r="AU559">
        <v>2017</v>
      </c>
      <c r="AV559">
        <v>4</v>
      </c>
      <c r="AW559" t="s">
        <v>74</v>
      </c>
      <c r="AX559" t="s">
        <v>74</v>
      </c>
      <c r="AY559" t="s">
        <v>74</v>
      </c>
      <c r="AZ559" t="s">
        <v>74</v>
      </c>
      <c r="BA559" t="s">
        <v>74</v>
      </c>
      <c r="BB559" t="s">
        <v>74</v>
      </c>
      <c r="BC559" t="s">
        <v>74</v>
      </c>
      <c r="BD559">
        <v>168</v>
      </c>
      <c r="BE559" t="s">
        <v>10650</v>
      </c>
      <c r="BF559" t="str">
        <f>HYPERLINK("http://dx.doi.org/10.3389/fmars.2017.00168","http://dx.doi.org/10.3389/fmars.2017.00168")</f>
        <v>http://dx.doi.org/10.3389/fmars.2017.00168</v>
      </c>
      <c r="BG559" t="s">
        <v>74</v>
      </c>
      <c r="BH559" t="s">
        <v>74</v>
      </c>
      <c r="BI559">
        <v>12</v>
      </c>
      <c r="BJ559" t="s">
        <v>1123</v>
      </c>
      <c r="BK559" t="s">
        <v>101</v>
      </c>
      <c r="BL559" t="s">
        <v>1124</v>
      </c>
      <c r="BM559" t="s">
        <v>10599</v>
      </c>
      <c r="BN559" t="s">
        <v>74</v>
      </c>
      <c r="BO559" t="s">
        <v>591</v>
      </c>
      <c r="BP559" t="s">
        <v>74</v>
      </c>
      <c r="BQ559" t="s">
        <v>74</v>
      </c>
      <c r="BR559" t="s">
        <v>105</v>
      </c>
      <c r="BS559" t="s">
        <v>10651</v>
      </c>
      <c r="BT559" t="str">
        <f>HYPERLINK("https%3A%2F%2Fwww.webofscience.com%2Fwos%2Fwoscc%2Ffull-record%2FWOS:000457690600168","View Full Record in Web of Science")</f>
        <v>View Full Record in Web of Science</v>
      </c>
    </row>
    <row r="560" spans="1:72" x14ac:dyDescent="0.15">
      <c r="A560" t="s">
        <v>72</v>
      </c>
      <c r="B560" t="s">
        <v>10652</v>
      </c>
      <c r="C560" t="s">
        <v>74</v>
      </c>
      <c r="D560" t="s">
        <v>74</v>
      </c>
      <c r="E560" t="s">
        <v>74</v>
      </c>
      <c r="F560" t="s">
        <v>10653</v>
      </c>
      <c r="G560" t="s">
        <v>74</v>
      </c>
      <c r="H560" t="s">
        <v>74</v>
      </c>
      <c r="I560" t="s">
        <v>10654</v>
      </c>
      <c r="J560" t="s">
        <v>10582</v>
      </c>
      <c r="K560" t="s">
        <v>74</v>
      </c>
      <c r="L560" t="s">
        <v>74</v>
      </c>
      <c r="M560" t="s">
        <v>78</v>
      </c>
      <c r="N560" t="s">
        <v>79</v>
      </c>
      <c r="O560" t="s">
        <v>74</v>
      </c>
      <c r="P560" t="s">
        <v>74</v>
      </c>
      <c r="Q560" t="s">
        <v>74</v>
      </c>
      <c r="R560" t="s">
        <v>74</v>
      </c>
      <c r="S560" t="s">
        <v>74</v>
      </c>
      <c r="T560" t="s">
        <v>10655</v>
      </c>
      <c r="U560" t="s">
        <v>10656</v>
      </c>
      <c r="V560" t="s">
        <v>10657</v>
      </c>
      <c r="W560" t="s">
        <v>10658</v>
      </c>
      <c r="X560" t="s">
        <v>10659</v>
      </c>
      <c r="Y560" t="s">
        <v>10660</v>
      </c>
      <c r="Z560" t="s">
        <v>10661</v>
      </c>
      <c r="AA560" t="s">
        <v>10662</v>
      </c>
      <c r="AB560" t="s">
        <v>10663</v>
      </c>
      <c r="AC560" t="s">
        <v>10664</v>
      </c>
      <c r="AD560" t="s">
        <v>822</v>
      </c>
      <c r="AE560" t="s">
        <v>10665</v>
      </c>
      <c r="AF560" t="s">
        <v>74</v>
      </c>
      <c r="AG560">
        <v>73</v>
      </c>
      <c r="AH560">
        <v>11</v>
      </c>
      <c r="AI560">
        <v>11</v>
      </c>
      <c r="AJ560">
        <v>0</v>
      </c>
      <c r="AK560">
        <v>9</v>
      </c>
      <c r="AL560" t="s">
        <v>1731</v>
      </c>
      <c r="AM560" t="s">
        <v>1732</v>
      </c>
      <c r="AN560" t="s">
        <v>1733</v>
      </c>
      <c r="AO560" t="s">
        <v>74</v>
      </c>
      <c r="AP560" t="s">
        <v>10595</v>
      </c>
      <c r="AQ560" t="s">
        <v>74</v>
      </c>
      <c r="AR560" t="s">
        <v>10596</v>
      </c>
      <c r="AS560" t="s">
        <v>10597</v>
      </c>
      <c r="AT560" t="s">
        <v>74</v>
      </c>
      <c r="AU560">
        <v>2017</v>
      </c>
      <c r="AV560">
        <v>4</v>
      </c>
      <c r="AW560" t="s">
        <v>74</v>
      </c>
      <c r="AX560" t="s">
        <v>74</v>
      </c>
      <c r="AY560" t="s">
        <v>74</v>
      </c>
      <c r="AZ560" t="s">
        <v>74</v>
      </c>
      <c r="BA560" t="s">
        <v>74</v>
      </c>
      <c r="BB560" t="s">
        <v>74</v>
      </c>
      <c r="BC560" t="s">
        <v>74</v>
      </c>
      <c r="BD560">
        <v>21</v>
      </c>
      <c r="BE560" t="s">
        <v>10666</v>
      </c>
      <c r="BF560" t="str">
        <f>HYPERLINK("http://dx.doi.org/10.3389/fmars.2017.00021","http://dx.doi.org/10.3389/fmars.2017.00021")</f>
        <v>http://dx.doi.org/10.3389/fmars.2017.00021</v>
      </c>
      <c r="BG560" t="s">
        <v>74</v>
      </c>
      <c r="BH560" t="s">
        <v>74</v>
      </c>
      <c r="BI560">
        <v>14</v>
      </c>
      <c r="BJ560" t="s">
        <v>1123</v>
      </c>
      <c r="BK560" t="s">
        <v>101</v>
      </c>
      <c r="BL560" t="s">
        <v>1124</v>
      </c>
      <c r="BM560" t="s">
        <v>10599</v>
      </c>
      <c r="BN560" t="s">
        <v>74</v>
      </c>
      <c r="BO560" t="s">
        <v>941</v>
      </c>
      <c r="BP560" t="s">
        <v>74</v>
      </c>
      <c r="BQ560" t="s">
        <v>74</v>
      </c>
      <c r="BR560" t="s">
        <v>105</v>
      </c>
      <c r="BS560" t="s">
        <v>10667</v>
      </c>
      <c r="BT560" t="str">
        <f>HYPERLINK("https%3A%2F%2Fwww.webofscience.com%2Fwos%2Fwoscc%2Ffull-record%2FWOS:000457690600021","View Full Record in Web of Science")</f>
        <v>View Full Record in Web of Science</v>
      </c>
    </row>
    <row r="561" spans="1:72" x14ac:dyDescent="0.15">
      <c r="A561" t="s">
        <v>72</v>
      </c>
      <c r="B561" t="s">
        <v>10668</v>
      </c>
      <c r="C561" t="s">
        <v>74</v>
      </c>
      <c r="D561" t="s">
        <v>74</v>
      </c>
      <c r="E561" t="s">
        <v>74</v>
      </c>
      <c r="F561" t="s">
        <v>10669</v>
      </c>
      <c r="G561" t="s">
        <v>74</v>
      </c>
      <c r="H561" t="s">
        <v>74</v>
      </c>
      <c r="I561" t="s">
        <v>10670</v>
      </c>
      <c r="J561" t="s">
        <v>10582</v>
      </c>
      <c r="K561" t="s">
        <v>74</v>
      </c>
      <c r="L561" t="s">
        <v>74</v>
      </c>
      <c r="M561" t="s">
        <v>78</v>
      </c>
      <c r="N561" t="s">
        <v>79</v>
      </c>
      <c r="O561" t="s">
        <v>74</v>
      </c>
      <c r="P561" t="s">
        <v>74</v>
      </c>
      <c r="Q561" t="s">
        <v>74</v>
      </c>
      <c r="R561" t="s">
        <v>74</v>
      </c>
      <c r="S561" t="s">
        <v>74</v>
      </c>
      <c r="T561" t="s">
        <v>10671</v>
      </c>
      <c r="U561" t="s">
        <v>74</v>
      </c>
      <c r="V561" t="s">
        <v>10672</v>
      </c>
      <c r="W561" t="s">
        <v>10673</v>
      </c>
      <c r="X561" t="s">
        <v>10674</v>
      </c>
      <c r="Y561" t="s">
        <v>10675</v>
      </c>
      <c r="Z561" t="s">
        <v>10676</v>
      </c>
      <c r="AA561" t="s">
        <v>74</v>
      </c>
      <c r="AB561" t="s">
        <v>10677</v>
      </c>
      <c r="AC561" t="s">
        <v>10678</v>
      </c>
      <c r="AD561" t="s">
        <v>10678</v>
      </c>
      <c r="AE561" t="s">
        <v>10679</v>
      </c>
      <c r="AF561" t="s">
        <v>74</v>
      </c>
      <c r="AG561">
        <v>16</v>
      </c>
      <c r="AH561">
        <v>71</v>
      </c>
      <c r="AI561">
        <v>80</v>
      </c>
      <c r="AJ561">
        <v>1</v>
      </c>
      <c r="AK561">
        <v>11</v>
      </c>
      <c r="AL561" t="s">
        <v>1731</v>
      </c>
      <c r="AM561" t="s">
        <v>1732</v>
      </c>
      <c r="AN561" t="s">
        <v>1733</v>
      </c>
      <c r="AO561" t="s">
        <v>74</v>
      </c>
      <c r="AP561" t="s">
        <v>10595</v>
      </c>
      <c r="AQ561" t="s">
        <v>74</v>
      </c>
      <c r="AR561" t="s">
        <v>10596</v>
      </c>
      <c r="AS561" t="s">
        <v>10597</v>
      </c>
      <c r="AT561" t="s">
        <v>74</v>
      </c>
      <c r="AU561">
        <v>2017</v>
      </c>
      <c r="AV561">
        <v>4</v>
      </c>
      <c r="AW561" t="s">
        <v>74</v>
      </c>
      <c r="AX561" t="s">
        <v>74</v>
      </c>
      <c r="AY561" t="s">
        <v>74</v>
      </c>
      <c r="AZ561" t="s">
        <v>74</v>
      </c>
      <c r="BA561" t="s">
        <v>74</v>
      </c>
      <c r="BB561" t="s">
        <v>74</v>
      </c>
      <c r="BC561" t="s">
        <v>74</v>
      </c>
      <c r="BD561">
        <v>366</v>
      </c>
      <c r="BE561" t="s">
        <v>10680</v>
      </c>
      <c r="BF561" t="str">
        <f>HYPERLINK("http://dx.doi.org/10.3389/fmars.2017.00366","http://dx.doi.org/10.3389/fmars.2017.00366")</f>
        <v>http://dx.doi.org/10.3389/fmars.2017.00366</v>
      </c>
      <c r="BG561" t="s">
        <v>74</v>
      </c>
      <c r="BH561" t="s">
        <v>74</v>
      </c>
      <c r="BI561">
        <v>7</v>
      </c>
      <c r="BJ561" t="s">
        <v>1123</v>
      </c>
      <c r="BK561" t="s">
        <v>101</v>
      </c>
      <c r="BL561" t="s">
        <v>1124</v>
      </c>
      <c r="BM561" t="s">
        <v>10599</v>
      </c>
      <c r="BN561" t="s">
        <v>74</v>
      </c>
      <c r="BO561" t="s">
        <v>941</v>
      </c>
      <c r="BP561" t="s">
        <v>74</v>
      </c>
      <c r="BQ561" t="s">
        <v>74</v>
      </c>
      <c r="BR561" t="s">
        <v>105</v>
      </c>
      <c r="BS561" t="s">
        <v>10681</v>
      </c>
      <c r="BT561" t="str">
        <f>HYPERLINK("https%3A%2F%2Fwww.webofscience.com%2Fwos%2Fwoscc%2Ffull-record%2FWOS:000457690600364","View Full Record in Web of Science")</f>
        <v>View Full Record in Web of Science</v>
      </c>
    </row>
    <row r="562" spans="1:72" x14ac:dyDescent="0.15">
      <c r="A562" t="s">
        <v>72</v>
      </c>
      <c r="B562" t="s">
        <v>10682</v>
      </c>
      <c r="C562" t="s">
        <v>74</v>
      </c>
      <c r="D562" t="s">
        <v>74</v>
      </c>
      <c r="E562" t="s">
        <v>74</v>
      </c>
      <c r="F562" t="s">
        <v>10683</v>
      </c>
      <c r="G562" t="s">
        <v>74</v>
      </c>
      <c r="H562" t="s">
        <v>74</v>
      </c>
      <c r="I562" t="s">
        <v>10684</v>
      </c>
      <c r="J562" t="s">
        <v>10582</v>
      </c>
      <c r="K562" t="s">
        <v>74</v>
      </c>
      <c r="L562" t="s">
        <v>74</v>
      </c>
      <c r="M562" t="s">
        <v>78</v>
      </c>
      <c r="N562" t="s">
        <v>2034</v>
      </c>
      <c r="O562" t="s">
        <v>74</v>
      </c>
      <c r="P562" t="s">
        <v>74</v>
      </c>
      <c r="Q562" t="s">
        <v>74</v>
      </c>
      <c r="R562" t="s">
        <v>74</v>
      </c>
      <c r="S562" t="s">
        <v>74</v>
      </c>
      <c r="T562" t="s">
        <v>10685</v>
      </c>
      <c r="U562" t="s">
        <v>10686</v>
      </c>
      <c r="V562" t="s">
        <v>10687</v>
      </c>
      <c r="W562" t="s">
        <v>10688</v>
      </c>
      <c r="X562" t="s">
        <v>10689</v>
      </c>
      <c r="Y562" t="s">
        <v>10690</v>
      </c>
      <c r="Z562" t="s">
        <v>10691</v>
      </c>
      <c r="AA562" t="s">
        <v>10692</v>
      </c>
      <c r="AB562" t="s">
        <v>10693</v>
      </c>
      <c r="AC562" t="s">
        <v>10694</v>
      </c>
      <c r="AD562" t="s">
        <v>10695</v>
      </c>
      <c r="AE562" t="s">
        <v>10696</v>
      </c>
      <c r="AF562" t="s">
        <v>74</v>
      </c>
      <c r="AG562">
        <v>354</v>
      </c>
      <c r="AH562">
        <v>225</v>
      </c>
      <c r="AI562">
        <v>242</v>
      </c>
      <c r="AJ562">
        <v>56</v>
      </c>
      <c r="AK562">
        <v>326</v>
      </c>
      <c r="AL562" t="s">
        <v>1731</v>
      </c>
      <c r="AM562" t="s">
        <v>1732</v>
      </c>
      <c r="AN562" t="s">
        <v>1733</v>
      </c>
      <c r="AO562" t="s">
        <v>74</v>
      </c>
      <c r="AP562" t="s">
        <v>10595</v>
      </c>
      <c r="AQ562" t="s">
        <v>74</v>
      </c>
      <c r="AR562" t="s">
        <v>10596</v>
      </c>
      <c r="AS562" t="s">
        <v>10597</v>
      </c>
      <c r="AT562" t="s">
        <v>74</v>
      </c>
      <c r="AU562">
        <v>2017</v>
      </c>
      <c r="AV562">
        <v>4</v>
      </c>
      <c r="AW562" t="s">
        <v>74</v>
      </c>
      <c r="AX562" t="s">
        <v>74</v>
      </c>
      <c r="AY562" t="s">
        <v>74</v>
      </c>
      <c r="AZ562" t="s">
        <v>74</v>
      </c>
      <c r="BA562" t="s">
        <v>74</v>
      </c>
      <c r="BB562" t="s">
        <v>74</v>
      </c>
      <c r="BC562" t="s">
        <v>74</v>
      </c>
      <c r="BD562">
        <v>40</v>
      </c>
      <c r="BE562" t="s">
        <v>10697</v>
      </c>
      <c r="BF562" t="str">
        <f>HYPERLINK("http://dx.doi.org/10.3389/fmars.2017.00040","http://dx.doi.org/10.3389/fmars.2017.00040")</f>
        <v>http://dx.doi.org/10.3389/fmars.2017.00040</v>
      </c>
      <c r="BG562" t="s">
        <v>74</v>
      </c>
      <c r="BH562" t="s">
        <v>74</v>
      </c>
      <c r="BI562">
        <v>28</v>
      </c>
      <c r="BJ562" t="s">
        <v>1123</v>
      </c>
      <c r="BK562" t="s">
        <v>101</v>
      </c>
      <c r="BL562" t="s">
        <v>1124</v>
      </c>
      <c r="BM562" t="s">
        <v>10599</v>
      </c>
      <c r="BN562" t="s">
        <v>74</v>
      </c>
      <c r="BO562" t="s">
        <v>1298</v>
      </c>
      <c r="BP562" t="s">
        <v>813</v>
      </c>
      <c r="BQ562" t="s">
        <v>814</v>
      </c>
      <c r="BR562" t="s">
        <v>105</v>
      </c>
      <c r="BS562" t="s">
        <v>10698</v>
      </c>
      <c r="BT562" t="str">
        <f>HYPERLINK("https%3A%2F%2Fwww.webofscience.com%2Fwos%2Fwoscc%2Ffull-record%2FWOS:000457690600040","View Full Record in Web of Science")</f>
        <v>View Full Record in Web of Science</v>
      </c>
    </row>
    <row r="563" spans="1:72" x14ac:dyDescent="0.15">
      <c r="A563" t="s">
        <v>72</v>
      </c>
      <c r="B563" t="s">
        <v>10699</v>
      </c>
      <c r="C563" t="s">
        <v>74</v>
      </c>
      <c r="D563" t="s">
        <v>74</v>
      </c>
      <c r="E563" t="s">
        <v>74</v>
      </c>
      <c r="F563" t="s">
        <v>10700</v>
      </c>
      <c r="G563" t="s">
        <v>74</v>
      </c>
      <c r="H563" t="s">
        <v>74</v>
      </c>
      <c r="I563" t="s">
        <v>10701</v>
      </c>
      <c r="J563" t="s">
        <v>10582</v>
      </c>
      <c r="K563" t="s">
        <v>74</v>
      </c>
      <c r="L563" t="s">
        <v>74</v>
      </c>
      <c r="M563" t="s">
        <v>78</v>
      </c>
      <c r="N563" t="s">
        <v>79</v>
      </c>
      <c r="O563" t="s">
        <v>74</v>
      </c>
      <c r="P563" t="s">
        <v>74</v>
      </c>
      <c r="Q563" t="s">
        <v>74</v>
      </c>
      <c r="R563" t="s">
        <v>74</v>
      </c>
      <c r="S563" t="s">
        <v>74</v>
      </c>
      <c r="T563" t="s">
        <v>10702</v>
      </c>
      <c r="U563" t="s">
        <v>10703</v>
      </c>
      <c r="V563" t="s">
        <v>10704</v>
      </c>
      <c r="W563" t="s">
        <v>10705</v>
      </c>
      <c r="X563" t="s">
        <v>10706</v>
      </c>
      <c r="Y563" t="s">
        <v>10707</v>
      </c>
      <c r="Z563" t="s">
        <v>10708</v>
      </c>
      <c r="AA563" t="s">
        <v>10709</v>
      </c>
      <c r="AB563" t="s">
        <v>10710</v>
      </c>
      <c r="AC563" t="s">
        <v>10711</v>
      </c>
      <c r="AD563" t="s">
        <v>10712</v>
      </c>
      <c r="AE563" t="s">
        <v>10713</v>
      </c>
      <c r="AF563" t="s">
        <v>74</v>
      </c>
      <c r="AG563">
        <v>180</v>
      </c>
      <c r="AH563">
        <v>51</v>
      </c>
      <c r="AI563">
        <v>53</v>
      </c>
      <c r="AJ563">
        <v>0</v>
      </c>
      <c r="AK563">
        <v>9</v>
      </c>
      <c r="AL563" t="s">
        <v>1731</v>
      </c>
      <c r="AM563" t="s">
        <v>1732</v>
      </c>
      <c r="AN563" t="s">
        <v>1733</v>
      </c>
      <c r="AO563" t="s">
        <v>74</v>
      </c>
      <c r="AP563" t="s">
        <v>10595</v>
      </c>
      <c r="AQ563" t="s">
        <v>74</v>
      </c>
      <c r="AR563" t="s">
        <v>10596</v>
      </c>
      <c r="AS563" t="s">
        <v>10597</v>
      </c>
      <c r="AT563" t="s">
        <v>74</v>
      </c>
      <c r="AU563">
        <v>2017</v>
      </c>
      <c r="AV563">
        <v>4</v>
      </c>
      <c r="AW563" t="s">
        <v>74</v>
      </c>
      <c r="AX563" t="s">
        <v>74</v>
      </c>
      <c r="AY563" t="s">
        <v>74</v>
      </c>
      <c r="AZ563" t="s">
        <v>74</v>
      </c>
      <c r="BA563" t="s">
        <v>74</v>
      </c>
      <c r="BB563" t="s">
        <v>74</v>
      </c>
      <c r="BC563" t="s">
        <v>74</v>
      </c>
      <c r="BD563">
        <v>19</v>
      </c>
      <c r="BE563" t="s">
        <v>10714</v>
      </c>
      <c r="BF563" t="str">
        <f>HYPERLINK("http://dx.doi.org/10.3389/fmars.2017.00019","http://dx.doi.org/10.3389/fmars.2017.00019")</f>
        <v>http://dx.doi.org/10.3389/fmars.2017.00019</v>
      </c>
      <c r="BG563" t="s">
        <v>74</v>
      </c>
      <c r="BH563" t="s">
        <v>74</v>
      </c>
      <c r="BI563">
        <v>19</v>
      </c>
      <c r="BJ563" t="s">
        <v>1123</v>
      </c>
      <c r="BK563" t="s">
        <v>101</v>
      </c>
      <c r="BL563" t="s">
        <v>1124</v>
      </c>
      <c r="BM563" t="s">
        <v>10599</v>
      </c>
      <c r="BN563" t="s">
        <v>74</v>
      </c>
      <c r="BO563" t="s">
        <v>1368</v>
      </c>
      <c r="BP563" t="s">
        <v>74</v>
      </c>
      <c r="BQ563" t="s">
        <v>74</v>
      </c>
      <c r="BR563" t="s">
        <v>105</v>
      </c>
      <c r="BS563" t="s">
        <v>10715</v>
      </c>
      <c r="BT563" t="str">
        <f>HYPERLINK("https%3A%2F%2Fwww.webofscience.com%2Fwos%2Fwoscc%2Ffull-record%2FWOS:000457690600019","View Full Record in Web of Science")</f>
        <v>View Full Record in Web of Science</v>
      </c>
    </row>
    <row r="564" spans="1:72" x14ac:dyDescent="0.15">
      <c r="A564" t="s">
        <v>72</v>
      </c>
      <c r="B564" t="s">
        <v>10716</v>
      </c>
      <c r="C564" t="s">
        <v>74</v>
      </c>
      <c r="D564" t="s">
        <v>74</v>
      </c>
      <c r="E564" t="s">
        <v>74</v>
      </c>
      <c r="F564" t="s">
        <v>10717</v>
      </c>
      <c r="G564" t="s">
        <v>74</v>
      </c>
      <c r="H564" t="s">
        <v>74</v>
      </c>
      <c r="I564" t="s">
        <v>10718</v>
      </c>
      <c r="J564" t="s">
        <v>10582</v>
      </c>
      <c r="K564" t="s">
        <v>74</v>
      </c>
      <c r="L564" t="s">
        <v>74</v>
      </c>
      <c r="M564" t="s">
        <v>78</v>
      </c>
      <c r="N564" t="s">
        <v>79</v>
      </c>
      <c r="O564" t="s">
        <v>74</v>
      </c>
      <c r="P564" t="s">
        <v>74</v>
      </c>
      <c r="Q564" t="s">
        <v>74</v>
      </c>
      <c r="R564" t="s">
        <v>74</v>
      </c>
      <c r="S564" t="s">
        <v>74</v>
      </c>
      <c r="T564" t="s">
        <v>10719</v>
      </c>
      <c r="U564" t="s">
        <v>10720</v>
      </c>
      <c r="V564" t="s">
        <v>10721</v>
      </c>
      <c r="W564" t="s">
        <v>10722</v>
      </c>
      <c r="X564" t="s">
        <v>10723</v>
      </c>
      <c r="Y564" t="s">
        <v>10724</v>
      </c>
      <c r="Z564" t="s">
        <v>10725</v>
      </c>
      <c r="AA564" t="s">
        <v>10726</v>
      </c>
      <c r="AB564" t="s">
        <v>10727</v>
      </c>
      <c r="AC564" t="s">
        <v>10728</v>
      </c>
      <c r="AD564" t="s">
        <v>10729</v>
      </c>
      <c r="AE564" t="s">
        <v>10730</v>
      </c>
      <c r="AF564" t="s">
        <v>74</v>
      </c>
      <c r="AG564">
        <v>108</v>
      </c>
      <c r="AH564">
        <v>56</v>
      </c>
      <c r="AI564">
        <v>60</v>
      </c>
      <c r="AJ564">
        <v>6</v>
      </c>
      <c r="AK564">
        <v>25</v>
      </c>
      <c r="AL564" t="s">
        <v>1731</v>
      </c>
      <c r="AM564" t="s">
        <v>1732</v>
      </c>
      <c r="AN564" t="s">
        <v>1733</v>
      </c>
      <c r="AO564" t="s">
        <v>74</v>
      </c>
      <c r="AP564" t="s">
        <v>10595</v>
      </c>
      <c r="AQ564" t="s">
        <v>74</v>
      </c>
      <c r="AR564" t="s">
        <v>10596</v>
      </c>
      <c r="AS564" t="s">
        <v>10597</v>
      </c>
      <c r="AT564" t="s">
        <v>74</v>
      </c>
      <c r="AU564">
        <v>2017</v>
      </c>
      <c r="AV564">
        <v>4</v>
      </c>
      <c r="AW564" t="s">
        <v>74</v>
      </c>
      <c r="AX564" t="s">
        <v>74</v>
      </c>
      <c r="AY564" t="s">
        <v>74</v>
      </c>
      <c r="AZ564" t="s">
        <v>74</v>
      </c>
      <c r="BA564" t="s">
        <v>74</v>
      </c>
      <c r="BB564" t="s">
        <v>74</v>
      </c>
      <c r="BC564" t="s">
        <v>74</v>
      </c>
      <c r="BD564">
        <v>310</v>
      </c>
      <c r="BE564" t="s">
        <v>10731</v>
      </c>
      <c r="BF564" t="str">
        <f>HYPERLINK("http://dx.doi.org/10.3389/fmars.2017.00310","http://dx.doi.org/10.3389/fmars.2017.00310")</f>
        <v>http://dx.doi.org/10.3389/fmars.2017.00310</v>
      </c>
      <c r="BG564" t="s">
        <v>74</v>
      </c>
      <c r="BH564" t="s">
        <v>74</v>
      </c>
      <c r="BI564">
        <v>16</v>
      </c>
      <c r="BJ564" t="s">
        <v>1123</v>
      </c>
      <c r="BK564" t="s">
        <v>101</v>
      </c>
      <c r="BL564" t="s">
        <v>1124</v>
      </c>
      <c r="BM564" t="s">
        <v>10599</v>
      </c>
      <c r="BN564" t="s">
        <v>74</v>
      </c>
      <c r="BO564" t="s">
        <v>918</v>
      </c>
      <c r="BP564" t="s">
        <v>74</v>
      </c>
      <c r="BQ564" t="s">
        <v>74</v>
      </c>
      <c r="BR564" t="s">
        <v>105</v>
      </c>
      <c r="BS564" t="s">
        <v>10732</v>
      </c>
      <c r="BT564" t="str">
        <f>HYPERLINK("https%3A%2F%2Fwww.webofscience.com%2Fwos%2Fwoscc%2Ffull-record%2FWOS:000457690600308","View Full Record in Web of Science")</f>
        <v>View Full Record in Web of Science</v>
      </c>
    </row>
    <row r="565" spans="1:72" x14ac:dyDescent="0.15">
      <c r="A565" t="s">
        <v>72</v>
      </c>
      <c r="B565" t="s">
        <v>10733</v>
      </c>
      <c r="C565" t="s">
        <v>74</v>
      </c>
      <c r="D565" t="s">
        <v>74</v>
      </c>
      <c r="E565" t="s">
        <v>74</v>
      </c>
      <c r="F565" t="s">
        <v>10734</v>
      </c>
      <c r="G565" t="s">
        <v>74</v>
      </c>
      <c r="H565" t="s">
        <v>74</v>
      </c>
      <c r="I565" t="s">
        <v>10735</v>
      </c>
      <c r="J565" t="s">
        <v>10582</v>
      </c>
      <c r="K565" t="s">
        <v>74</v>
      </c>
      <c r="L565" t="s">
        <v>74</v>
      </c>
      <c r="M565" t="s">
        <v>78</v>
      </c>
      <c r="N565" t="s">
        <v>79</v>
      </c>
      <c r="O565" t="s">
        <v>74</v>
      </c>
      <c r="P565" t="s">
        <v>74</v>
      </c>
      <c r="Q565" t="s">
        <v>74</v>
      </c>
      <c r="R565" t="s">
        <v>74</v>
      </c>
      <c r="S565" t="s">
        <v>74</v>
      </c>
      <c r="T565" t="s">
        <v>10736</v>
      </c>
      <c r="U565" t="s">
        <v>10737</v>
      </c>
      <c r="V565" t="s">
        <v>10738</v>
      </c>
      <c r="W565" t="s">
        <v>10739</v>
      </c>
      <c r="X565" t="s">
        <v>10740</v>
      </c>
      <c r="Y565" t="s">
        <v>10741</v>
      </c>
      <c r="Z565" t="s">
        <v>10742</v>
      </c>
      <c r="AA565" t="s">
        <v>10743</v>
      </c>
      <c r="AB565" t="s">
        <v>10744</v>
      </c>
      <c r="AC565" t="s">
        <v>10745</v>
      </c>
      <c r="AD565" t="s">
        <v>10746</v>
      </c>
      <c r="AE565" t="s">
        <v>10747</v>
      </c>
      <c r="AF565" t="s">
        <v>74</v>
      </c>
      <c r="AG565">
        <v>58</v>
      </c>
      <c r="AH565">
        <v>13</v>
      </c>
      <c r="AI565">
        <v>15</v>
      </c>
      <c r="AJ565">
        <v>2</v>
      </c>
      <c r="AK565">
        <v>24</v>
      </c>
      <c r="AL565" t="s">
        <v>1731</v>
      </c>
      <c r="AM565" t="s">
        <v>1732</v>
      </c>
      <c r="AN565" t="s">
        <v>1733</v>
      </c>
      <c r="AO565" t="s">
        <v>74</v>
      </c>
      <c r="AP565" t="s">
        <v>10595</v>
      </c>
      <c r="AQ565" t="s">
        <v>74</v>
      </c>
      <c r="AR565" t="s">
        <v>10596</v>
      </c>
      <c r="AS565" t="s">
        <v>10597</v>
      </c>
      <c r="AT565" t="s">
        <v>74</v>
      </c>
      <c r="AU565">
        <v>2017</v>
      </c>
      <c r="AV565">
        <v>4</v>
      </c>
      <c r="AW565" t="s">
        <v>74</v>
      </c>
      <c r="AX565" t="s">
        <v>74</v>
      </c>
      <c r="AY565" t="s">
        <v>74</v>
      </c>
      <c r="AZ565" t="s">
        <v>74</v>
      </c>
      <c r="BA565" t="s">
        <v>74</v>
      </c>
      <c r="BB565" t="s">
        <v>74</v>
      </c>
      <c r="BC565" t="s">
        <v>74</v>
      </c>
      <c r="BD565">
        <v>20</v>
      </c>
      <c r="BE565" t="s">
        <v>10748</v>
      </c>
      <c r="BF565" t="str">
        <f>HYPERLINK("http://dx.doi.org/10.3389/fmars.2017.00020","http://dx.doi.org/10.3389/fmars.2017.00020")</f>
        <v>http://dx.doi.org/10.3389/fmars.2017.00020</v>
      </c>
      <c r="BG565" t="s">
        <v>74</v>
      </c>
      <c r="BH565" t="s">
        <v>74</v>
      </c>
      <c r="BI565">
        <v>18</v>
      </c>
      <c r="BJ565" t="s">
        <v>1123</v>
      </c>
      <c r="BK565" t="s">
        <v>101</v>
      </c>
      <c r="BL565" t="s">
        <v>1124</v>
      </c>
      <c r="BM565" t="s">
        <v>10599</v>
      </c>
      <c r="BN565" t="s">
        <v>74</v>
      </c>
      <c r="BO565" t="s">
        <v>941</v>
      </c>
      <c r="BP565" t="s">
        <v>74</v>
      </c>
      <c r="BQ565" t="s">
        <v>74</v>
      </c>
      <c r="BR565" t="s">
        <v>105</v>
      </c>
      <c r="BS565" t="s">
        <v>10749</v>
      </c>
      <c r="BT565" t="str">
        <f>HYPERLINK("https%3A%2F%2Fwww.webofscience.com%2Fwos%2Fwoscc%2Ffull-record%2FWOS:000457690600020","View Full Record in Web of Science")</f>
        <v>View Full Record in Web of Science</v>
      </c>
    </row>
    <row r="566" spans="1:72" x14ac:dyDescent="0.15">
      <c r="A566" t="s">
        <v>72</v>
      </c>
      <c r="B566" t="s">
        <v>10750</v>
      </c>
      <c r="C566" t="s">
        <v>74</v>
      </c>
      <c r="D566" t="s">
        <v>74</v>
      </c>
      <c r="E566" t="s">
        <v>74</v>
      </c>
      <c r="F566" t="s">
        <v>10751</v>
      </c>
      <c r="G566" t="s">
        <v>74</v>
      </c>
      <c r="H566" t="s">
        <v>74</v>
      </c>
      <c r="I566" t="s">
        <v>10752</v>
      </c>
      <c r="J566" t="s">
        <v>10582</v>
      </c>
      <c r="K566" t="s">
        <v>74</v>
      </c>
      <c r="L566" t="s">
        <v>74</v>
      </c>
      <c r="M566" t="s">
        <v>78</v>
      </c>
      <c r="N566" t="s">
        <v>79</v>
      </c>
      <c r="O566" t="s">
        <v>74</v>
      </c>
      <c r="P566" t="s">
        <v>74</v>
      </c>
      <c r="Q566" t="s">
        <v>74</v>
      </c>
      <c r="R566" t="s">
        <v>74</v>
      </c>
      <c r="S566" t="s">
        <v>74</v>
      </c>
      <c r="T566" t="s">
        <v>10753</v>
      </c>
      <c r="U566" t="s">
        <v>10754</v>
      </c>
      <c r="V566" t="s">
        <v>10755</v>
      </c>
      <c r="W566" t="s">
        <v>10756</v>
      </c>
      <c r="X566" t="s">
        <v>10757</v>
      </c>
      <c r="Y566" t="s">
        <v>10758</v>
      </c>
      <c r="Z566" t="s">
        <v>10759</v>
      </c>
      <c r="AA566" t="s">
        <v>10760</v>
      </c>
      <c r="AB566" t="s">
        <v>10761</v>
      </c>
      <c r="AC566" t="s">
        <v>10762</v>
      </c>
      <c r="AD566" t="s">
        <v>10763</v>
      </c>
      <c r="AE566" t="s">
        <v>10764</v>
      </c>
      <c r="AF566" t="s">
        <v>74</v>
      </c>
      <c r="AG566">
        <v>50</v>
      </c>
      <c r="AH566">
        <v>13</v>
      </c>
      <c r="AI566">
        <v>14</v>
      </c>
      <c r="AJ566">
        <v>0</v>
      </c>
      <c r="AK566">
        <v>3</v>
      </c>
      <c r="AL566" t="s">
        <v>1731</v>
      </c>
      <c r="AM566" t="s">
        <v>1732</v>
      </c>
      <c r="AN566" t="s">
        <v>1733</v>
      </c>
      <c r="AO566" t="s">
        <v>74</v>
      </c>
      <c r="AP566" t="s">
        <v>10595</v>
      </c>
      <c r="AQ566" t="s">
        <v>74</v>
      </c>
      <c r="AR566" t="s">
        <v>10596</v>
      </c>
      <c r="AS566" t="s">
        <v>10597</v>
      </c>
      <c r="AT566" t="s">
        <v>74</v>
      </c>
      <c r="AU566">
        <v>2017</v>
      </c>
      <c r="AV566">
        <v>4</v>
      </c>
      <c r="AW566" t="s">
        <v>74</v>
      </c>
      <c r="AX566" t="s">
        <v>74</v>
      </c>
      <c r="AY566" t="s">
        <v>74</v>
      </c>
      <c r="AZ566" t="s">
        <v>74</v>
      </c>
      <c r="BA566" t="s">
        <v>74</v>
      </c>
      <c r="BB566" t="s">
        <v>74</v>
      </c>
      <c r="BC566" t="s">
        <v>74</v>
      </c>
      <c r="BD566">
        <v>330</v>
      </c>
      <c r="BE566" t="s">
        <v>10765</v>
      </c>
      <c r="BF566" t="str">
        <f>HYPERLINK("http://dx.doi.org/10.3389/fmars.2017.00330","http://dx.doi.org/10.3389/fmars.2017.00330")</f>
        <v>http://dx.doi.org/10.3389/fmars.2017.00330</v>
      </c>
      <c r="BG566" t="s">
        <v>74</v>
      </c>
      <c r="BH566" t="s">
        <v>74</v>
      </c>
      <c r="BI566">
        <v>12</v>
      </c>
      <c r="BJ566" t="s">
        <v>1123</v>
      </c>
      <c r="BK566" t="s">
        <v>101</v>
      </c>
      <c r="BL566" t="s">
        <v>1124</v>
      </c>
      <c r="BM566" t="s">
        <v>10599</v>
      </c>
      <c r="BN566" t="s">
        <v>74</v>
      </c>
      <c r="BO566" t="s">
        <v>941</v>
      </c>
      <c r="BP566" t="s">
        <v>74</v>
      </c>
      <c r="BQ566" t="s">
        <v>74</v>
      </c>
      <c r="BR566" t="s">
        <v>105</v>
      </c>
      <c r="BS566" t="s">
        <v>10766</v>
      </c>
      <c r="BT566" t="str">
        <f>HYPERLINK("https%3A%2F%2Fwww.webofscience.com%2Fwos%2Fwoscc%2Ffull-record%2FWOS:000457690600328","View Full Record in Web of Science")</f>
        <v>View Full Record in Web of Science</v>
      </c>
    </row>
    <row r="567" spans="1:72" x14ac:dyDescent="0.15">
      <c r="A567" t="s">
        <v>72</v>
      </c>
      <c r="B567" t="s">
        <v>10767</v>
      </c>
      <c r="C567" t="s">
        <v>74</v>
      </c>
      <c r="D567" t="s">
        <v>74</v>
      </c>
      <c r="E567" t="s">
        <v>74</v>
      </c>
      <c r="F567" t="s">
        <v>10768</v>
      </c>
      <c r="G567" t="s">
        <v>74</v>
      </c>
      <c r="H567" t="s">
        <v>74</v>
      </c>
      <c r="I567" t="s">
        <v>10769</v>
      </c>
      <c r="J567" t="s">
        <v>10582</v>
      </c>
      <c r="K567" t="s">
        <v>74</v>
      </c>
      <c r="L567" t="s">
        <v>74</v>
      </c>
      <c r="M567" t="s">
        <v>78</v>
      </c>
      <c r="N567" t="s">
        <v>79</v>
      </c>
      <c r="O567" t="s">
        <v>74</v>
      </c>
      <c r="P567" t="s">
        <v>74</v>
      </c>
      <c r="Q567" t="s">
        <v>74</v>
      </c>
      <c r="R567" t="s">
        <v>74</v>
      </c>
      <c r="S567" t="s">
        <v>74</v>
      </c>
      <c r="T567" t="s">
        <v>10770</v>
      </c>
      <c r="U567" t="s">
        <v>10771</v>
      </c>
      <c r="V567" t="s">
        <v>10772</v>
      </c>
      <c r="W567" t="s">
        <v>10773</v>
      </c>
      <c r="X567" t="s">
        <v>10774</v>
      </c>
      <c r="Y567" t="s">
        <v>10775</v>
      </c>
      <c r="Z567" t="s">
        <v>10776</v>
      </c>
      <c r="AA567" t="s">
        <v>10777</v>
      </c>
      <c r="AB567" t="s">
        <v>10778</v>
      </c>
      <c r="AC567" t="s">
        <v>10779</v>
      </c>
      <c r="AD567" t="s">
        <v>10780</v>
      </c>
      <c r="AE567" t="s">
        <v>10781</v>
      </c>
      <c r="AF567" t="s">
        <v>74</v>
      </c>
      <c r="AG567">
        <v>111</v>
      </c>
      <c r="AH567">
        <v>32</v>
      </c>
      <c r="AI567">
        <v>37</v>
      </c>
      <c r="AJ567">
        <v>1</v>
      </c>
      <c r="AK567">
        <v>12</v>
      </c>
      <c r="AL567" t="s">
        <v>1731</v>
      </c>
      <c r="AM567" t="s">
        <v>1732</v>
      </c>
      <c r="AN567" t="s">
        <v>1733</v>
      </c>
      <c r="AO567" t="s">
        <v>74</v>
      </c>
      <c r="AP567" t="s">
        <v>10595</v>
      </c>
      <c r="AQ567" t="s">
        <v>74</v>
      </c>
      <c r="AR567" t="s">
        <v>10596</v>
      </c>
      <c r="AS567" t="s">
        <v>10597</v>
      </c>
      <c r="AT567" t="s">
        <v>74</v>
      </c>
      <c r="AU567">
        <v>2017</v>
      </c>
      <c r="AV567">
        <v>4</v>
      </c>
      <c r="AW567" t="s">
        <v>74</v>
      </c>
      <c r="AX567" t="s">
        <v>74</v>
      </c>
      <c r="AY567" t="s">
        <v>74</v>
      </c>
      <c r="AZ567" t="s">
        <v>74</v>
      </c>
      <c r="BA567" t="s">
        <v>74</v>
      </c>
      <c r="BB567" t="s">
        <v>74</v>
      </c>
      <c r="BC567" t="s">
        <v>74</v>
      </c>
      <c r="BD567">
        <v>277</v>
      </c>
      <c r="BE567" t="s">
        <v>10782</v>
      </c>
      <c r="BF567" t="str">
        <f>HYPERLINK("http://dx.doi.org/10.3389/fmars.2017.00277","http://dx.doi.org/10.3389/fmars.2017.00277")</f>
        <v>http://dx.doi.org/10.3389/fmars.2017.00277</v>
      </c>
      <c r="BG567" t="s">
        <v>74</v>
      </c>
      <c r="BH567" t="s">
        <v>74</v>
      </c>
      <c r="BI567">
        <v>22</v>
      </c>
      <c r="BJ567" t="s">
        <v>1123</v>
      </c>
      <c r="BK567" t="s">
        <v>101</v>
      </c>
      <c r="BL567" t="s">
        <v>1124</v>
      </c>
      <c r="BM567" t="s">
        <v>10599</v>
      </c>
      <c r="BN567" t="s">
        <v>74</v>
      </c>
      <c r="BO567" t="s">
        <v>6051</v>
      </c>
      <c r="BP567" t="s">
        <v>74</v>
      </c>
      <c r="BQ567" t="s">
        <v>74</v>
      </c>
      <c r="BR567" t="s">
        <v>105</v>
      </c>
      <c r="BS567" t="s">
        <v>10783</v>
      </c>
      <c r="BT567" t="str">
        <f>HYPERLINK("https%3A%2F%2Fwww.webofscience.com%2Fwos%2Fwoscc%2Ffull-record%2FWOS:000457690600275","View Full Record in Web of Science")</f>
        <v>View Full Record in Web of Science</v>
      </c>
    </row>
    <row r="568" spans="1:72" x14ac:dyDescent="0.15">
      <c r="A568" t="s">
        <v>72</v>
      </c>
      <c r="B568" t="s">
        <v>10784</v>
      </c>
      <c r="C568" t="s">
        <v>74</v>
      </c>
      <c r="D568" t="s">
        <v>74</v>
      </c>
      <c r="E568" t="s">
        <v>74</v>
      </c>
      <c r="F568" t="s">
        <v>10785</v>
      </c>
      <c r="G568" t="s">
        <v>74</v>
      </c>
      <c r="H568" t="s">
        <v>74</v>
      </c>
      <c r="I568" t="s">
        <v>10786</v>
      </c>
      <c r="J568" t="s">
        <v>10582</v>
      </c>
      <c r="K568" t="s">
        <v>74</v>
      </c>
      <c r="L568" t="s">
        <v>74</v>
      </c>
      <c r="M568" t="s">
        <v>78</v>
      </c>
      <c r="N568" t="s">
        <v>79</v>
      </c>
      <c r="O568" t="s">
        <v>74</v>
      </c>
      <c r="P568" t="s">
        <v>74</v>
      </c>
      <c r="Q568" t="s">
        <v>74</v>
      </c>
      <c r="R568" t="s">
        <v>74</v>
      </c>
      <c r="S568" t="s">
        <v>74</v>
      </c>
      <c r="T568" t="s">
        <v>10787</v>
      </c>
      <c r="U568" t="s">
        <v>10788</v>
      </c>
      <c r="V568" t="s">
        <v>10789</v>
      </c>
      <c r="W568" t="s">
        <v>10790</v>
      </c>
      <c r="X568" t="s">
        <v>10791</v>
      </c>
      <c r="Y568" t="s">
        <v>10792</v>
      </c>
      <c r="Z568" t="s">
        <v>10793</v>
      </c>
      <c r="AA568" t="s">
        <v>10794</v>
      </c>
      <c r="AB568" t="s">
        <v>10795</v>
      </c>
      <c r="AC568" t="s">
        <v>10796</v>
      </c>
      <c r="AD568" t="s">
        <v>10797</v>
      </c>
      <c r="AE568" t="s">
        <v>10798</v>
      </c>
      <c r="AF568" t="s">
        <v>74</v>
      </c>
      <c r="AG568">
        <v>52</v>
      </c>
      <c r="AH568">
        <v>11</v>
      </c>
      <c r="AI568">
        <v>12</v>
      </c>
      <c r="AJ568">
        <v>3</v>
      </c>
      <c r="AK568">
        <v>15</v>
      </c>
      <c r="AL568" t="s">
        <v>1731</v>
      </c>
      <c r="AM568" t="s">
        <v>1732</v>
      </c>
      <c r="AN568" t="s">
        <v>1733</v>
      </c>
      <c r="AO568" t="s">
        <v>74</v>
      </c>
      <c r="AP568" t="s">
        <v>10595</v>
      </c>
      <c r="AQ568" t="s">
        <v>74</v>
      </c>
      <c r="AR568" t="s">
        <v>10596</v>
      </c>
      <c r="AS568" t="s">
        <v>10597</v>
      </c>
      <c r="AT568" t="s">
        <v>74</v>
      </c>
      <c r="AU568">
        <v>2017</v>
      </c>
      <c r="AV568">
        <v>4</v>
      </c>
      <c r="AW568" t="s">
        <v>74</v>
      </c>
      <c r="AX568" t="s">
        <v>74</v>
      </c>
      <c r="AY568" t="s">
        <v>74</v>
      </c>
      <c r="AZ568" t="s">
        <v>74</v>
      </c>
      <c r="BA568" t="s">
        <v>74</v>
      </c>
      <c r="BB568" t="s">
        <v>74</v>
      </c>
      <c r="BC568" t="s">
        <v>74</v>
      </c>
      <c r="BD568">
        <v>217</v>
      </c>
      <c r="BE568" t="s">
        <v>10799</v>
      </c>
      <c r="BF568" t="str">
        <f>HYPERLINK("http://dx.doi.org/10.3389/fmars.2017.00217","http://dx.doi.org/10.3389/fmars.2017.00217")</f>
        <v>http://dx.doi.org/10.3389/fmars.2017.00217</v>
      </c>
      <c r="BG568" t="s">
        <v>74</v>
      </c>
      <c r="BH568" t="s">
        <v>74</v>
      </c>
      <c r="BI568">
        <v>10</v>
      </c>
      <c r="BJ568" t="s">
        <v>1123</v>
      </c>
      <c r="BK568" t="s">
        <v>101</v>
      </c>
      <c r="BL568" t="s">
        <v>1124</v>
      </c>
      <c r="BM568" t="s">
        <v>10599</v>
      </c>
      <c r="BN568" t="s">
        <v>74</v>
      </c>
      <c r="BO568" t="s">
        <v>918</v>
      </c>
      <c r="BP568" t="s">
        <v>74</v>
      </c>
      <c r="BQ568" t="s">
        <v>74</v>
      </c>
      <c r="BR568" t="s">
        <v>105</v>
      </c>
      <c r="BS568" t="s">
        <v>10800</v>
      </c>
      <c r="BT568" t="str">
        <f>HYPERLINK("https%3A%2F%2Fwww.webofscience.com%2Fwos%2Fwoscc%2Ffull-record%2FWOS:000457690600215","View Full Record in Web of Science")</f>
        <v>View Full Record in Web of Science</v>
      </c>
    </row>
    <row r="569" spans="1:72" x14ac:dyDescent="0.15">
      <c r="A569" t="s">
        <v>72</v>
      </c>
      <c r="B569" t="s">
        <v>10801</v>
      </c>
      <c r="C569" t="s">
        <v>74</v>
      </c>
      <c r="D569" t="s">
        <v>74</v>
      </c>
      <c r="E569" t="s">
        <v>74</v>
      </c>
      <c r="F569" t="s">
        <v>10802</v>
      </c>
      <c r="G569" t="s">
        <v>74</v>
      </c>
      <c r="H569" t="s">
        <v>74</v>
      </c>
      <c r="I569" t="s">
        <v>10803</v>
      </c>
      <c r="J569" t="s">
        <v>10582</v>
      </c>
      <c r="K569" t="s">
        <v>74</v>
      </c>
      <c r="L569" t="s">
        <v>74</v>
      </c>
      <c r="M569" t="s">
        <v>78</v>
      </c>
      <c r="N569" t="s">
        <v>79</v>
      </c>
      <c r="O569" t="s">
        <v>74</v>
      </c>
      <c r="P569" t="s">
        <v>74</v>
      </c>
      <c r="Q569" t="s">
        <v>74</v>
      </c>
      <c r="R569" t="s">
        <v>74</v>
      </c>
      <c r="S569" t="s">
        <v>74</v>
      </c>
      <c r="T569" t="s">
        <v>10804</v>
      </c>
      <c r="U569" t="s">
        <v>10805</v>
      </c>
      <c r="V569" t="s">
        <v>10806</v>
      </c>
      <c r="W569" t="s">
        <v>10807</v>
      </c>
      <c r="X569" t="s">
        <v>10808</v>
      </c>
      <c r="Y569" t="s">
        <v>10809</v>
      </c>
      <c r="Z569" t="s">
        <v>10810</v>
      </c>
      <c r="AA569" t="s">
        <v>10811</v>
      </c>
      <c r="AB569" t="s">
        <v>10812</v>
      </c>
      <c r="AC569" t="s">
        <v>10813</v>
      </c>
      <c r="AD569" t="s">
        <v>10814</v>
      </c>
      <c r="AE569" t="s">
        <v>10815</v>
      </c>
      <c r="AF569" t="s">
        <v>74</v>
      </c>
      <c r="AG569">
        <v>93</v>
      </c>
      <c r="AH569">
        <v>13</v>
      </c>
      <c r="AI569">
        <v>13</v>
      </c>
      <c r="AJ569">
        <v>1</v>
      </c>
      <c r="AK569">
        <v>7</v>
      </c>
      <c r="AL569" t="s">
        <v>1731</v>
      </c>
      <c r="AM569" t="s">
        <v>1732</v>
      </c>
      <c r="AN569" t="s">
        <v>1733</v>
      </c>
      <c r="AO569" t="s">
        <v>74</v>
      </c>
      <c r="AP569" t="s">
        <v>10595</v>
      </c>
      <c r="AQ569" t="s">
        <v>74</v>
      </c>
      <c r="AR569" t="s">
        <v>10596</v>
      </c>
      <c r="AS569" t="s">
        <v>10597</v>
      </c>
      <c r="AT569" t="s">
        <v>74</v>
      </c>
      <c r="AU569">
        <v>2017</v>
      </c>
      <c r="AV569">
        <v>4</v>
      </c>
      <c r="AW569" t="s">
        <v>74</v>
      </c>
      <c r="AX569" t="s">
        <v>74</v>
      </c>
      <c r="AY569" t="s">
        <v>74</v>
      </c>
      <c r="AZ569" t="s">
        <v>74</v>
      </c>
      <c r="BA569" t="s">
        <v>74</v>
      </c>
      <c r="BB569" t="s">
        <v>74</v>
      </c>
      <c r="BC569" t="s">
        <v>74</v>
      </c>
      <c r="BD569">
        <v>184</v>
      </c>
      <c r="BE569" t="s">
        <v>10816</v>
      </c>
      <c r="BF569" t="str">
        <f>HYPERLINK("http://dx.doi.org/10.3389/fmars.2017.00184","http://dx.doi.org/10.3389/fmars.2017.00184")</f>
        <v>http://dx.doi.org/10.3389/fmars.2017.00184</v>
      </c>
      <c r="BG569" t="s">
        <v>74</v>
      </c>
      <c r="BH569" t="s">
        <v>74</v>
      </c>
      <c r="BI569">
        <v>20</v>
      </c>
      <c r="BJ569" t="s">
        <v>1123</v>
      </c>
      <c r="BK569" t="s">
        <v>101</v>
      </c>
      <c r="BL569" t="s">
        <v>1124</v>
      </c>
      <c r="BM569" t="s">
        <v>10599</v>
      </c>
      <c r="BN569" t="s">
        <v>74</v>
      </c>
      <c r="BO569" t="s">
        <v>3181</v>
      </c>
      <c r="BP569" t="s">
        <v>74</v>
      </c>
      <c r="BQ569" t="s">
        <v>74</v>
      </c>
      <c r="BR569" t="s">
        <v>105</v>
      </c>
      <c r="BS569" t="s">
        <v>10817</v>
      </c>
      <c r="BT569" t="str">
        <f>HYPERLINK("https%3A%2F%2Fwww.webofscience.com%2Fwos%2Fwoscc%2Ffull-record%2FWOS:000457690600184","View Full Record in Web of Science")</f>
        <v>View Full Record in Web of Science</v>
      </c>
    </row>
    <row r="570" spans="1:72" x14ac:dyDescent="0.15">
      <c r="A570" t="s">
        <v>72</v>
      </c>
      <c r="B570" t="s">
        <v>10818</v>
      </c>
      <c r="C570" t="s">
        <v>74</v>
      </c>
      <c r="D570" t="s">
        <v>74</v>
      </c>
      <c r="E570" t="s">
        <v>74</v>
      </c>
      <c r="F570" t="s">
        <v>10819</v>
      </c>
      <c r="G570" t="s">
        <v>74</v>
      </c>
      <c r="H570" t="s">
        <v>74</v>
      </c>
      <c r="I570" t="s">
        <v>10820</v>
      </c>
      <c r="J570" t="s">
        <v>10582</v>
      </c>
      <c r="K570" t="s">
        <v>74</v>
      </c>
      <c r="L570" t="s">
        <v>74</v>
      </c>
      <c r="M570" t="s">
        <v>78</v>
      </c>
      <c r="N570" t="s">
        <v>79</v>
      </c>
      <c r="O570" t="s">
        <v>74</v>
      </c>
      <c r="P570" t="s">
        <v>74</v>
      </c>
      <c r="Q570" t="s">
        <v>74</v>
      </c>
      <c r="R570" t="s">
        <v>74</v>
      </c>
      <c r="S570" t="s">
        <v>74</v>
      </c>
      <c r="T570" t="s">
        <v>10821</v>
      </c>
      <c r="U570" t="s">
        <v>10822</v>
      </c>
      <c r="V570" t="s">
        <v>10823</v>
      </c>
      <c r="W570" t="s">
        <v>10824</v>
      </c>
      <c r="X570" t="s">
        <v>10825</v>
      </c>
      <c r="Y570" t="s">
        <v>10826</v>
      </c>
      <c r="Z570" t="s">
        <v>10827</v>
      </c>
      <c r="AA570" t="s">
        <v>10828</v>
      </c>
      <c r="AB570" t="s">
        <v>10829</v>
      </c>
      <c r="AC570" t="s">
        <v>10830</v>
      </c>
      <c r="AD570" t="s">
        <v>10831</v>
      </c>
      <c r="AE570" t="s">
        <v>10832</v>
      </c>
      <c r="AF570" t="s">
        <v>74</v>
      </c>
      <c r="AG570">
        <v>48</v>
      </c>
      <c r="AH570">
        <v>37</v>
      </c>
      <c r="AI570">
        <v>38</v>
      </c>
      <c r="AJ570">
        <v>6</v>
      </c>
      <c r="AK570">
        <v>22</v>
      </c>
      <c r="AL570" t="s">
        <v>1731</v>
      </c>
      <c r="AM570" t="s">
        <v>1732</v>
      </c>
      <c r="AN570" t="s">
        <v>1733</v>
      </c>
      <c r="AO570" t="s">
        <v>74</v>
      </c>
      <c r="AP570" t="s">
        <v>10595</v>
      </c>
      <c r="AQ570" t="s">
        <v>74</v>
      </c>
      <c r="AR570" t="s">
        <v>10596</v>
      </c>
      <c r="AS570" t="s">
        <v>10597</v>
      </c>
      <c r="AT570" t="s">
        <v>74</v>
      </c>
      <c r="AU570">
        <v>2017</v>
      </c>
      <c r="AV570">
        <v>4</v>
      </c>
      <c r="AW570" t="s">
        <v>74</v>
      </c>
      <c r="AX570" t="s">
        <v>74</v>
      </c>
      <c r="AY570" t="s">
        <v>74</v>
      </c>
      <c r="AZ570" t="s">
        <v>74</v>
      </c>
      <c r="BA570" t="s">
        <v>74</v>
      </c>
      <c r="BB570" t="s">
        <v>74</v>
      </c>
      <c r="BC570" t="s">
        <v>74</v>
      </c>
      <c r="BD570">
        <v>323</v>
      </c>
      <c r="BE570" t="s">
        <v>10833</v>
      </c>
      <c r="BF570" t="str">
        <f>HYPERLINK("http://dx.doi.org/10.3389/fmars.2017.00323","http://dx.doi.org/10.3389/fmars.2017.00323")</f>
        <v>http://dx.doi.org/10.3389/fmars.2017.00323</v>
      </c>
      <c r="BG570" t="s">
        <v>74</v>
      </c>
      <c r="BH570" t="s">
        <v>74</v>
      </c>
      <c r="BI570">
        <v>15</v>
      </c>
      <c r="BJ570" t="s">
        <v>1123</v>
      </c>
      <c r="BK570" t="s">
        <v>101</v>
      </c>
      <c r="BL570" t="s">
        <v>1124</v>
      </c>
      <c r="BM570" t="s">
        <v>10599</v>
      </c>
      <c r="BN570" t="s">
        <v>74</v>
      </c>
      <c r="BO570" t="s">
        <v>591</v>
      </c>
      <c r="BP570" t="s">
        <v>74</v>
      </c>
      <c r="BQ570" t="s">
        <v>74</v>
      </c>
      <c r="BR570" t="s">
        <v>105</v>
      </c>
      <c r="BS570" t="s">
        <v>10834</v>
      </c>
      <c r="BT570" t="str">
        <f>HYPERLINK("https%3A%2F%2Fwww.webofscience.com%2Fwos%2Fwoscc%2Ffull-record%2FWOS:000457690600321","View Full Record in Web of Science")</f>
        <v>View Full Record in Web of Science</v>
      </c>
    </row>
    <row r="571" spans="1:72" x14ac:dyDescent="0.15">
      <c r="A571" t="s">
        <v>72</v>
      </c>
      <c r="B571" t="s">
        <v>10835</v>
      </c>
      <c r="C571" t="s">
        <v>74</v>
      </c>
      <c r="D571" t="s">
        <v>74</v>
      </c>
      <c r="E571" t="s">
        <v>74</v>
      </c>
      <c r="F571" t="s">
        <v>10836</v>
      </c>
      <c r="G571" t="s">
        <v>74</v>
      </c>
      <c r="H571" t="s">
        <v>74</v>
      </c>
      <c r="I571" t="s">
        <v>10837</v>
      </c>
      <c r="J571" t="s">
        <v>10582</v>
      </c>
      <c r="K571" t="s">
        <v>74</v>
      </c>
      <c r="L571" t="s">
        <v>74</v>
      </c>
      <c r="M571" t="s">
        <v>78</v>
      </c>
      <c r="N571" t="s">
        <v>2034</v>
      </c>
      <c r="O571" t="s">
        <v>74</v>
      </c>
      <c r="P571" t="s">
        <v>74</v>
      </c>
      <c r="Q571" t="s">
        <v>74</v>
      </c>
      <c r="R571" t="s">
        <v>74</v>
      </c>
      <c r="S571" t="s">
        <v>74</v>
      </c>
      <c r="T571" t="s">
        <v>10838</v>
      </c>
      <c r="U571" t="s">
        <v>10839</v>
      </c>
      <c r="V571" t="s">
        <v>10840</v>
      </c>
      <c r="W571" t="s">
        <v>10841</v>
      </c>
      <c r="X571" t="s">
        <v>10842</v>
      </c>
      <c r="Y571" t="s">
        <v>10843</v>
      </c>
      <c r="Z571" t="s">
        <v>10844</v>
      </c>
      <c r="AA571" t="s">
        <v>10845</v>
      </c>
      <c r="AB571" t="s">
        <v>10846</v>
      </c>
      <c r="AC571" t="s">
        <v>10847</v>
      </c>
      <c r="AD571" t="s">
        <v>10848</v>
      </c>
      <c r="AE571" t="s">
        <v>10849</v>
      </c>
      <c r="AF571" t="s">
        <v>74</v>
      </c>
      <c r="AG571">
        <v>133</v>
      </c>
      <c r="AH571">
        <v>59</v>
      </c>
      <c r="AI571">
        <v>67</v>
      </c>
      <c r="AJ571">
        <v>22</v>
      </c>
      <c r="AK571">
        <v>147</v>
      </c>
      <c r="AL571" t="s">
        <v>1731</v>
      </c>
      <c r="AM571" t="s">
        <v>1732</v>
      </c>
      <c r="AN571" t="s">
        <v>1733</v>
      </c>
      <c r="AO571" t="s">
        <v>74</v>
      </c>
      <c r="AP571" t="s">
        <v>10595</v>
      </c>
      <c r="AQ571" t="s">
        <v>74</v>
      </c>
      <c r="AR571" t="s">
        <v>10596</v>
      </c>
      <c r="AS571" t="s">
        <v>10597</v>
      </c>
      <c r="AT571" t="s">
        <v>74</v>
      </c>
      <c r="AU571">
        <v>2017</v>
      </c>
      <c r="AV571">
        <v>4</v>
      </c>
      <c r="AW571" t="s">
        <v>74</v>
      </c>
      <c r="AX571" t="s">
        <v>74</v>
      </c>
      <c r="AY571" t="s">
        <v>74</v>
      </c>
      <c r="AZ571" t="s">
        <v>74</v>
      </c>
      <c r="BA571" t="s">
        <v>74</v>
      </c>
      <c r="BB571" t="s">
        <v>74</v>
      </c>
      <c r="BC571" t="s">
        <v>74</v>
      </c>
      <c r="BD571">
        <v>413</v>
      </c>
      <c r="BE571" t="s">
        <v>10850</v>
      </c>
      <c r="BF571" t="str">
        <f>HYPERLINK("http://dx.doi.org/10.3389/fmars.2017.00413","http://dx.doi.org/10.3389/fmars.2017.00413")</f>
        <v>http://dx.doi.org/10.3389/fmars.2017.00413</v>
      </c>
      <c r="BG571" t="s">
        <v>74</v>
      </c>
      <c r="BH571" t="s">
        <v>74</v>
      </c>
      <c r="BI571">
        <v>14</v>
      </c>
      <c r="BJ571" t="s">
        <v>1123</v>
      </c>
      <c r="BK571" t="s">
        <v>101</v>
      </c>
      <c r="BL571" t="s">
        <v>1124</v>
      </c>
      <c r="BM571" t="s">
        <v>10599</v>
      </c>
      <c r="BN571" t="s">
        <v>74</v>
      </c>
      <c r="BO571" t="s">
        <v>104</v>
      </c>
      <c r="BP571" t="s">
        <v>74</v>
      </c>
      <c r="BQ571" t="s">
        <v>74</v>
      </c>
      <c r="BR571" t="s">
        <v>105</v>
      </c>
      <c r="BS571" t="s">
        <v>10851</v>
      </c>
      <c r="BT571" t="str">
        <f>HYPERLINK("https%3A%2F%2Fwww.webofscience.com%2Fwos%2Fwoscc%2Ffull-record%2FWOS:000457690600409","View Full Record in Web of Science")</f>
        <v>View Full Record in Web of Science</v>
      </c>
    </row>
    <row r="572" spans="1:72" x14ac:dyDescent="0.15">
      <c r="A572" t="s">
        <v>72</v>
      </c>
      <c r="B572" t="s">
        <v>10852</v>
      </c>
      <c r="C572" t="s">
        <v>74</v>
      </c>
      <c r="D572" t="s">
        <v>74</v>
      </c>
      <c r="E572" t="s">
        <v>74</v>
      </c>
      <c r="F572" t="s">
        <v>10853</v>
      </c>
      <c r="G572" t="s">
        <v>74</v>
      </c>
      <c r="H572" t="s">
        <v>74</v>
      </c>
      <c r="I572" t="s">
        <v>10854</v>
      </c>
      <c r="J572" t="s">
        <v>10582</v>
      </c>
      <c r="K572" t="s">
        <v>74</v>
      </c>
      <c r="L572" t="s">
        <v>74</v>
      </c>
      <c r="M572" t="s">
        <v>78</v>
      </c>
      <c r="N572" t="s">
        <v>79</v>
      </c>
      <c r="O572" t="s">
        <v>74</v>
      </c>
      <c r="P572" t="s">
        <v>74</v>
      </c>
      <c r="Q572" t="s">
        <v>74</v>
      </c>
      <c r="R572" t="s">
        <v>74</v>
      </c>
      <c r="S572" t="s">
        <v>74</v>
      </c>
      <c r="T572" t="s">
        <v>10855</v>
      </c>
      <c r="U572" t="s">
        <v>10856</v>
      </c>
      <c r="V572" t="s">
        <v>10857</v>
      </c>
      <c r="W572" t="s">
        <v>10858</v>
      </c>
      <c r="X572" t="s">
        <v>10859</v>
      </c>
      <c r="Y572" t="s">
        <v>10860</v>
      </c>
      <c r="Z572" t="s">
        <v>10861</v>
      </c>
      <c r="AA572" t="s">
        <v>10862</v>
      </c>
      <c r="AB572" t="s">
        <v>10863</v>
      </c>
      <c r="AC572" t="s">
        <v>10864</v>
      </c>
      <c r="AD572" t="s">
        <v>10865</v>
      </c>
      <c r="AE572" t="s">
        <v>10866</v>
      </c>
      <c r="AF572" t="s">
        <v>74</v>
      </c>
      <c r="AG572">
        <v>114</v>
      </c>
      <c r="AH572">
        <v>37</v>
      </c>
      <c r="AI572">
        <v>41</v>
      </c>
      <c r="AJ572">
        <v>1</v>
      </c>
      <c r="AK572">
        <v>17</v>
      </c>
      <c r="AL572" t="s">
        <v>1731</v>
      </c>
      <c r="AM572" t="s">
        <v>1732</v>
      </c>
      <c r="AN572" t="s">
        <v>1733</v>
      </c>
      <c r="AO572" t="s">
        <v>74</v>
      </c>
      <c r="AP572" t="s">
        <v>10595</v>
      </c>
      <c r="AQ572" t="s">
        <v>74</v>
      </c>
      <c r="AR572" t="s">
        <v>10596</v>
      </c>
      <c r="AS572" t="s">
        <v>10597</v>
      </c>
      <c r="AT572" t="s">
        <v>74</v>
      </c>
      <c r="AU572">
        <v>2017</v>
      </c>
      <c r="AV572">
        <v>4</v>
      </c>
      <c r="AW572" t="s">
        <v>74</v>
      </c>
      <c r="AX572" t="s">
        <v>74</v>
      </c>
      <c r="AY572" t="s">
        <v>74</v>
      </c>
      <c r="AZ572" t="s">
        <v>74</v>
      </c>
      <c r="BA572" t="s">
        <v>74</v>
      </c>
      <c r="BB572" t="s">
        <v>74</v>
      </c>
      <c r="BC572" t="s">
        <v>74</v>
      </c>
      <c r="BD572">
        <v>34</v>
      </c>
      <c r="BE572" t="s">
        <v>10867</v>
      </c>
      <c r="BF572" t="str">
        <f>HYPERLINK("http://dx.doi.org/10.3389/fmars.2017.00034","http://dx.doi.org/10.3389/fmars.2017.00034")</f>
        <v>http://dx.doi.org/10.3389/fmars.2017.00034</v>
      </c>
      <c r="BG572" t="s">
        <v>74</v>
      </c>
      <c r="BH572" t="s">
        <v>74</v>
      </c>
      <c r="BI572">
        <v>19</v>
      </c>
      <c r="BJ572" t="s">
        <v>1123</v>
      </c>
      <c r="BK572" t="s">
        <v>101</v>
      </c>
      <c r="BL572" t="s">
        <v>1124</v>
      </c>
      <c r="BM572" t="s">
        <v>10599</v>
      </c>
      <c r="BN572" t="s">
        <v>74</v>
      </c>
      <c r="BO572" t="s">
        <v>941</v>
      </c>
      <c r="BP572" t="s">
        <v>74</v>
      </c>
      <c r="BQ572" t="s">
        <v>74</v>
      </c>
      <c r="BR572" t="s">
        <v>105</v>
      </c>
      <c r="BS572" t="s">
        <v>10868</v>
      </c>
      <c r="BT572" t="str">
        <f>HYPERLINK("https%3A%2F%2Fwww.webofscience.com%2Fwos%2Fwoscc%2Ffull-record%2FWOS:000457690600034","View Full Record in Web of Science")</f>
        <v>View Full Record in Web of Science</v>
      </c>
    </row>
    <row r="573" spans="1:72" x14ac:dyDescent="0.15">
      <c r="A573" t="s">
        <v>72</v>
      </c>
      <c r="B573" t="s">
        <v>10869</v>
      </c>
      <c r="C573" t="s">
        <v>74</v>
      </c>
      <c r="D573" t="s">
        <v>74</v>
      </c>
      <c r="E573" t="s">
        <v>74</v>
      </c>
      <c r="F573" t="s">
        <v>10870</v>
      </c>
      <c r="G573" t="s">
        <v>74</v>
      </c>
      <c r="H573" t="s">
        <v>74</v>
      </c>
      <c r="I573" t="s">
        <v>10871</v>
      </c>
      <c r="J573" t="s">
        <v>10582</v>
      </c>
      <c r="K573" t="s">
        <v>74</v>
      </c>
      <c r="L573" t="s">
        <v>74</v>
      </c>
      <c r="M573" t="s">
        <v>78</v>
      </c>
      <c r="N573" t="s">
        <v>2034</v>
      </c>
      <c r="O573" t="s">
        <v>74</v>
      </c>
      <c r="P573" t="s">
        <v>74</v>
      </c>
      <c r="Q573" t="s">
        <v>74</v>
      </c>
      <c r="R573" t="s">
        <v>74</v>
      </c>
      <c r="S573" t="s">
        <v>74</v>
      </c>
      <c r="T573" t="s">
        <v>10872</v>
      </c>
      <c r="U573" t="s">
        <v>10873</v>
      </c>
      <c r="V573" t="s">
        <v>10874</v>
      </c>
      <c r="W573" t="s">
        <v>10875</v>
      </c>
      <c r="X573" t="s">
        <v>10876</v>
      </c>
      <c r="Y573" t="s">
        <v>10877</v>
      </c>
      <c r="Z573" t="s">
        <v>10878</v>
      </c>
      <c r="AA573" t="s">
        <v>10879</v>
      </c>
      <c r="AB573" t="s">
        <v>10880</v>
      </c>
      <c r="AC573" t="s">
        <v>10881</v>
      </c>
      <c r="AD573" t="s">
        <v>10882</v>
      </c>
      <c r="AE573" t="s">
        <v>10883</v>
      </c>
      <c r="AF573" t="s">
        <v>74</v>
      </c>
      <c r="AG573">
        <v>115</v>
      </c>
      <c r="AH573">
        <v>8</v>
      </c>
      <c r="AI573">
        <v>8</v>
      </c>
      <c r="AJ573">
        <v>2</v>
      </c>
      <c r="AK573">
        <v>16</v>
      </c>
      <c r="AL573" t="s">
        <v>1731</v>
      </c>
      <c r="AM573" t="s">
        <v>1732</v>
      </c>
      <c r="AN573" t="s">
        <v>1733</v>
      </c>
      <c r="AO573" t="s">
        <v>74</v>
      </c>
      <c r="AP573" t="s">
        <v>10595</v>
      </c>
      <c r="AQ573" t="s">
        <v>74</v>
      </c>
      <c r="AR573" t="s">
        <v>10596</v>
      </c>
      <c r="AS573" t="s">
        <v>10597</v>
      </c>
      <c r="AT573" t="s">
        <v>74</v>
      </c>
      <c r="AU573">
        <v>2017</v>
      </c>
      <c r="AV573">
        <v>4</v>
      </c>
      <c r="AW573" t="s">
        <v>74</v>
      </c>
      <c r="AX573" t="s">
        <v>74</v>
      </c>
      <c r="AY573" t="s">
        <v>74</v>
      </c>
      <c r="AZ573" t="s">
        <v>74</v>
      </c>
      <c r="BA573" t="s">
        <v>74</v>
      </c>
      <c r="BB573" t="s">
        <v>74</v>
      </c>
      <c r="BC573" t="s">
        <v>74</v>
      </c>
      <c r="BD573">
        <v>96</v>
      </c>
      <c r="BE573" t="s">
        <v>10884</v>
      </c>
      <c r="BF573" t="str">
        <f>HYPERLINK("http://dx.doi.org/10.3389/fmars.2017.00096","http://dx.doi.org/10.3389/fmars.2017.00096")</f>
        <v>http://dx.doi.org/10.3389/fmars.2017.00096</v>
      </c>
      <c r="BG573" t="s">
        <v>74</v>
      </c>
      <c r="BH573" t="s">
        <v>74</v>
      </c>
      <c r="BI573">
        <v>16</v>
      </c>
      <c r="BJ573" t="s">
        <v>1123</v>
      </c>
      <c r="BK573" t="s">
        <v>101</v>
      </c>
      <c r="BL573" t="s">
        <v>1124</v>
      </c>
      <c r="BM573" t="s">
        <v>10599</v>
      </c>
      <c r="BN573" t="s">
        <v>74</v>
      </c>
      <c r="BO573" t="s">
        <v>1713</v>
      </c>
      <c r="BP573" t="s">
        <v>74</v>
      </c>
      <c r="BQ573" t="s">
        <v>74</v>
      </c>
      <c r="BR573" t="s">
        <v>105</v>
      </c>
      <c r="BS573" t="s">
        <v>10885</v>
      </c>
      <c r="BT573" t="str">
        <f>HYPERLINK("https%3A%2F%2Fwww.webofscience.com%2Fwos%2Fwoscc%2Ffull-record%2FWOS:000457690600096","View Full Record in Web of Science")</f>
        <v>View Full Record in Web of Science</v>
      </c>
    </row>
    <row r="574" spans="1:72" x14ac:dyDescent="0.15">
      <c r="A574" t="s">
        <v>72</v>
      </c>
      <c r="B574" t="s">
        <v>10886</v>
      </c>
      <c r="C574" t="s">
        <v>74</v>
      </c>
      <c r="D574" t="s">
        <v>74</v>
      </c>
      <c r="E574" t="s">
        <v>74</v>
      </c>
      <c r="F574" t="s">
        <v>10887</v>
      </c>
      <c r="G574" t="s">
        <v>74</v>
      </c>
      <c r="H574" t="s">
        <v>74</v>
      </c>
      <c r="I574" t="s">
        <v>10888</v>
      </c>
      <c r="J574" t="s">
        <v>10582</v>
      </c>
      <c r="K574" t="s">
        <v>74</v>
      </c>
      <c r="L574" t="s">
        <v>74</v>
      </c>
      <c r="M574" t="s">
        <v>78</v>
      </c>
      <c r="N574" t="s">
        <v>79</v>
      </c>
      <c r="O574" t="s">
        <v>74</v>
      </c>
      <c r="P574" t="s">
        <v>74</v>
      </c>
      <c r="Q574" t="s">
        <v>74</v>
      </c>
      <c r="R574" t="s">
        <v>74</v>
      </c>
      <c r="S574" t="s">
        <v>74</v>
      </c>
      <c r="T574" t="s">
        <v>10889</v>
      </c>
      <c r="U574" t="s">
        <v>10890</v>
      </c>
      <c r="V574" t="s">
        <v>10891</v>
      </c>
      <c r="W574" t="s">
        <v>10892</v>
      </c>
      <c r="X574" t="s">
        <v>10893</v>
      </c>
      <c r="Y574" t="s">
        <v>10894</v>
      </c>
      <c r="Z574" t="s">
        <v>10895</v>
      </c>
      <c r="AA574" t="s">
        <v>10896</v>
      </c>
      <c r="AB574" t="s">
        <v>10897</v>
      </c>
      <c r="AC574" t="s">
        <v>10898</v>
      </c>
      <c r="AD574" t="s">
        <v>10898</v>
      </c>
      <c r="AE574" t="s">
        <v>10899</v>
      </c>
      <c r="AF574" t="s">
        <v>74</v>
      </c>
      <c r="AG574">
        <v>56</v>
      </c>
      <c r="AH574">
        <v>148</v>
      </c>
      <c r="AI574">
        <v>156</v>
      </c>
      <c r="AJ574">
        <v>22</v>
      </c>
      <c r="AK574">
        <v>126</v>
      </c>
      <c r="AL574" t="s">
        <v>1731</v>
      </c>
      <c r="AM574" t="s">
        <v>1732</v>
      </c>
      <c r="AN574" t="s">
        <v>1733</v>
      </c>
      <c r="AO574" t="s">
        <v>74</v>
      </c>
      <c r="AP574" t="s">
        <v>10595</v>
      </c>
      <c r="AQ574" t="s">
        <v>74</v>
      </c>
      <c r="AR574" t="s">
        <v>10596</v>
      </c>
      <c r="AS574" t="s">
        <v>10597</v>
      </c>
      <c r="AT574" t="s">
        <v>74</v>
      </c>
      <c r="AU574">
        <v>2017</v>
      </c>
      <c r="AV574">
        <v>4</v>
      </c>
      <c r="AW574" t="s">
        <v>74</v>
      </c>
      <c r="AX574" t="s">
        <v>74</v>
      </c>
      <c r="AY574" t="s">
        <v>74</v>
      </c>
      <c r="AZ574" t="s">
        <v>74</v>
      </c>
      <c r="BA574" t="s">
        <v>74</v>
      </c>
      <c r="BB574" t="s">
        <v>74</v>
      </c>
      <c r="BC574" t="s">
        <v>74</v>
      </c>
      <c r="BD574">
        <v>419</v>
      </c>
      <c r="BE574" t="s">
        <v>10900</v>
      </c>
      <c r="BF574" t="str">
        <f>HYPERLINK("http://dx.doi.org/10.3389/fmars.2017.00419","http://dx.doi.org/10.3389/fmars.2017.00419")</f>
        <v>http://dx.doi.org/10.3389/fmars.2017.00419</v>
      </c>
      <c r="BG574" t="s">
        <v>74</v>
      </c>
      <c r="BH574" t="s">
        <v>74</v>
      </c>
      <c r="BI574">
        <v>8</v>
      </c>
      <c r="BJ574" t="s">
        <v>1123</v>
      </c>
      <c r="BK574" t="s">
        <v>101</v>
      </c>
      <c r="BL574" t="s">
        <v>1124</v>
      </c>
      <c r="BM574" t="s">
        <v>10599</v>
      </c>
      <c r="BN574" t="s">
        <v>74</v>
      </c>
      <c r="BO574" t="s">
        <v>10901</v>
      </c>
      <c r="BP574" t="s">
        <v>813</v>
      </c>
      <c r="BQ574" t="s">
        <v>814</v>
      </c>
      <c r="BR574" t="s">
        <v>105</v>
      </c>
      <c r="BS574" t="s">
        <v>10902</v>
      </c>
      <c r="BT574" t="str">
        <f>HYPERLINK("https%3A%2F%2Fwww.webofscience.com%2Fwos%2Fwoscc%2Ffull-record%2FWOS:000457690600414","View Full Record in Web of Science")</f>
        <v>View Full Record in Web of Science</v>
      </c>
    </row>
    <row r="575" spans="1:72" x14ac:dyDescent="0.15">
      <c r="A575" t="s">
        <v>72</v>
      </c>
      <c r="B575" t="s">
        <v>10903</v>
      </c>
      <c r="C575" t="s">
        <v>74</v>
      </c>
      <c r="D575" t="s">
        <v>74</v>
      </c>
      <c r="E575" t="s">
        <v>74</v>
      </c>
      <c r="F575" t="s">
        <v>10904</v>
      </c>
      <c r="G575" t="s">
        <v>74</v>
      </c>
      <c r="H575" t="s">
        <v>74</v>
      </c>
      <c r="I575" t="s">
        <v>10905</v>
      </c>
      <c r="J575" t="s">
        <v>10582</v>
      </c>
      <c r="K575" t="s">
        <v>74</v>
      </c>
      <c r="L575" t="s">
        <v>74</v>
      </c>
      <c r="M575" t="s">
        <v>78</v>
      </c>
      <c r="N575" t="s">
        <v>79</v>
      </c>
      <c r="O575" t="s">
        <v>74</v>
      </c>
      <c r="P575" t="s">
        <v>74</v>
      </c>
      <c r="Q575" t="s">
        <v>74</v>
      </c>
      <c r="R575" t="s">
        <v>74</v>
      </c>
      <c r="S575" t="s">
        <v>74</v>
      </c>
      <c r="T575" t="s">
        <v>10906</v>
      </c>
      <c r="U575" t="s">
        <v>10907</v>
      </c>
      <c r="V575" t="s">
        <v>10908</v>
      </c>
      <c r="W575" t="s">
        <v>10909</v>
      </c>
      <c r="X575" t="s">
        <v>10910</v>
      </c>
      <c r="Y575" t="s">
        <v>10911</v>
      </c>
      <c r="Z575" t="s">
        <v>10912</v>
      </c>
      <c r="AA575" t="s">
        <v>10913</v>
      </c>
      <c r="AB575" t="s">
        <v>10914</v>
      </c>
      <c r="AC575" t="s">
        <v>10915</v>
      </c>
      <c r="AD575" t="s">
        <v>10916</v>
      </c>
      <c r="AE575" t="s">
        <v>10917</v>
      </c>
      <c r="AF575" t="s">
        <v>74</v>
      </c>
      <c r="AG575">
        <v>73</v>
      </c>
      <c r="AH575">
        <v>22</v>
      </c>
      <c r="AI575">
        <v>23</v>
      </c>
      <c r="AJ575">
        <v>2</v>
      </c>
      <c r="AK575">
        <v>12</v>
      </c>
      <c r="AL575" t="s">
        <v>1731</v>
      </c>
      <c r="AM575" t="s">
        <v>1732</v>
      </c>
      <c r="AN575" t="s">
        <v>1733</v>
      </c>
      <c r="AO575" t="s">
        <v>74</v>
      </c>
      <c r="AP575" t="s">
        <v>10595</v>
      </c>
      <c r="AQ575" t="s">
        <v>74</v>
      </c>
      <c r="AR575" t="s">
        <v>10596</v>
      </c>
      <c r="AS575" t="s">
        <v>10597</v>
      </c>
      <c r="AT575" t="s">
        <v>74</v>
      </c>
      <c r="AU575">
        <v>2017</v>
      </c>
      <c r="AV575">
        <v>3</v>
      </c>
      <c r="AW575" t="s">
        <v>74</v>
      </c>
      <c r="AX575" t="s">
        <v>74</v>
      </c>
      <c r="AY575" t="s">
        <v>74</v>
      </c>
      <c r="AZ575" t="s">
        <v>74</v>
      </c>
      <c r="BA575" t="s">
        <v>74</v>
      </c>
      <c r="BB575" t="s">
        <v>74</v>
      </c>
      <c r="BC575" t="s">
        <v>74</v>
      </c>
      <c r="BD575">
        <v>289</v>
      </c>
      <c r="BE575" t="s">
        <v>10918</v>
      </c>
      <c r="BF575" t="str">
        <f>HYPERLINK("http://dx.doi.org/10.3389/fmars.2016.00289","http://dx.doi.org/10.3389/fmars.2016.00289")</f>
        <v>http://dx.doi.org/10.3389/fmars.2016.00289</v>
      </c>
      <c r="BG575" t="s">
        <v>74</v>
      </c>
      <c r="BH575" t="s">
        <v>74</v>
      </c>
      <c r="BI575">
        <v>10</v>
      </c>
      <c r="BJ575" t="s">
        <v>1123</v>
      </c>
      <c r="BK575" t="s">
        <v>101</v>
      </c>
      <c r="BL575" t="s">
        <v>1124</v>
      </c>
      <c r="BM575" t="s">
        <v>10919</v>
      </c>
      <c r="BN575" t="s">
        <v>74</v>
      </c>
      <c r="BO575" t="s">
        <v>3181</v>
      </c>
      <c r="BP575" t="s">
        <v>74</v>
      </c>
      <c r="BQ575" t="s">
        <v>74</v>
      </c>
      <c r="BR575" t="s">
        <v>105</v>
      </c>
      <c r="BS575" t="s">
        <v>10920</v>
      </c>
      <c r="BT575" t="str">
        <f>HYPERLINK("https%3A%2F%2Fwww.webofscience.com%2Fwos%2Fwoscc%2Ffull-record%2FWOS:000457690200015","View Full Record in Web of Science")</f>
        <v>View Full Record in Web of Science</v>
      </c>
    </row>
    <row r="576" spans="1:72" x14ac:dyDescent="0.15">
      <c r="A576" t="s">
        <v>72</v>
      </c>
      <c r="B576" t="s">
        <v>10921</v>
      </c>
      <c r="C576" t="s">
        <v>74</v>
      </c>
      <c r="D576" t="s">
        <v>74</v>
      </c>
      <c r="E576" t="s">
        <v>74</v>
      </c>
      <c r="F576" t="s">
        <v>10922</v>
      </c>
      <c r="G576" t="s">
        <v>74</v>
      </c>
      <c r="H576" t="s">
        <v>74</v>
      </c>
      <c r="I576" t="s">
        <v>10923</v>
      </c>
      <c r="J576" t="s">
        <v>10924</v>
      </c>
      <c r="K576" t="s">
        <v>74</v>
      </c>
      <c r="L576" t="s">
        <v>74</v>
      </c>
      <c r="M576" t="s">
        <v>78</v>
      </c>
      <c r="N576" t="s">
        <v>79</v>
      </c>
      <c r="O576" t="s">
        <v>74</v>
      </c>
      <c r="P576" t="s">
        <v>74</v>
      </c>
      <c r="Q576" t="s">
        <v>74</v>
      </c>
      <c r="R576" t="s">
        <v>74</v>
      </c>
      <c r="S576" t="s">
        <v>74</v>
      </c>
      <c r="T576" t="s">
        <v>10925</v>
      </c>
      <c r="U576" t="s">
        <v>10926</v>
      </c>
      <c r="V576" t="s">
        <v>10927</v>
      </c>
      <c r="W576" t="s">
        <v>10928</v>
      </c>
      <c r="X576" t="s">
        <v>533</v>
      </c>
      <c r="Y576" t="s">
        <v>10929</v>
      </c>
      <c r="Z576" t="s">
        <v>10930</v>
      </c>
      <c r="AA576" t="s">
        <v>10931</v>
      </c>
      <c r="AB576" t="s">
        <v>10932</v>
      </c>
      <c r="AC576" t="s">
        <v>10933</v>
      </c>
      <c r="AD576" t="s">
        <v>10934</v>
      </c>
      <c r="AE576" t="s">
        <v>10935</v>
      </c>
      <c r="AF576" t="s">
        <v>74</v>
      </c>
      <c r="AG576">
        <v>54</v>
      </c>
      <c r="AH576">
        <v>8</v>
      </c>
      <c r="AI576">
        <v>9</v>
      </c>
      <c r="AJ576">
        <v>1</v>
      </c>
      <c r="AK576">
        <v>10</v>
      </c>
      <c r="AL576" t="s">
        <v>1731</v>
      </c>
      <c r="AM576" t="s">
        <v>1732</v>
      </c>
      <c r="AN576" t="s">
        <v>1733</v>
      </c>
      <c r="AO576" t="s">
        <v>74</v>
      </c>
      <c r="AP576" t="s">
        <v>10936</v>
      </c>
      <c r="AQ576" t="s">
        <v>74</v>
      </c>
      <c r="AR576" t="s">
        <v>10937</v>
      </c>
      <c r="AS576" t="s">
        <v>10938</v>
      </c>
      <c r="AT576" t="s">
        <v>74</v>
      </c>
      <c r="AU576">
        <v>2017</v>
      </c>
      <c r="AV576">
        <v>4</v>
      </c>
      <c r="AW576" t="s">
        <v>74</v>
      </c>
      <c r="AX576" t="s">
        <v>74</v>
      </c>
      <c r="AY576" t="s">
        <v>74</v>
      </c>
      <c r="AZ576" t="s">
        <v>74</v>
      </c>
      <c r="BA576" t="s">
        <v>74</v>
      </c>
      <c r="BB576" t="s">
        <v>74</v>
      </c>
      <c r="BC576" t="s">
        <v>74</v>
      </c>
      <c r="BD576">
        <v>86</v>
      </c>
      <c r="BE576" t="s">
        <v>10939</v>
      </c>
      <c r="BF576" t="str">
        <f>HYPERLINK("http://dx.doi.org/10.3389/fmolb.2017.00086","http://dx.doi.org/10.3389/fmolb.2017.00086")</f>
        <v>http://dx.doi.org/10.3389/fmolb.2017.00086</v>
      </c>
      <c r="BG576" t="s">
        <v>74</v>
      </c>
      <c r="BH576" t="s">
        <v>74</v>
      </c>
      <c r="BI576">
        <v>10</v>
      </c>
      <c r="BJ576" t="s">
        <v>1107</v>
      </c>
      <c r="BK576" t="s">
        <v>101</v>
      </c>
      <c r="BL576" t="s">
        <v>1107</v>
      </c>
      <c r="BM576" t="s">
        <v>10940</v>
      </c>
      <c r="BN576">
        <v>29312954</v>
      </c>
      <c r="BO576" t="s">
        <v>591</v>
      </c>
      <c r="BP576" t="s">
        <v>74</v>
      </c>
      <c r="BQ576" t="s">
        <v>74</v>
      </c>
      <c r="BR576" t="s">
        <v>105</v>
      </c>
      <c r="BS576" t="s">
        <v>10941</v>
      </c>
      <c r="BT576" t="str">
        <f>HYPERLINK("https%3A%2F%2Fwww.webofscience.com%2Fwos%2Fwoscc%2Ffull-record%2FWOS:000455311400051","View Full Record in Web of Science")</f>
        <v>View Full Record in Web of Science</v>
      </c>
    </row>
    <row r="577" spans="1:72" x14ac:dyDescent="0.15">
      <c r="A577" t="s">
        <v>72</v>
      </c>
      <c r="B577" t="s">
        <v>10942</v>
      </c>
      <c r="C577" t="s">
        <v>74</v>
      </c>
      <c r="D577" t="s">
        <v>74</v>
      </c>
      <c r="E577" t="s">
        <v>74</v>
      </c>
      <c r="F577" t="s">
        <v>10943</v>
      </c>
      <c r="G577" t="s">
        <v>74</v>
      </c>
      <c r="H577" t="s">
        <v>74</v>
      </c>
      <c r="I577" t="s">
        <v>10944</v>
      </c>
      <c r="J577" t="s">
        <v>10945</v>
      </c>
      <c r="K577" t="s">
        <v>74</v>
      </c>
      <c r="L577" t="s">
        <v>74</v>
      </c>
      <c r="M577" t="s">
        <v>78</v>
      </c>
      <c r="N577" t="s">
        <v>79</v>
      </c>
      <c r="O577" t="s">
        <v>74</v>
      </c>
      <c r="P577" t="s">
        <v>74</v>
      </c>
      <c r="Q577" t="s">
        <v>74</v>
      </c>
      <c r="R577" t="s">
        <v>74</v>
      </c>
      <c r="S577" t="s">
        <v>74</v>
      </c>
      <c r="T577" t="s">
        <v>10946</v>
      </c>
      <c r="U577" t="s">
        <v>10947</v>
      </c>
      <c r="V577" t="s">
        <v>10948</v>
      </c>
      <c r="W577" t="s">
        <v>10949</v>
      </c>
      <c r="X577" t="s">
        <v>10950</v>
      </c>
      <c r="Y577" t="s">
        <v>10951</v>
      </c>
      <c r="Z577" t="s">
        <v>10952</v>
      </c>
      <c r="AA577" t="s">
        <v>10953</v>
      </c>
      <c r="AB577" t="s">
        <v>10954</v>
      </c>
      <c r="AC577" t="s">
        <v>10955</v>
      </c>
      <c r="AD577" t="s">
        <v>10956</v>
      </c>
      <c r="AE577" t="s">
        <v>10957</v>
      </c>
      <c r="AF577" t="s">
        <v>74</v>
      </c>
      <c r="AG577">
        <v>13</v>
      </c>
      <c r="AH577">
        <v>4</v>
      </c>
      <c r="AI577">
        <v>4</v>
      </c>
      <c r="AJ577">
        <v>0</v>
      </c>
      <c r="AK577">
        <v>11</v>
      </c>
      <c r="AL577" t="s">
        <v>10958</v>
      </c>
      <c r="AM577" t="s">
        <v>3261</v>
      </c>
      <c r="AN577" t="s">
        <v>10959</v>
      </c>
      <c r="AO577" t="s">
        <v>10960</v>
      </c>
      <c r="AP577" t="s">
        <v>10961</v>
      </c>
      <c r="AQ577" t="s">
        <v>74</v>
      </c>
      <c r="AR577" t="s">
        <v>10962</v>
      </c>
      <c r="AS577" t="s">
        <v>10963</v>
      </c>
      <c r="AT577" t="s">
        <v>74</v>
      </c>
      <c r="AU577">
        <v>2017</v>
      </c>
      <c r="AV577">
        <v>51</v>
      </c>
      <c r="AW577">
        <v>3</v>
      </c>
      <c r="AX577" t="s">
        <v>74</v>
      </c>
      <c r="AY577" t="s">
        <v>74</v>
      </c>
      <c r="AZ577" t="s">
        <v>74</v>
      </c>
      <c r="BA577" t="s">
        <v>74</v>
      </c>
      <c r="BB577" t="s">
        <v>74</v>
      </c>
      <c r="BC577" t="s">
        <v>74</v>
      </c>
      <c r="BD577" t="s">
        <v>74</v>
      </c>
      <c r="BE577" t="s">
        <v>10964</v>
      </c>
      <c r="BF577" t="str">
        <f>HYPERLINK("http://dx.doi.org/10.2343/geochemj.2.0458","http://dx.doi.org/10.2343/geochemj.2.0458")</f>
        <v>http://dx.doi.org/10.2343/geochemj.2.0458</v>
      </c>
      <c r="BG577" t="s">
        <v>74</v>
      </c>
      <c r="BH577" t="s">
        <v>74</v>
      </c>
      <c r="BI577">
        <v>6</v>
      </c>
      <c r="BJ577" t="s">
        <v>299</v>
      </c>
      <c r="BK577" t="s">
        <v>101</v>
      </c>
      <c r="BL577" t="s">
        <v>299</v>
      </c>
      <c r="BM577" t="s">
        <v>10965</v>
      </c>
      <c r="BN577" t="s">
        <v>74</v>
      </c>
      <c r="BO577" t="s">
        <v>941</v>
      </c>
      <c r="BP577" t="s">
        <v>74</v>
      </c>
      <c r="BQ577" t="s">
        <v>74</v>
      </c>
      <c r="BR577" t="s">
        <v>105</v>
      </c>
      <c r="BS577" t="s">
        <v>10966</v>
      </c>
      <c r="BT577" t="str">
        <f>HYPERLINK("https%3A%2F%2Fwww.webofscience.com%2Fwos%2Fwoscc%2Ffull-record%2FWOS:000404682500008","View Full Record in Web of Science")</f>
        <v>View Full Record in Web of Science</v>
      </c>
    </row>
    <row r="578" spans="1:72" x14ac:dyDescent="0.15">
      <c r="A578" t="s">
        <v>72</v>
      </c>
      <c r="B578" t="s">
        <v>10967</v>
      </c>
      <c r="C578" t="s">
        <v>74</v>
      </c>
      <c r="D578" t="s">
        <v>74</v>
      </c>
      <c r="E578" t="s">
        <v>74</v>
      </c>
      <c r="F578" t="s">
        <v>10968</v>
      </c>
      <c r="G578" t="s">
        <v>74</v>
      </c>
      <c r="H578" t="s">
        <v>74</v>
      </c>
      <c r="I578" t="s">
        <v>10969</v>
      </c>
      <c r="J578" t="s">
        <v>10970</v>
      </c>
      <c r="K578" t="s">
        <v>74</v>
      </c>
      <c r="L578" t="s">
        <v>74</v>
      </c>
      <c r="M578" t="s">
        <v>78</v>
      </c>
      <c r="N578" t="s">
        <v>79</v>
      </c>
      <c r="O578" t="s">
        <v>74</v>
      </c>
      <c r="P578" t="s">
        <v>74</v>
      </c>
      <c r="Q578" t="s">
        <v>74</v>
      </c>
      <c r="R578" t="s">
        <v>74</v>
      </c>
      <c r="S578" t="s">
        <v>74</v>
      </c>
      <c r="T578" t="s">
        <v>74</v>
      </c>
      <c r="U578" t="s">
        <v>10971</v>
      </c>
      <c r="V578" t="s">
        <v>10972</v>
      </c>
      <c r="W578" t="s">
        <v>10973</v>
      </c>
      <c r="X578" t="s">
        <v>10974</v>
      </c>
      <c r="Y578" t="s">
        <v>10975</v>
      </c>
      <c r="Z578" t="s">
        <v>10976</v>
      </c>
      <c r="AA578" t="s">
        <v>74</v>
      </c>
      <c r="AB578" t="s">
        <v>10977</v>
      </c>
      <c r="AC578" t="s">
        <v>10978</v>
      </c>
      <c r="AD578" t="s">
        <v>10979</v>
      </c>
      <c r="AE578" t="s">
        <v>10980</v>
      </c>
      <c r="AF578" t="s">
        <v>74</v>
      </c>
      <c r="AG578">
        <v>37</v>
      </c>
      <c r="AH578">
        <v>8</v>
      </c>
      <c r="AI578">
        <v>8</v>
      </c>
      <c r="AJ578">
        <v>0</v>
      </c>
      <c r="AK578">
        <v>3</v>
      </c>
      <c r="AL578" t="s">
        <v>10981</v>
      </c>
      <c r="AM578" t="s">
        <v>10982</v>
      </c>
      <c r="AN578" t="s">
        <v>10983</v>
      </c>
      <c r="AO578" t="s">
        <v>10984</v>
      </c>
      <c r="AP578" t="s">
        <v>10985</v>
      </c>
      <c r="AQ578" t="s">
        <v>74</v>
      </c>
      <c r="AR578" t="s">
        <v>10986</v>
      </c>
      <c r="AS578" t="s">
        <v>10987</v>
      </c>
      <c r="AT578" t="s">
        <v>74</v>
      </c>
      <c r="AU578">
        <v>2017</v>
      </c>
      <c r="AV578">
        <v>4</v>
      </c>
      <c r="AW578" t="s">
        <v>74</v>
      </c>
      <c r="AX578" t="s">
        <v>74</v>
      </c>
      <c r="AY578" t="s">
        <v>74</v>
      </c>
      <c r="AZ578" t="s">
        <v>74</v>
      </c>
      <c r="BA578" t="s">
        <v>74</v>
      </c>
      <c r="BB578">
        <v>29</v>
      </c>
      <c r="BC578">
        <v>34</v>
      </c>
      <c r="BD578" t="s">
        <v>74</v>
      </c>
      <c r="BE578" t="s">
        <v>10988</v>
      </c>
      <c r="BF578" t="str">
        <f>HYPERLINK("http://dx.doi.org/10.7185/geochemlet.1732","http://dx.doi.org/10.7185/geochemlet.1732")</f>
        <v>http://dx.doi.org/10.7185/geochemlet.1732</v>
      </c>
      <c r="BG578" t="s">
        <v>74</v>
      </c>
      <c r="BH578" t="s">
        <v>74</v>
      </c>
      <c r="BI578">
        <v>6</v>
      </c>
      <c r="BJ578" t="s">
        <v>299</v>
      </c>
      <c r="BK578" t="s">
        <v>101</v>
      </c>
      <c r="BL578" t="s">
        <v>299</v>
      </c>
      <c r="BM578" t="s">
        <v>10989</v>
      </c>
      <c r="BN578" t="s">
        <v>74</v>
      </c>
      <c r="BO578" t="s">
        <v>892</v>
      </c>
      <c r="BP578" t="s">
        <v>74</v>
      </c>
      <c r="BQ578" t="s">
        <v>74</v>
      </c>
      <c r="BR578" t="s">
        <v>105</v>
      </c>
      <c r="BS578" t="s">
        <v>10990</v>
      </c>
      <c r="BT578" t="str">
        <f>HYPERLINK("https%3A%2F%2Fwww.webofscience.com%2Fwos%2Fwoscc%2Ffull-record%2FWOS:000413201000006","View Full Record in Web of Science")</f>
        <v>View Full Record in Web of Science</v>
      </c>
    </row>
    <row r="579" spans="1:72" x14ac:dyDescent="0.15">
      <c r="A579" t="s">
        <v>72</v>
      </c>
      <c r="B579" t="s">
        <v>10991</v>
      </c>
      <c r="C579" t="s">
        <v>74</v>
      </c>
      <c r="D579" t="s">
        <v>74</v>
      </c>
      <c r="E579" t="s">
        <v>74</v>
      </c>
      <c r="F579" t="s">
        <v>10992</v>
      </c>
      <c r="G579" t="s">
        <v>74</v>
      </c>
      <c r="H579" t="s">
        <v>74</v>
      </c>
      <c r="I579" t="s">
        <v>10993</v>
      </c>
      <c r="J579" t="s">
        <v>6156</v>
      </c>
      <c r="K579" t="s">
        <v>74</v>
      </c>
      <c r="L579" t="s">
        <v>74</v>
      </c>
      <c r="M579" t="s">
        <v>78</v>
      </c>
      <c r="N579" t="s">
        <v>79</v>
      </c>
      <c r="O579" t="s">
        <v>74</v>
      </c>
      <c r="P579" t="s">
        <v>74</v>
      </c>
      <c r="Q579" t="s">
        <v>74</v>
      </c>
      <c r="R579" t="s">
        <v>74</v>
      </c>
      <c r="S579" t="s">
        <v>74</v>
      </c>
      <c r="T579" t="s">
        <v>10994</v>
      </c>
      <c r="U579" t="s">
        <v>10995</v>
      </c>
      <c r="V579" t="s">
        <v>10996</v>
      </c>
      <c r="W579" t="s">
        <v>10997</v>
      </c>
      <c r="X579" t="s">
        <v>10998</v>
      </c>
      <c r="Y579" t="s">
        <v>10999</v>
      </c>
      <c r="Z579" t="s">
        <v>11000</v>
      </c>
      <c r="AA579" t="s">
        <v>11001</v>
      </c>
      <c r="AB579" t="s">
        <v>11002</v>
      </c>
      <c r="AC579" t="s">
        <v>11003</v>
      </c>
      <c r="AD579" t="s">
        <v>11004</v>
      </c>
      <c r="AE579" t="s">
        <v>11005</v>
      </c>
      <c r="AF579" t="s">
        <v>74</v>
      </c>
      <c r="AG579">
        <v>92</v>
      </c>
      <c r="AH579">
        <v>12</v>
      </c>
      <c r="AI579">
        <v>12</v>
      </c>
      <c r="AJ579">
        <v>0</v>
      </c>
      <c r="AK579">
        <v>5</v>
      </c>
      <c r="AL579" t="s">
        <v>2103</v>
      </c>
      <c r="AM579" t="s">
        <v>2104</v>
      </c>
      <c r="AN579" t="s">
        <v>2105</v>
      </c>
      <c r="AO579" t="s">
        <v>6168</v>
      </c>
      <c r="AP579" t="s">
        <v>6169</v>
      </c>
      <c r="AQ579" t="s">
        <v>74</v>
      </c>
      <c r="AR579" t="s">
        <v>6170</v>
      </c>
      <c r="AS579" t="s">
        <v>6171</v>
      </c>
      <c r="AT579" t="s">
        <v>74</v>
      </c>
      <c r="AU579">
        <v>2017</v>
      </c>
      <c r="AV579">
        <v>34</v>
      </c>
      <c r="AW579">
        <v>10</v>
      </c>
      <c r="AX579" t="s">
        <v>74</v>
      </c>
      <c r="AY579" t="s">
        <v>74</v>
      </c>
      <c r="AZ579" t="s">
        <v>74</v>
      </c>
      <c r="BA579" t="s">
        <v>74</v>
      </c>
      <c r="BB579">
        <v>823</v>
      </c>
      <c r="BC579">
        <v>833</v>
      </c>
      <c r="BD579" t="s">
        <v>74</v>
      </c>
      <c r="BE579" t="s">
        <v>11006</v>
      </c>
      <c r="BF579" t="str">
        <f>HYPERLINK("http://dx.doi.org/10.1080/01490451.2017.1280860","http://dx.doi.org/10.1080/01490451.2017.1280860")</f>
        <v>http://dx.doi.org/10.1080/01490451.2017.1280860</v>
      </c>
      <c r="BG579" t="s">
        <v>74</v>
      </c>
      <c r="BH579" t="s">
        <v>74</v>
      </c>
      <c r="BI579">
        <v>11</v>
      </c>
      <c r="BJ579" t="s">
        <v>6173</v>
      </c>
      <c r="BK579" t="s">
        <v>101</v>
      </c>
      <c r="BL579" t="s">
        <v>1334</v>
      </c>
      <c r="BM579" t="s">
        <v>11007</v>
      </c>
      <c r="BN579" t="s">
        <v>74</v>
      </c>
      <c r="BO579" t="s">
        <v>74</v>
      </c>
      <c r="BP579" t="s">
        <v>74</v>
      </c>
      <c r="BQ579" t="s">
        <v>74</v>
      </c>
      <c r="BR579" t="s">
        <v>105</v>
      </c>
      <c r="BS579" t="s">
        <v>11008</v>
      </c>
      <c r="BT579" t="str">
        <f>HYPERLINK("https%3A%2F%2Fwww.webofscience.com%2Fwos%2Fwoscc%2Ffull-record%2FWOS:000423031300001","View Full Record in Web of Science")</f>
        <v>View Full Record in Web of Science</v>
      </c>
    </row>
    <row r="580" spans="1:72" x14ac:dyDescent="0.15">
      <c r="A580" t="s">
        <v>72</v>
      </c>
      <c r="B580" t="s">
        <v>11009</v>
      </c>
      <c r="C580" t="s">
        <v>74</v>
      </c>
      <c r="D580" t="s">
        <v>74</v>
      </c>
      <c r="E580" t="s">
        <v>74</v>
      </c>
      <c r="F580" t="s">
        <v>11010</v>
      </c>
      <c r="G580" t="s">
        <v>74</v>
      </c>
      <c r="H580" t="s">
        <v>74</v>
      </c>
      <c r="I580" t="s">
        <v>11011</v>
      </c>
      <c r="J580" t="s">
        <v>649</v>
      </c>
      <c r="K580" t="s">
        <v>74</v>
      </c>
      <c r="L580" t="s">
        <v>74</v>
      </c>
      <c r="M580" t="s">
        <v>78</v>
      </c>
      <c r="N580" t="s">
        <v>79</v>
      </c>
      <c r="O580" t="s">
        <v>74</v>
      </c>
      <c r="P580" t="s">
        <v>74</v>
      </c>
      <c r="Q580" t="s">
        <v>74</v>
      </c>
      <c r="R580" t="s">
        <v>74</v>
      </c>
      <c r="S580" t="s">
        <v>74</v>
      </c>
      <c r="T580" t="s">
        <v>11012</v>
      </c>
      <c r="U580" t="s">
        <v>11013</v>
      </c>
      <c r="V580" t="s">
        <v>11014</v>
      </c>
      <c r="W580" t="s">
        <v>11015</v>
      </c>
      <c r="X580" t="s">
        <v>11016</v>
      </c>
      <c r="Y580" t="s">
        <v>6970</v>
      </c>
      <c r="Z580" t="s">
        <v>6971</v>
      </c>
      <c r="AA580" t="s">
        <v>11017</v>
      </c>
      <c r="AB580" t="s">
        <v>11018</v>
      </c>
      <c r="AC580" t="s">
        <v>11019</v>
      </c>
      <c r="AD580" t="s">
        <v>11020</v>
      </c>
      <c r="AE580" t="s">
        <v>11021</v>
      </c>
      <c r="AF580" t="s">
        <v>74</v>
      </c>
      <c r="AG580">
        <v>46</v>
      </c>
      <c r="AH580">
        <v>63</v>
      </c>
      <c r="AI580">
        <v>68</v>
      </c>
      <c r="AJ580">
        <v>2</v>
      </c>
      <c r="AK580">
        <v>21</v>
      </c>
      <c r="AL580" t="s">
        <v>661</v>
      </c>
      <c r="AM580" t="s">
        <v>142</v>
      </c>
      <c r="AN580" t="s">
        <v>662</v>
      </c>
      <c r="AO580" t="s">
        <v>663</v>
      </c>
      <c r="AP580" t="s">
        <v>664</v>
      </c>
      <c r="AQ580" t="s">
        <v>74</v>
      </c>
      <c r="AR580" t="s">
        <v>665</v>
      </c>
      <c r="AS580" t="s">
        <v>666</v>
      </c>
      <c r="AT580" t="s">
        <v>2136</v>
      </c>
      <c r="AU580">
        <v>2017</v>
      </c>
      <c r="AV580">
        <v>44</v>
      </c>
      <c r="AW580">
        <v>1</v>
      </c>
      <c r="AX580" t="s">
        <v>74</v>
      </c>
      <c r="AY580" t="s">
        <v>74</v>
      </c>
      <c r="AZ580" t="s">
        <v>74</v>
      </c>
      <c r="BA580" t="s">
        <v>74</v>
      </c>
      <c r="BB580">
        <v>286</v>
      </c>
      <c r="BC580">
        <v>292</v>
      </c>
      <c r="BD580" t="s">
        <v>74</v>
      </c>
      <c r="BE580" t="s">
        <v>11022</v>
      </c>
      <c r="BF580" t="str">
        <f>HYPERLINK("http://dx.doi.org/10.1002/2016GL071702","http://dx.doi.org/10.1002/2016GL071702")</f>
        <v>http://dx.doi.org/10.1002/2016GL071702</v>
      </c>
      <c r="BG580" t="s">
        <v>74</v>
      </c>
      <c r="BH580" t="s">
        <v>74</v>
      </c>
      <c r="BI580">
        <v>7</v>
      </c>
      <c r="BJ580" t="s">
        <v>669</v>
      </c>
      <c r="BK580" t="s">
        <v>101</v>
      </c>
      <c r="BL580" t="s">
        <v>670</v>
      </c>
      <c r="BM580" t="s">
        <v>8704</v>
      </c>
      <c r="BN580" t="s">
        <v>74</v>
      </c>
      <c r="BO580" t="s">
        <v>11023</v>
      </c>
      <c r="BP580" t="s">
        <v>74</v>
      </c>
      <c r="BQ580" t="s">
        <v>74</v>
      </c>
      <c r="BR580" t="s">
        <v>105</v>
      </c>
      <c r="BS580" t="s">
        <v>11024</v>
      </c>
      <c r="BT580" t="str">
        <f>HYPERLINK("https%3A%2F%2Fwww.webofscience.com%2Fwos%2Fwoscc%2Ffull-record%2FWOS:000393954900034","View Full Record in Web of Science")</f>
        <v>View Full Record in Web of Science</v>
      </c>
    </row>
    <row r="581" spans="1:72" x14ac:dyDescent="0.15">
      <c r="A581" t="s">
        <v>72</v>
      </c>
      <c r="B581" t="s">
        <v>11025</v>
      </c>
      <c r="C581" t="s">
        <v>74</v>
      </c>
      <c r="D581" t="s">
        <v>74</v>
      </c>
      <c r="E581" t="s">
        <v>74</v>
      </c>
      <c r="F581" t="s">
        <v>11026</v>
      </c>
      <c r="G581" t="s">
        <v>74</v>
      </c>
      <c r="H581" t="s">
        <v>74</v>
      </c>
      <c r="I581" t="s">
        <v>11027</v>
      </c>
      <c r="J581" t="s">
        <v>11028</v>
      </c>
      <c r="K581" t="s">
        <v>74</v>
      </c>
      <c r="L581" t="s">
        <v>74</v>
      </c>
      <c r="M581" t="s">
        <v>78</v>
      </c>
      <c r="N581" t="s">
        <v>79</v>
      </c>
      <c r="O581" t="s">
        <v>74</v>
      </c>
      <c r="P581" t="s">
        <v>74</v>
      </c>
      <c r="Q581" t="s">
        <v>74</v>
      </c>
      <c r="R581" t="s">
        <v>74</v>
      </c>
      <c r="S581" t="s">
        <v>74</v>
      </c>
      <c r="T581" t="s">
        <v>11029</v>
      </c>
      <c r="U581" t="s">
        <v>11030</v>
      </c>
      <c r="V581" t="s">
        <v>11031</v>
      </c>
      <c r="W581" t="s">
        <v>11032</v>
      </c>
      <c r="X581" t="s">
        <v>11033</v>
      </c>
      <c r="Y581" t="s">
        <v>11034</v>
      </c>
      <c r="Z581" t="s">
        <v>11035</v>
      </c>
      <c r="AA581" t="s">
        <v>11036</v>
      </c>
      <c r="AB581" t="s">
        <v>11037</v>
      </c>
      <c r="AC581" t="s">
        <v>11038</v>
      </c>
      <c r="AD581" t="s">
        <v>11039</v>
      </c>
      <c r="AE581" t="s">
        <v>11040</v>
      </c>
      <c r="AF581" t="s">
        <v>74</v>
      </c>
      <c r="AG581">
        <v>73</v>
      </c>
      <c r="AH581">
        <v>52</v>
      </c>
      <c r="AI581">
        <v>55</v>
      </c>
      <c r="AJ581">
        <v>1</v>
      </c>
      <c r="AK581">
        <v>83</v>
      </c>
      <c r="AL581" t="s">
        <v>2377</v>
      </c>
      <c r="AM581" t="s">
        <v>2378</v>
      </c>
      <c r="AN581" t="s">
        <v>2379</v>
      </c>
      <c r="AO581" t="s">
        <v>11041</v>
      </c>
      <c r="AP581" t="s">
        <v>11042</v>
      </c>
      <c r="AQ581" t="s">
        <v>74</v>
      </c>
      <c r="AR581" t="s">
        <v>11043</v>
      </c>
      <c r="AS581" t="s">
        <v>11044</v>
      </c>
      <c r="AT581" t="s">
        <v>2136</v>
      </c>
      <c r="AU581">
        <v>2017</v>
      </c>
      <c r="AV581">
        <v>23</v>
      </c>
      <c r="AW581">
        <v>1</v>
      </c>
      <c r="AX581" t="s">
        <v>74</v>
      </c>
      <c r="AY581" t="s">
        <v>74</v>
      </c>
      <c r="AZ581" t="s">
        <v>74</v>
      </c>
      <c r="BA581" t="s">
        <v>74</v>
      </c>
      <c r="BB581">
        <v>318</v>
      </c>
      <c r="BC581">
        <v>330</v>
      </c>
      <c r="BD581" t="s">
        <v>74</v>
      </c>
      <c r="BE581" t="s">
        <v>11045</v>
      </c>
      <c r="BF581" t="str">
        <f>HYPERLINK("http://dx.doi.org/10.1111/gcb.13357","http://dx.doi.org/10.1111/gcb.13357")</f>
        <v>http://dx.doi.org/10.1111/gcb.13357</v>
      </c>
      <c r="BG581" t="s">
        <v>74</v>
      </c>
      <c r="BH581" t="s">
        <v>74</v>
      </c>
      <c r="BI581">
        <v>13</v>
      </c>
      <c r="BJ581" t="s">
        <v>10067</v>
      </c>
      <c r="BK581" t="s">
        <v>101</v>
      </c>
      <c r="BL581" t="s">
        <v>2257</v>
      </c>
      <c r="BM581" t="s">
        <v>11046</v>
      </c>
      <c r="BN581">
        <v>27312151</v>
      </c>
      <c r="BO581" t="s">
        <v>812</v>
      </c>
      <c r="BP581" t="s">
        <v>74</v>
      </c>
      <c r="BQ581" t="s">
        <v>74</v>
      </c>
      <c r="BR581" t="s">
        <v>105</v>
      </c>
      <c r="BS581" t="s">
        <v>11047</v>
      </c>
      <c r="BT581" t="str">
        <f>HYPERLINK("https%3A%2F%2Fwww.webofscience.com%2Fwos%2Fwoscc%2Ffull-record%2FWOS:000390218300027","View Full Record in Web of Science")</f>
        <v>View Full Record in Web of Science</v>
      </c>
    </row>
    <row r="582" spans="1:72" x14ac:dyDescent="0.15">
      <c r="A582" t="s">
        <v>72</v>
      </c>
      <c r="B582" t="s">
        <v>11048</v>
      </c>
      <c r="C582" t="s">
        <v>74</v>
      </c>
      <c r="D582" t="s">
        <v>74</v>
      </c>
      <c r="E582" t="s">
        <v>74</v>
      </c>
      <c r="F582" t="s">
        <v>11049</v>
      </c>
      <c r="G582" t="s">
        <v>74</v>
      </c>
      <c r="H582" t="s">
        <v>74</v>
      </c>
      <c r="I582" t="s">
        <v>11050</v>
      </c>
      <c r="J582" t="s">
        <v>4781</v>
      </c>
      <c r="K582" t="s">
        <v>74</v>
      </c>
      <c r="L582" t="s">
        <v>74</v>
      </c>
      <c r="M582" t="s">
        <v>78</v>
      </c>
      <c r="N582" t="s">
        <v>185</v>
      </c>
      <c r="O582" t="s">
        <v>74</v>
      </c>
      <c r="P582" t="s">
        <v>74</v>
      </c>
      <c r="Q582" t="s">
        <v>74</v>
      </c>
      <c r="R582" t="s">
        <v>74</v>
      </c>
      <c r="S582" t="s">
        <v>74</v>
      </c>
      <c r="T582" t="s">
        <v>74</v>
      </c>
      <c r="U582" t="s">
        <v>74</v>
      </c>
      <c r="V582" t="s">
        <v>74</v>
      </c>
      <c r="W582" t="s">
        <v>11051</v>
      </c>
      <c r="X582" t="s">
        <v>11052</v>
      </c>
      <c r="Y582" t="s">
        <v>11053</v>
      </c>
      <c r="Z582" t="s">
        <v>11054</v>
      </c>
      <c r="AA582" t="s">
        <v>11055</v>
      </c>
      <c r="AB582" t="s">
        <v>11056</v>
      </c>
      <c r="AC582" t="s">
        <v>74</v>
      </c>
      <c r="AD582" t="s">
        <v>74</v>
      </c>
      <c r="AE582" t="s">
        <v>74</v>
      </c>
      <c r="AF582" t="s">
        <v>74</v>
      </c>
      <c r="AG582">
        <v>15</v>
      </c>
      <c r="AH582">
        <v>7</v>
      </c>
      <c r="AI582">
        <v>7</v>
      </c>
      <c r="AJ582">
        <v>0</v>
      </c>
      <c r="AK582">
        <v>4</v>
      </c>
      <c r="AL582" t="s">
        <v>1909</v>
      </c>
      <c r="AM582" t="s">
        <v>1910</v>
      </c>
      <c r="AN582" t="s">
        <v>1911</v>
      </c>
      <c r="AO582" t="s">
        <v>4790</v>
      </c>
      <c r="AP582" t="s">
        <v>4791</v>
      </c>
      <c r="AQ582" t="s">
        <v>74</v>
      </c>
      <c r="AR582" t="s">
        <v>4792</v>
      </c>
      <c r="AS582" t="s">
        <v>4793</v>
      </c>
      <c r="AT582" t="s">
        <v>74</v>
      </c>
      <c r="AU582">
        <v>2017</v>
      </c>
      <c r="AV582">
        <v>26</v>
      </c>
      <c r="AW582">
        <v>2</v>
      </c>
      <c r="AX582" t="s">
        <v>74</v>
      </c>
      <c r="AY582" t="s">
        <v>74</v>
      </c>
      <c r="AZ582" t="s">
        <v>270</v>
      </c>
      <c r="BA582" t="s">
        <v>74</v>
      </c>
      <c r="BB582">
        <v>147</v>
      </c>
      <c r="BC582">
        <v>153</v>
      </c>
      <c r="BD582" t="s">
        <v>74</v>
      </c>
      <c r="BE582" t="s">
        <v>11057</v>
      </c>
      <c r="BF582" t="str">
        <f>HYPERLINK("http://dx.doi.org/10.1080/10383441.2017.1366289","http://dx.doi.org/10.1080/10383441.2017.1366289")</f>
        <v>http://dx.doi.org/10.1080/10383441.2017.1366289</v>
      </c>
      <c r="BG582" t="s">
        <v>74</v>
      </c>
      <c r="BH582" t="s">
        <v>74</v>
      </c>
      <c r="BI582">
        <v>7</v>
      </c>
      <c r="BJ582" t="s">
        <v>4429</v>
      </c>
      <c r="BK582" t="s">
        <v>2057</v>
      </c>
      <c r="BL582" t="s">
        <v>4430</v>
      </c>
      <c r="BM582" t="s">
        <v>4795</v>
      </c>
      <c r="BN582" t="s">
        <v>74</v>
      </c>
      <c r="BO582" t="s">
        <v>1803</v>
      </c>
      <c r="BP582" t="s">
        <v>74</v>
      </c>
      <c r="BQ582" t="s">
        <v>74</v>
      </c>
      <c r="BR582" t="s">
        <v>105</v>
      </c>
      <c r="BS582" t="s">
        <v>11058</v>
      </c>
      <c r="BT582" t="str">
        <f>HYPERLINK("https%3A%2F%2Fwww.webofscience.com%2Fwos%2Fwoscc%2Ffull-record%2FWOS:000423951300001","View Full Record in Web of Science")</f>
        <v>View Full Record in Web of Science</v>
      </c>
    </row>
    <row r="583" spans="1:72" x14ac:dyDescent="0.15">
      <c r="A583" t="s">
        <v>72</v>
      </c>
      <c r="B583" t="s">
        <v>11059</v>
      </c>
      <c r="C583" t="s">
        <v>74</v>
      </c>
      <c r="D583" t="s">
        <v>74</v>
      </c>
      <c r="E583" t="s">
        <v>74</v>
      </c>
      <c r="F583" t="s">
        <v>11060</v>
      </c>
      <c r="G583" t="s">
        <v>74</v>
      </c>
      <c r="H583" t="s">
        <v>74</v>
      </c>
      <c r="I583" t="s">
        <v>11061</v>
      </c>
      <c r="J583" t="s">
        <v>11062</v>
      </c>
      <c r="K583" t="s">
        <v>74</v>
      </c>
      <c r="L583" t="s">
        <v>74</v>
      </c>
      <c r="M583" t="s">
        <v>78</v>
      </c>
      <c r="N583" t="s">
        <v>2034</v>
      </c>
      <c r="O583" t="s">
        <v>74</v>
      </c>
      <c r="P583" t="s">
        <v>74</v>
      </c>
      <c r="Q583" t="s">
        <v>74</v>
      </c>
      <c r="R583" t="s">
        <v>74</v>
      </c>
      <c r="S583" t="s">
        <v>74</v>
      </c>
      <c r="T583" t="s">
        <v>11063</v>
      </c>
      <c r="U583" t="s">
        <v>11064</v>
      </c>
      <c r="V583" t="s">
        <v>11065</v>
      </c>
      <c r="W583" t="s">
        <v>11066</v>
      </c>
      <c r="X583" t="s">
        <v>11067</v>
      </c>
      <c r="Y583" t="s">
        <v>11068</v>
      </c>
      <c r="Z583" t="s">
        <v>11069</v>
      </c>
      <c r="AA583" t="s">
        <v>11070</v>
      </c>
      <c r="AB583" t="s">
        <v>11071</v>
      </c>
      <c r="AC583" t="s">
        <v>74</v>
      </c>
      <c r="AD583" t="s">
        <v>74</v>
      </c>
      <c r="AE583" t="s">
        <v>74</v>
      </c>
      <c r="AF583" t="s">
        <v>74</v>
      </c>
      <c r="AG583">
        <v>258</v>
      </c>
      <c r="AH583">
        <v>56</v>
      </c>
      <c r="AI583">
        <v>63</v>
      </c>
      <c r="AJ583">
        <v>1</v>
      </c>
      <c r="AK583">
        <v>20</v>
      </c>
      <c r="AL583" t="s">
        <v>11072</v>
      </c>
      <c r="AM583" t="s">
        <v>11073</v>
      </c>
      <c r="AN583" t="s">
        <v>11074</v>
      </c>
      <c r="AO583" t="s">
        <v>11075</v>
      </c>
      <c r="AP583" t="s">
        <v>11076</v>
      </c>
      <c r="AQ583" t="s">
        <v>74</v>
      </c>
      <c r="AR583" t="s">
        <v>11077</v>
      </c>
      <c r="AS583" t="s">
        <v>11078</v>
      </c>
      <c r="AT583" t="s">
        <v>74</v>
      </c>
      <c r="AU583">
        <v>2017</v>
      </c>
      <c r="AV583">
        <v>28</v>
      </c>
      <c r="AW583">
        <v>2</v>
      </c>
      <c r="AX583" t="s">
        <v>74</v>
      </c>
      <c r="AY583" t="s">
        <v>74</v>
      </c>
      <c r="AZ583" t="s">
        <v>74</v>
      </c>
      <c r="BA583" t="s">
        <v>74</v>
      </c>
      <c r="BB583">
        <v>253</v>
      </c>
      <c r="BC583">
        <v>264</v>
      </c>
      <c r="BD583" t="s">
        <v>74</v>
      </c>
      <c r="BE583" t="s">
        <v>11079</v>
      </c>
      <c r="BF583" t="str">
        <f>HYPERLINK("http://dx.doi.org/10.4404/hystrix-00003-2017","http://dx.doi.org/10.4404/hystrix-00003-2017")</f>
        <v>http://dx.doi.org/10.4404/hystrix-00003-2017</v>
      </c>
      <c r="BG583" t="s">
        <v>74</v>
      </c>
      <c r="BH583" t="s">
        <v>74</v>
      </c>
      <c r="BI583">
        <v>12</v>
      </c>
      <c r="BJ583" t="s">
        <v>643</v>
      </c>
      <c r="BK583" t="s">
        <v>101</v>
      </c>
      <c r="BL583" t="s">
        <v>643</v>
      </c>
      <c r="BM583" t="s">
        <v>11080</v>
      </c>
      <c r="BN583" t="s">
        <v>74</v>
      </c>
      <c r="BO583" t="s">
        <v>74</v>
      </c>
      <c r="BP583" t="s">
        <v>74</v>
      </c>
      <c r="BQ583" t="s">
        <v>74</v>
      </c>
      <c r="BR583" t="s">
        <v>105</v>
      </c>
      <c r="BS583" t="s">
        <v>11081</v>
      </c>
      <c r="BT583" t="str">
        <f>HYPERLINK("https%3A%2F%2Fwww.webofscience.com%2Fwos%2Fwoscc%2Ffull-record%2FWOS:000450046400010","View Full Record in Web of Science")</f>
        <v>View Full Record in Web of Science</v>
      </c>
    </row>
    <row r="584" spans="1:72" x14ac:dyDescent="0.15">
      <c r="A584" t="s">
        <v>1921</v>
      </c>
      <c r="B584" t="s">
        <v>11082</v>
      </c>
      <c r="C584" t="s">
        <v>74</v>
      </c>
      <c r="D584" t="s">
        <v>4992</v>
      </c>
      <c r="E584" t="s">
        <v>74</v>
      </c>
      <c r="F584" t="s">
        <v>11083</v>
      </c>
      <c r="G584" t="s">
        <v>74</v>
      </c>
      <c r="H584" t="s">
        <v>74</v>
      </c>
      <c r="I584" t="s">
        <v>11084</v>
      </c>
      <c r="J584" t="s">
        <v>4995</v>
      </c>
      <c r="K584" t="s">
        <v>4996</v>
      </c>
      <c r="L584" t="s">
        <v>74</v>
      </c>
      <c r="M584" t="s">
        <v>78</v>
      </c>
      <c r="N584" t="s">
        <v>2067</v>
      </c>
      <c r="O584" t="s">
        <v>74</v>
      </c>
      <c r="P584" t="s">
        <v>74</v>
      </c>
      <c r="Q584" t="s">
        <v>74</v>
      </c>
      <c r="R584" t="s">
        <v>74</v>
      </c>
      <c r="S584" t="s">
        <v>74</v>
      </c>
      <c r="T584" t="s">
        <v>74</v>
      </c>
      <c r="U584" t="s">
        <v>11085</v>
      </c>
      <c r="V584" t="s">
        <v>11086</v>
      </c>
      <c r="W584" t="s">
        <v>11087</v>
      </c>
      <c r="X584" t="s">
        <v>11088</v>
      </c>
      <c r="Y584" t="s">
        <v>11089</v>
      </c>
      <c r="Z584" t="s">
        <v>11090</v>
      </c>
      <c r="AA584" t="s">
        <v>11091</v>
      </c>
      <c r="AB584" t="s">
        <v>11092</v>
      </c>
      <c r="AC584" t="s">
        <v>74</v>
      </c>
      <c r="AD584" t="s">
        <v>74</v>
      </c>
      <c r="AE584" t="s">
        <v>74</v>
      </c>
      <c r="AF584" t="s">
        <v>74</v>
      </c>
      <c r="AG584">
        <v>156</v>
      </c>
      <c r="AH584">
        <v>3</v>
      </c>
      <c r="AI584">
        <v>3</v>
      </c>
      <c r="AJ584">
        <v>0</v>
      </c>
      <c r="AK584">
        <v>0</v>
      </c>
      <c r="AL584" t="s">
        <v>5006</v>
      </c>
      <c r="AM584" t="s">
        <v>2604</v>
      </c>
      <c r="AN584" t="s">
        <v>5007</v>
      </c>
      <c r="AO584" t="s">
        <v>5008</v>
      </c>
      <c r="AP584" t="s">
        <v>74</v>
      </c>
      <c r="AQ584" t="s">
        <v>5009</v>
      </c>
      <c r="AR584" t="s">
        <v>5010</v>
      </c>
      <c r="AS584" t="s">
        <v>74</v>
      </c>
      <c r="AT584" t="s">
        <v>74</v>
      </c>
      <c r="AU584">
        <v>2017</v>
      </c>
      <c r="AV584">
        <v>58</v>
      </c>
      <c r="AW584" t="s">
        <v>74</v>
      </c>
      <c r="AX584" t="s">
        <v>74</v>
      </c>
      <c r="AY584" t="s">
        <v>74</v>
      </c>
      <c r="AZ584" t="s">
        <v>74</v>
      </c>
      <c r="BA584" t="s">
        <v>74</v>
      </c>
      <c r="BB584" t="s">
        <v>74</v>
      </c>
      <c r="BC584" t="s">
        <v>74</v>
      </c>
      <c r="BD584" t="s">
        <v>74</v>
      </c>
      <c r="BE584" t="s">
        <v>11093</v>
      </c>
      <c r="BF584" t="str">
        <f>HYPERLINK("http://dx.doi.org/10.1175/AMSMONOGRAPHS-D-16-0015.1","http://dx.doi.org/10.1175/AMSMONOGRAPHS-D-16-0015.1")</f>
        <v>http://dx.doi.org/10.1175/AMSMONOGRAPHS-D-16-0015.1</v>
      </c>
      <c r="BG584" t="s">
        <v>74</v>
      </c>
      <c r="BH584" t="s">
        <v>74</v>
      </c>
      <c r="BI584">
        <v>21</v>
      </c>
      <c r="BJ584" t="s">
        <v>747</v>
      </c>
      <c r="BK584" t="s">
        <v>2084</v>
      </c>
      <c r="BL584" t="s">
        <v>747</v>
      </c>
      <c r="BM584" t="s">
        <v>5012</v>
      </c>
      <c r="BN584" t="s">
        <v>74</v>
      </c>
      <c r="BO584" t="s">
        <v>1695</v>
      </c>
      <c r="BP584" t="s">
        <v>74</v>
      </c>
      <c r="BQ584" t="s">
        <v>74</v>
      </c>
      <c r="BR584" t="s">
        <v>105</v>
      </c>
      <c r="BS584" t="s">
        <v>11094</v>
      </c>
      <c r="BT584" t="str">
        <f>HYPERLINK("https%3A%2F%2Fwww.webofscience.com%2Fwos%2Fwoscc%2Ffull-record%2FWOS:000419754400011","View Full Record in Web of Science")</f>
        <v>View Full Record in Web of Science</v>
      </c>
    </row>
    <row r="585" spans="1:72" x14ac:dyDescent="0.15">
      <c r="A585" t="s">
        <v>72</v>
      </c>
      <c r="B585" t="s">
        <v>11095</v>
      </c>
      <c r="C585" t="s">
        <v>74</v>
      </c>
      <c r="D585" t="s">
        <v>74</v>
      </c>
      <c r="E585" t="s">
        <v>74</v>
      </c>
      <c r="F585" t="s">
        <v>11096</v>
      </c>
      <c r="G585" t="s">
        <v>74</v>
      </c>
      <c r="H585" t="s">
        <v>74</v>
      </c>
      <c r="I585" t="s">
        <v>11097</v>
      </c>
      <c r="J585" t="s">
        <v>11098</v>
      </c>
      <c r="K585" t="s">
        <v>74</v>
      </c>
      <c r="L585" t="s">
        <v>74</v>
      </c>
      <c r="M585" t="s">
        <v>78</v>
      </c>
      <c r="N585" t="s">
        <v>185</v>
      </c>
      <c r="O585" t="s">
        <v>74</v>
      </c>
      <c r="P585" t="s">
        <v>74</v>
      </c>
      <c r="Q585" t="s">
        <v>74</v>
      </c>
      <c r="R585" t="s">
        <v>74</v>
      </c>
      <c r="S585" t="s">
        <v>74</v>
      </c>
      <c r="T585" t="s">
        <v>11099</v>
      </c>
      <c r="U585" t="s">
        <v>74</v>
      </c>
      <c r="V585" t="s">
        <v>11100</v>
      </c>
      <c r="W585" t="s">
        <v>74</v>
      </c>
      <c r="X585" t="s">
        <v>74</v>
      </c>
      <c r="Y585" t="s">
        <v>74</v>
      </c>
      <c r="Z585" t="s">
        <v>11101</v>
      </c>
      <c r="AA585" t="s">
        <v>74</v>
      </c>
      <c r="AB585" t="s">
        <v>74</v>
      </c>
      <c r="AC585" t="s">
        <v>74</v>
      </c>
      <c r="AD585" t="s">
        <v>74</v>
      </c>
      <c r="AE585" t="s">
        <v>74</v>
      </c>
      <c r="AF585" t="s">
        <v>74</v>
      </c>
      <c r="AG585">
        <v>0</v>
      </c>
      <c r="AH585">
        <v>0</v>
      </c>
      <c r="AI585">
        <v>0</v>
      </c>
      <c r="AJ585">
        <v>0</v>
      </c>
      <c r="AK585">
        <v>36</v>
      </c>
      <c r="AL585" t="s">
        <v>6457</v>
      </c>
      <c r="AM585" t="s">
        <v>6458</v>
      </c>
      <c r="AN585" t="s">
        <v>6459</v>
      </c>
      <c r="AO585" t="s">
        <v>11102</v>
      </c>
      <c r="AP585" t="s">
        <v>11103</v>
      </c>
      <c r="AQ585" t="s">
        <v>74</v>
      </c>
      <c r="AR585" t="s">
        <v>11104</v>
      </c>
      <c r="AS585" t="s">
        <v>11105</v>
      </c>
      <c r="AT585" t="s">
        <v>74</v>
      </c>
      <c r="AU585">
        <v>2017</v>
      </c>
      <c r="AV585">
        <v>44</v>
      </c>
      <c r="AW585">
        <v>1</v>
      </c>
      <c r="AX585" t="s">
        <v>74</v>
      </c>
      <c r="AY585" t="s">
        <v>74</v>
      </c>
      <c r="AZ585" t="s">
        <v>74</v>
      </c>
      <c r="BA585" t="s">
        <v>74</v>
      </c>
      <c r="BB585">
        <v>6</v>
      </c>
      <c r="BC585">
        <v>10</v>
      </c>
      <c r="BD585" t="s">
        <v>74</v>
      </c>
      <c r="BE585" t="s">
        <v>11106</v>
      </c>
      <c r="BF585" t="str">
        <f>HYPERLINK("http://dx.doi.org/10.1108/IR-10-2016-0271","http://dx.doi.org/10.1108/IR-10-2016-0271")</f>
        <v>http://dx.doi.org/10.1108/IR-10-2016-0271</v>
      </c>
      <c r="BG585" t="s">
        <v>74</v>
      </c>
      <c r="BH585" t="s">
        <v>74</v>
      </c>
      <c r="BI585">
        <v>5</v>
      </c>
      <c r="BJ585" t="s">
        <v>11107</v>
      </c>
      <c r="BK585" t="s">
        <v>101</v>
      </c>
      <c r="BL585" t="s">
        <v>11108</v>
      </c>
      <c r="BM585" t="s">
        <v>11109</v>
      </c>
      <c r="BN585" t="s">
        <v>74</v>
      </c>
      <c r="BO585" t="s">
        <v>74</v>
      </c>
      <c r="BP585" t="s">
        <v>74</v>
      </c>
      <c r="BQ585" t="s">
        <v>74</v>
      </c>
      <c r="BR585" t="s">
        <v>105</v>
      </c>
      <c r="BS585" t="s">
        <v>11110</v>
      </c>
      <c r="BT585" t="str">
        <f>HYPERLINK("https%3A%2F%2Fwww.webofscience.com%2Fwos%2Fwoscc%2Ffull-record%2FWOS:000398068800002","View Full Record in Web of Science")</f>
        <v>View Full Record in Web of Science</v>
      </c>
    </row>
    <row r="586" spans="1:72" x14ac:dyDescent="0.15">
      <c r="A586" t="s">
        <v>1823</v>
      </c>
      <c r="B586" t="s">
        <v>11111</v>
      </c>
      <c r="C586" t="s">
        <v>74</v>
      </c>
      <c r="D586" t="s">
        <v>11112</v>
      </c>
      <c r="E586" t="s">
        <v>74</v>
      </c>
      <c r="F586" t="s">
        <v>11113</v>
      </c>
      <c r="G586" t="s">
        <v>74</v>
      </c>
      <c r="H586" t="s">
        <v>74</v>
      </c>
      <c r="I586" t="s">
        <v>11114</v>
      </c>
      <c r="J586" t="s">
        <v>11115</v>
      </c>
      <c r="K586" t="s">
        <v>9951</v>
      </c>
      <c r="L586" t="s">
        <v>74</v>
      </c>
      <c r="M586" t="s">
        <v>78</v>
      </c>
      <c r="N586" t="s">
        <v>1829</v>
      </c>
      <c r="O586" t="s">
        <v>11116</v>
      </c>
      <c r="P586" t="s">
        <v>8666</v>
      </c>
      <c r="Q586" t="s">
        <v>11117</v>
      </c>
      <c r="R586" t="s">
        <v>74</v>
      </c>
      <c r="S586" t="s">
        <v>11118</v>
      </c>
      <c r="T586" t="s">
        <v>74</v>
      </c>
      <c r="U586" t="s">
        <v>11119</v>
      </c>
      <c r="V586" t="s">
        <v>11120</v>
      </c>
      <c r="W586" t="s">
        <v>11121</v>
      </c>
      <c r="X586" t="s">
        <v>11122</v>
      </c>
      <c r="Y586" t="s">
        <v>11123</v>
      </c>
      <c r="Z586" t="s">
        <v>11124</v>
      </c>
      <c r="AA586" t="s">
        <v>74</v>
      </c>
      <c r="AB586" t="s">
        <v>11125</v>
      </c>
      <c r="AC586" t="s">
        <v>74</v>
      </c>
      <c r="AD586" t="s">
        <v>74</v>
      </c>
      <c r="AE586" t="s">
        <v>74</v>
      </c>
      <c r="AF586" t="s">
        <v>74</v>
      </c>
      <c r="AG586">
        <v>19</v>
      </c>
      <c r="AH586">
        <v>0</v>
      </c>
      <c r="AI586">
        <v>0</v>
      </c>
      <c r="AJ586">
        <v>0</v>
      </c>
      <c r="AK586">
        <v>2</v>
      </c>
      <c r="AL586" t="s">
        <v>3497</v>
      </c>
      <c r="AM586" t="s">
        <v>3498</v>
      </c>
      <c r="AN586" t="s">
        <v>3499</v>
      </c>
      <c r="AO586" t="s">
        <v>9959</v>
      </c>
      <c r="AP586" t="s">
        <v>9960</v>
      </c>
      <c r="AQ586" t="s">
        <v>11126</v>
      </c>
      <c r="AR586" t="s">
        <v>9962</v>
      </c>
      <c r="AS586" t="s">
        <v>74</v>
      </c>
      <c r="AT586" t="s">
        <v>74</v>
      </c>
      <c r="AU586">
        <v>2017</v>
      </c>
      <c r="AV586" t="s">
        <v>74</v>
      </c>
      <c r="AW586" t="s">
        <v>74</v>
      </c>
      <c r="AX586" t="s">
        <v>74</v>
      </c>
      <c r="AY586" t="s">
        <v>74</v>
      </c>
      <c r="AZ586" t="s">
        <v>74</v>
      </c>
      <c r="BA586" t="s">
        <v>74</v>
      </c>
      <c r="BB586">
        <v>203</v>
      </c>
      <c r="BC586">
        <v>210</v>
      </c>
      <c r="BD586" t="s">
        <v>74</v>
      </c>
      <c r="BE586" t="s">
        <v>11127</v>
      </c>
      <c r="BF586" t="str">
        <f>HYPERLINK("http://dx.doi.org/10.1007/978-3-319-57532-2_21","http://dx.doi.org/10.1007/978-3-319-57532-2_21")</f>
        <v>http://dx.doi.org/10.1007/978-3-319-57532-2_21</v>
      </c>
      <c r="BG586" t="s">
        <v>74</v>
      </c>
      <c r="BH586" t="s">
        <v>74</v>
      </c>
      <c r="BI586">
        <v>8</v>
      </c>
      <c r="BJ586" t="s">
        <v>11128</v>
      </c>
      <c r="BK586" t="s">
        <v>11129</v>
      </c>
      <c r="BL586" t="s">
        <v>11130</v>
      </c>
      <c r="BM586" t="s">
        <v>11131</v>
      </c>
      <c r="BN586" t="s">
        <v>74</v>
      </c>
      <c r="BO586" t="s">
        <v>506</v>
      </c>
      <c r="BP586" t="s">
        <v>74</v>
      </c>
      <c r="BQ586" t="s">
        <v>74</v>
      </c>
      <c r="BR586" t="s">
        <v>105</v>
      </c>
      <c r="BS586" t="s">
        <v>11132</v>
      </c>
      <c r="BT586" t="str">
        <f>HYPERLINK("https%3A%2F%2Fwww.webofscience.com%2Fwos%2Fwoscc%2Ffull-record%2FWOS:000469281900021","View Full Record in Web of Science")</f>
        <v>View Full Record in Web of Science</v>
      </c>
    </row>
    <row r="587" spans="1:72" x14ac:dyDescent="0.15">
      <c r="A587" t="s">
        <v>72</v>
      </c>
      <c r="B587" t="s">
        <v>11133</v>
      </c>
      <c r="C587" t="s">
        <v>74</v>
      </c>
      <c r="D587" t="s">
        <v>74</v>
      </c>
      <c r="E587" t="s">
        <v>74</v>
      </c>
      <c r="F587" t="s">
        <v>11134</v>
      </c>
      <c r="G587" t="s">
        <v>74</v>
      </c>
      <c r="H587" t="s">
        <v>74</v>
      </c>
      <c r="I587" t="s">
        <v>11135</v>
      </c>
      <c r="J587" t="s">
        <v>11136</v>
      </c>
      <c r="K587" t="s">
        <v>74</v>
      </c>
      <c r="L587" t="s">
        <v>74</v>
      </c>
      <c r="M587" t="s">
        <v>78</v>
      </c>
      <c r="N587" t="s">
        <v>79</v>
      </c>
      <c r="O587" t="s">
        <v>74</v>
      </c>
      <c r="P587" t="s">
        <v>74</v>
      </c>
      <c r="Q587" t="s">
        <v>74</v>
      </c>
      <c r="R587" t="s">
        <v>74</v>
      </c>
      <c r="S587" t="s">
        <v>74</v>
      </c>
      <c r="T587" t="s">
        <v>11137</v>
      </c>
      <c r="U587" t="s">
        <v>11138</v>
      </c>
      <c r="V587" t="s">
        <v>11139</v>
      </c>
      <c r="W587" t="s">
        <v>11140</v>
      </c>
      <c r="X587" t="s">
        <v>11141</v>
      </c>
      <c r="Y587" t="s">
        <v>11142</v>
      </c>
      <c r="Z587" t="s">
        <v>11143</v>
      </c>
      <c r="AA587" t="s">
        <v>11144</v>
      </c>
      <c r="AB587" t="s">
        <v>11145</v>
      </c>
      <c r="AC587" t="s">
        <v>74</v>
      </c>
      <c r="AD587" t="s">
        <v>74</v>
      </c>
      <c r="AE587" t="s">
        <v>74</v>
      </c>
      <c r="AF587" t="s">
        <v>74</v>
      </c>
      <c r="AG587">
        <v>41</v>
      </c>
      <c r="AH587">
        <v>13</v>
      </c>
      <c r="AI587">
        <v>13</v>
      </c>
      <c r="AJ587">
        <v>0</v>
      </c>
      <c r="AK587">
        <v>37</v>
      </c>
      <c r="AL587" t="s">
        <v>2377</v>
      </c>
      <c r="AM587" t="s">
        <v>2378</v>
      </c>
      <c r="AN587" t="s">
        <v>2379</v>
      </c>
      <c r="AO587" t="s">
        <v>11146</v>
      </c>
      <c r="AP587" t="s">
        <v>11147</v>
      </c>
      <c r="AQ587" t="s">
        <v>74</v>
      </c>
      <c r="AR587" t="s">
        <v>11148</v>
      </c>
      <c r="AS587" t="s">
        <v>11149</v>
      </c>
      <c r="AT587" t="s">
        <v>2136</v>
      </c>
      <c r="AU587">
        <v>2017</v>
      </c>
      <c r="AV587">
        <v>37</v>
      </c>
      <c r="AW587">
        <v>1</v>
      </c>
      <c r="AX587" t="s">
        <v>74</v>
      </c>
      <c r="AY587" t="s">
        <v>74</v>
      </c>
      <c r="AZ587" t="s">
        <v>74</v>
      </c>
      <c r="BA587" t="s">
        <v>74</v>
      </c>
      <c r="BB587">
        <v>399</v>
      </c>
      <c r="BC587">
        <v>408</v>
      </c>
      <c r="BD587" t="s">
        <v>74</v>
      </c>
      <c r="BE587" t="s">
        <v>11150</v>
      </c>
      <c r="BF587" t="str">
        <f>HYPERLINK("http://dx.doi.org/10.1002/joc.4712","http://dx.doi.org/10.1002/joc.4712")</f>
        <v>http://dx.doi.org/10.1002/joc.4712</v>
      </c>
      <c r="BG587" t="s">
        <v>74</v>
      </c>
      <c r="BH587" t="s">
        <v>74</v>
      </c>
      <c r="BI587">
        <v>10</v>
      </c>
      <c r="BJ587" t="s">
        <v>747</v>
      </c>
      <c r="BK587" t="s">
        <v>101</v>
      </c>
      <c r="BL587" t="s">
        <v>747</v>
      </c>
      <c r="BM587" t="s">
        <v>11151</v>
      </c>
      <c r="BN587" t="s">
        <v>74</v>
      </c>
      <c r="BO587" t="s">
        <v>74</v>
      </c>
      <c r="BP587" t="s">
        <v>74</v>
      </c>
      <c r="BQ587" t="s">
        <v>74</v>
      </c>
      <c r="BR587" t="s">
        <v>105</v>
      </c>
      <c r="BS587" t="s">
        <v>11152</v>
      </c>
      <c r="BT587" t="str">
        <f>HYPERLINK("https%3A%2F%2Fwww.webofscience.com%2Fwos%2Fwoscc%2Ffull-record%2FWOS:000392415700029","View Full Record in Web of Science")</f>
        <v>View Full Record in Web of Science</v>
      </c>
    </row>
    <row r="588" spans="1:72" x14ac:dyDescent="0.15">
      <c r="A588" t="s">
        <v>1823</v>
      </c>
      <c r="B588" t="s">
        <v>5449</v>
      </c>
      <c r="C588" t="s">
        <v>74</v>
      </c>
      <c r="D588" t="s">
        <v>11153</v>
      </c>
      <c r="E588" t="s">
        <v>74</v>
      </c>
      <c r="F588" t="s">
        <v>5471</v>
      </c>
      <c r="G588" t="s">
        <v>74</v>
      </c>
      <c r="H588" t="s">
        <v>74</v>
      </c>
      <c r="I588" t="s">
        <v>11154</v>
      </c>
      <c r="J588" t="s">
        <v>11155</v>
      </c>
      <c r="K588" t="s">
        <v>11156</v>
      </c>
      <c r="L588" t="s">
        <v>74</v>
      </c>
      <c r="M588" t="s">
        <v>78</v>
      </c>
      <c r="N588" t="s">
        <v>1829</v>
      </c>
      <c r="O588" t="s">
        <v>11157</v>
      </c>
      <c r="P588" t="s">
        <v>11158</v>
      </c>
      <c r="Q588" t="s">
        <v>5456</v>
      </c>
      <c r="R588" t="s">
        <v>74</v>
      </c>
      <c r="S588" t="s">
        <v>74</v>
      </c>
      <c r="T588" t="s">
        <v>11159</v>
      </c>
      <c r="U588" t="s">
        <v>74</v>
      </c>
      <c r="V588" t="s">
        <v>11160</v>
      </c>
      <c r="W588" t="s">
        <v>11161</v>
      </c>
      <c r="X588" t="s">
        <v>5459</v>
      </c>
      <c r="Y588" t="s">
        <v>11162</v>
      </c>
      <c r="Z588" t="s">
        <v>11163</v>
      </c>
      <c r="AA588" t="s">
        <v>5462</v>
      </c>
      <c r="AB588" t="s">
        <v>5463</v>
      </c>
      <c r="AC588" t="s">
        <v>11164</v>
      </c>
      <c r="AD588" t="s">
        <v>11165</v>
      </c>
      <c r="AE588" t="s">
        <v>11166</v>
      </c>
      <c r="AF588" t="s">
        <v>74</v>
      </c>
      <c r="AG588">
        <v>10</v>
      </c>
      <c r="AH588">
        <v>0</v>
      </c>
      <c r="AI588">
        <v>0</v>
      </c>
      <c r="AJ588">
        <v>3</v>
      </c>
      <c r="AK588">
        <v>12</v>
      </c>
      <c r="AL588" t="s">
        <v>608</v>
      </c>
      <c r="AM588" t="s">
        <v>609</v>
      </c>
      <c r="AN588" t="s">
        <v>11167</v>
      </c>
      <c r="AO588" t="s">
        <v>11168</v>
      </c>
      <c r="AP588" t="s">
        <v>11169</v>
      </c>
      <c r="AQ588" t="s">
        <v>74</v>
      </c>
      <c r="AR588" t="s">
        <v>11170</v>
      </c>
      <c r="AS588" t="s">
        <v>74</v>
      </c>
      <c r="AT588" t="s">
        <v>74</v>
      </c>
      <c r="AU588">
        <v>2017</v>
      </c>
      <c r="AV588" t="s">
        <v>11171</v>
      </c>
      <c r="AW588" t="s">
        <v>11172</v>
      </c>
      <c r="AX588" t="s">
        <v>74</v>
      </c>
      <c r="AY588" t="s">
        <v>74</v>
      </c>
      <c r="AZ588" t="s">
        <v>74</v>
      </c>
      <c r="BA588" t="s">
        <v>74</v>
      </c>
      <c r="BB588">
        <v>235</v>
      </c>
      <c r="BC588">
        <v>238</v>
      </c>
      <c r="BD588" t="s">
        <v>74</v>
      </c>
      <c r="BE588" t="s">
        <v>11173</v>
      </c>
      <c r="BF588" t="str">
        <f>HYPERLINK("http://dx.doi.org/10.5194/isprs-archives-XLII-4-W5-235-2017","http://dx.doi.org/10.5194/isprs-archives-XLII-4-W5-235-2017")</f>
        <v>http://dx.doi.org/10.5194/isprs-archives-XLII-4-W5-235-2017</v>
      </c>
      <c r="BG588" t="s">
        <v>74</v>
      </c>
      <c r="BH588" t="s">
        <v>74</v>
      </c>
      <c r="BI588">
        <v>4</v>
      </c>
      <c r="BJ588" t="s">
        <v>11174</v>
      </c>
      <c r="BK588" t="s">
        <v>1844</v>
      </c>
      <c r="BL588" t="s">
        <v>11175</v>
      </c>
      <c r="BM588" t="s">
        <v>11176</v>
      </c>
      <c r="BN588" t="s">
        <v>74</v>
      </c>
      <c r="BO588" t="s">
        <v>892</v>
      </c>
      <c r="BP588" t="s">
        <v>74</v>
      </c>
      <c r="BQ588" t="s">
        <v>74</v>
      </c>
      <c r="BR588" t="s">
        <v>105</v>
      </c>
      <c r="BS588" t="s">
        <v>11177</v>
      </c>
      <c r="BT588" t="str">
        <f>HYPERLINK("https%3A%2F%2Fwww.webofscience.com%2Fwos%2Fwoscc%2Ffull-record%2FWOS:000569012700030","View Full Record in Web of Science")</f>
        <v>View Full Record in Web of Science</v>
      </c>
    </row>
    <row r="589" spans="1:72" x14ac:dyDescent="0.15">
      <c r="A589" t="s">
        <v>72</v>
      </c>
      <c r="B589" t="s">
        <v>11178</v>
      </c>
      <c r="C589" t="s">
        <v>74</v>
      </c>
      <c r="D589" t="s">
        <v>74</v>
      </c>
      <c r="E589" t="s">
        <v>74</v>
      </c>
      <c r="F589" t="s">
        <v>11179</v>
      </c>
      <c r="G589" t="s">
        <v>74</v>
      </c>
      <c r="H589" t="s">
        <v>74</v>
      </c>
      <c r="I589" t="s">
        <v>11180</v>
      </c>
      <c r="J589" t="s">
        <v>8281</v>
      </c>
      <c r="K589" t="s">
        <v>74</v>
      </c>
      <c r="L589" t="s">
        <v>74</v>
      </c>
      <c r="M589" t="s">
        <v>78</v>
      </c>
      <c r="N589" t="s">
        <v>79</v>
      </c>
      <c r="O589" t="s">
        <v>74</v>
      </c>
      <c r="P589" t="s">
        <v>74</v>
      </c>
      <c r="Q589" t="s">
        <v>74</v>
      </c>
      <c r="R589" t="s">
        <v>74</v>
      </c>
      <c r="S589" t="s">
        <v>74</v>
      </c>
      <c r="T589" t="s">
        <v>11181</v>
      </c>
      <c r="U589" t="s">
        <v>11182</v>
      </c>
      <c r="V589" t="s">
        <v>11183</v>
      </c>
      <c r="W589" t="s">
        <v>11184</v>
      </c>
      <c r="X589" t="s">
        <v>11185</v>
      </c>
      <c r="Y589" t="s">
        <v>11186</v>
      </c>
      <c r="Z589" t="s">
        <v>11187</v>
      </c>
      <c r="AA589" t="s">
        <v>11188</v>
      </c>
      <c r="AB589" t="s">
        <v>11189</v>
      </c>
      <c r="AC589" t="s">
        <v>11190</v>
      </c>
      <c r="AD589" t="s">
        <v>11191</v>
      </c>
      <c r="AE589" t="s">
        <v>11192</v>
      </c>
      <c r="AF589" t="s">
        <v>74</v>
      </c>
      <c r="AG589">
        <v>76</v>
      </c>
      <c r="AH589">
        <v>22</v>
      </c>
      <c r="AI589">
        <v>24</v>
      </c>
      <c r="AJ589">
        <v>0</v>
      </c>
      <c r="AK589">
        <v>11</v>
      </c>
      <c r="AL589" t="s">
        <v>661</v>
      </c>
      <c r="AM589" t="s">
        <v>142</v>
      </c>
      <c r="AN589" t="s">
        <v>662</v>
      </c>
      <c r="AO589" t="s">
        <v>8292</v>
      </c>
      <c r="AP589" t="s">
        <v>8293</v>
      </c>
      <c r="AQ589" t="s">
        <v>74</v>
      </c>
      <c r="AR589" t="s">
        <v>8294</v>
      </c>
      <c r="AS589" t="s">
        <v>8295</v>
      </c>
      <c r="AT589" t="s">
        <v>2136</v>
      </c>
      <c r="AU589">
        <v>2017</v>
      </c>
      <c r="AV589">
        <v>122</v>
      </c>
      <c r="AW589">
        <v>1</v>
      </c>
      <c r="AX589" t="s">
        <v>74</v>
      </c>
      <c r="AY589" t="s">
        <v>74</v>
      </c>
      <c r="AZ589" t="s">
        <v>74</v>
      </c>
      <c r="BA589" t="s">
        <v>74</v>
      </c>
      <c r="BB589">
        <v>371</v>
      </c>
      <c r="BC589">
        <v>397</v>
      </c>
      <c r="BD589" t="s">
        <v>74</v>
      </c>
      <c r="BE589" t="s">
        <v>11193</v>
      </c>
      <c r="BF589" t="str">
        <f>HYPERLINK("http://dx.doi.org/10.1002/2016JF004121","http://dx.doi.org/10.1002/2016JF004121")</f>
        <v>http://dx.doi.org/10.1002/2016JF004121</v>
      </c>
      <c r="BG589" t="s">
        <v>74</v>
      </c>
      <c r="BH589" t="s">
        <v>74</v>
      </c>
      <c r="BI589">
        <v>27</v>
      </c>
      <c r="BJ589" t="s">
        <v>669</v>
      </c>
      <c r="BK589" t="s">
        <v>101</v>
      </c>
      <c r="BL589" t="s">
        <v>670</v>
      </c>
      <c r="BM589" t="s">
        <v>8297</v>
      </c>
      <c r="BN589" t="s">
        <v>74</v>
      </c>
      <c r="BO589" t="s">
        <v>11194</v>
      </c>
      <c r="BP589" t="s">
        <v>74</v>
      </c>
      <c r="BQ589" t="s">
        <v>74</v>
      </c>
      <c r="BR589" t="s">
        <v>105</v>
      </c>
      <c r="BS589" t="s">
        <v>11195</v>
      </c>
      <c r="BT589" t="str">
        <f>HYPERLINK("https%3A%2F%2Fwww.webofscience.com%2Fwos%2Fwoscc%2Ffull-record%2FWOS:000394904900019","View Full Record in Web of Science")</f>
        <v>View Full Record in Web of Science</v>
      </c>
    </row>
    <row r="590" spans="1:72" x14ac:dyDescent="0.15">
      <c r="A590" t="s">
        <v>72</v>
      </c>
      <c r="B590" t="s">
        <v>11196</v>
      </c>
      <c r="C590" t="s">
        <v>74</v>
      </c>
      <c r="D590" t="s">
        <v>74</v>
      </c>
      <c r="E590" t="s">
        <v>74</v>
      </c>
      <c r="F590" t="s">
        <v>11197</v>
      </c>
      <c r="G590" t="s">
        <v>74</v>
      </c>
      <c r="H590" t="s">
        <v>74</v>
      </c>
      <c r="I590" t="s">
        <v>11198</v>
      </c>
      <c r="J590" t="s">
        <v>8281</v>
      </c>
      <c r="K590" t="s">
        <v>74</v>
      </c>
      <c r="L590" t="s">
        <v>74</v>
      </c>
      <c r="M590" t="s">
        <v>78</v>
      </c>
      <c r="N590" t="s">
        <v>79</v>
      </c>
      <c r="O590" t="s">
        <v>74</v>
      </c>
      <c r="P590" t="s">
        <v>74</v>
      </c>
      <c r="Q590" t="s">
        <v>74</v>
      </c>
      <c r="R590" t="s">
        <v>74</v>
      </c>
      <c r="S590" t="s">
        <v>74</v>
      </c>
      <c r="T590" t="s">
        <v>11199</v>
      </c>
      <c r="U590" t="s">
        <v>11200</v>
      </c>
      <c r="V590" t="s">
        <v>11201</v>
      </c>
      <c r="W590" t="s">
        <v>11202</v>
      </c>
      <c r="X590" t="s">
        <v>11203</v>
      </c>
      <c r="Y590" t="s">
        <v>11204</v>
      </c>
      <c r="Z590" t="s">
        <v>11205</v>
      </c>
      <c r="AA590" t="s">
        <v>11206</v>
      </c>
      <c r="AB590" t="s">
        <v>11207</v>
      </c>
      <c r="AC590" t="s">
        <v>11208</v>
      </c>
      <c r="AD590" t="s">
        <v>11209</v>
      </c>
      <c r="AE590" t="s">
        <v>11210</v>
      </c>
      <c r="AF590" t="s">
        <v>74</v>
      </c>
      <c r="AG590">
        <v>61</v>
      </c>
      <c r="AH590">
        <v>29</v>
      </c>
      <c r="AI590">
        <v>29</v>
      </c>
      <c r="AJ590">
        <v>2</v>
      </c>
      <c r="AK590">
        <v>19</v>
      </c>
      <c r="AL590" t="s">
        <v>661</v>
      </c>
      <c r="AM590" t="s">
        <v>142</v>
      </c>
      <c r="AN590" t="s">
        <v>662</v>
      </c>
      <c r="AO590" t="s">
        <v>8292</v>
      </c>
      <c r="AP590" t="s">
        <v>8293</v>
      </c>
      <c r="AQ590" t="s">
        <v>74</v>
      </c>
      <c r="AR590" t="s">
        <v>8294</v>
      </c>
      <c r="AS590" t="s">
        <v>8295</v>
      </c>
      <c r="AT590" t="s">
        <v>2136</v>
      </c>
      <c r="AU590">
        <v>2017</v>
      </c>
      <c r="AV590">
        <v>122</v>
      </c>
      <c r="AW590">
        <v>1</v>
      </c>
      <c r="AX590" t="s">
        <v>74</v>
      </c>
      <c r="AY590" t="s">
        <v>74</v>
      </c>
      <c r="AZ590" t="s">
        <v>74</v>
      </c>
      <c r="BA590" t="s">
        <v>74</v>
      </c>
      <c r="BB590">
        <v>419</v>
      </c>
      <c r="BC590">
        <v>433</v>
      </c>
      <c r="BD590" t="s">
        <v>74</v>
      </c>
      <c r="BE590" t="s">
        <v>11211</v>
      </c>
      <c r="BF590" t="str">
        <f>HYPERLINK("http://dx.doi.org/10.1002/2016JF004033","http://dx.doi.org/10.1002/2016JF004033")</f>
        <v>http://dx.doi.org/10.1002/2016JF004033</v>
      </c>
      <c r="BG590" t="s">
        <v>74</v>
      </c>
      <c r="BH590" t="s">
        <v>74</v>
      </c>
      <c r="BI590">
        <v>15</v>
      </c>
      <c r="BJ590" t="s">
        <v>669</v>
      </c>
      <c r="BK590" t="s">
        <v>101</v>
      </c>
      <c r="BL590" t="s">
        <v>670</v>
      </c>
      <c r="BM590" t="s">
        <v>8297</v>
      </c>
      <c r="BN590" t="s">
        <v>74</v>
      </c>
      <c r="BO590" t="s">
        <v>1695</v>
      </c>
      <c r="BP590" t="s">
        <v>74</v>
      </c>
      <c r="BQ590" t="s">
        <v>74</v>
      </c>
      <c r="BR590" t="s">
        <v>105</v>
      </c>
      <c r="BS590" t="s">
        <v>11212</v>
      </c>
      <c r="BT590" t="str">
        <f>HYPERLINK("https%3A%2F%2Fwww.webofscience.com%2Fwos%2Fwoscc%2Ffull-record%2FWOS:000394904900021","View Full Record in Web of Science")</f>
        <v>View Full Record in Web of Science</v>
      </c>
    </row>
    <row r="591" spans="1:72" x14ac:dyDescent="0.15">
      <c r="A591" t="s">
        <v>72</v>
      </c>
      <c r="B591" t="s">
        <v>11213</v>
      </c>
      <c r="C591" t="s">
        <v>74</v>
      </c>
      <c r="D591" t="s">
        <v>74</v>
      </c>
      <c r="E591" t="s">
        <v>74</v>
      </c>
      <c r="F591" t="s">
        <v>11214</v>
      </c>
      <c r="G591" t="s">
        <v>74</v>
      </c>
      <c r="H591" t="s">
        <v>74</v>
      </c>
      <c r="I591" t="s">
        <v>11215</v>
      </c>
      <c r="J591" t="s">
        <v>8281</v>
      </c>
      <c r="K591" t="s">
        <v>74</v>
      </c>
      <c r="L591" t="s">
        <v>74</v>
      </c>
      <c r="M591" t="s">
        <v>78</v>
      </c>
      <c r="N591" t="s">
        <v>79</v>
      </c>
      <c r="O591" t="s">
        <v>74</v>
      </c>
      <c r="P591" t="s">
        <v>74</v>
      </c>
      <c r="Q591" t="s">
        <v>74</v>
      </c>
      <c r="R591" t="s">
        <v>74</v>
      </c>
      <c r="S591" t="s">
        <v>74</v>
      </c>
      <c r="T591" t="s">
        <v>11216</v>
      </c>
      <c r="U591" t="s">
        <v>11217</v>
      </c>
      <c r="V591" t="s">
        <v>11218</v>
      </c>
      <c r="W591" t="s">
        <v>11219</v>
      </c>
      <c r="X591" t="s">
        <v>11220</v>
      </c>
      <c r="Y591" t="s">
        <v>11221</v>
      </c>
      <c r="Z591" t="s">
        <v>11222</v>
      </c>
      <c r="AA591" t="s">
        <v>11223</v>
      </c>
      <c r="AB591" t="s">
        <v>11224</v>
      </c>
      <c r="AC591" t="s">
        <v>11225</v>
      </c>
      <c r="AD591" t="s">
        <v>11226</v>
      </c>
      <c r="AE591" t="s">
        <v>11227</v>
      </c>
      <c r="AF591" t="s">
        <v>74</v>
      </c>
      <c r="AG591">
        <v>78</v>
      </c>
      <c r="AH591">
        <v>51</v>
      </c>
      <c r="AI591">
        <v>55</v>
      </c>
      <c r="AJ591">
        <v>4</v>
      </c>
      <c r="AK591">
        <v>45</v>
      </c>
      <c r="AL591" t="s">
        <v>661</v>
      </c>
      <c r="AM591" t="s">
        <v>142</v>
      </c>
      <c r="AN591" t="s">
        <v>662</v>
      </c>
      <c r="AO591" t="s">
        <v>8292</v>
      </c>
      <c r="AP591" t="s">
        <v>8293</v>
      </c>
      <c r="AQ591" t="s">
        <v>74</v>
      </c>
      <c r="AR591" t="s">
        <v>8294</v>
      </c>
      <c r="AS591" t="s">
        <v>8295</v>
      </c>
      <c r="AT591" t="s">
        <v>2136</v>
      </c>
      <c r="AU591">
        <v>2017</v>
      </c>
      <c r="AV591">
        <v>122</v>
      </c>
      <c r="AW591">
        <v>1</v>
      </c>
      <c r="AX591" t="s">
        <v>74</v>
      </c>
      <c r="AY591" t="s">
        <v>74</v>
      </c>
      <c r="AZ591" t="s">
        <v>74</v>
      </c>
      <c r="BA591" t="s">
        <v>74</v>
      </c>
      <c r="BB591">
        <v>434</v>
      </c>
      <c r="BC591">
        <v>454</v>
      </c>
      <c r="BD591" t="s">
        <v>74</v>
      </c>
      <c r="BE591" t="s">
        <v>11228</v>
      </c>
      <c r="BF591" t="str">
        <f>HYPERLINK("http://dx.doi.org/10.1002/2016JF003932","http://dx.doi.org/10.1002/2016JF003932")</f>
        <v>http://dx.doi.org/10.1002/2016JF003932</v>
      </c>
      <c r="BG591" t="s">
        <v>74</v>
      </c>
      <c r="BH591" t="s">
        <v>74</v>
      </c>
      <c r="BI591">
        <v>21</v>
      </c>
      <c r="BJ591" t="s">
        <v>669</v>
      </c>
      <c r="BK591" t="s">
        <v>101</v>
      </c>
      <c r="BL591" t="s">
        <v>670</v>
      </c>
      <c r="BM591" t="s">
        <v>8297</v>
      </c>
      <c r="BN591" t="s">
        <v>74</v>
      </c>
      <c r="BO591" t="s">
        <v>11194</v>
      </c>
      <c r="BP591" t="s">
        <v>74</v>
      </c>
      <c r="BQ591" t="s">
        <v>74</v>
      </c>
      <c r="BR591" t="s">
        <v>105</v>
      </c>
      <c r="BS591" t="s">
        <v>11229</v>
      </c>
      <c r="BT591" t="str">
        <f>HYPERLINK("https%3A%2F%2Fwww.webofscience.com%2Fwos%2Fwoscc%2Ffull-record%2FWOS:000394904900022","View Full Record in Web of Science")</f>
        <v>View Full Record in Web of Science</v>
      </c>
    </row>
    <row r="592" spans="1:72" x14ac:dyDescent="0.15">
      <c r="A592" t="s">
        <v>72</v>
      </c>
      <c r="B592" t="s">
        <v>11230</v>
      </c>
      <c r="C592" t="s">
        <v>74</v>
      </c>
      <c r="D592" t="s">
        <v>74</v>
      </c>
      <c r="E592" t="s">
        <v>74</v>
      </c>
      <c r="F592" t="s">
        <v>11231</v>
      </c>
      <c r="G592" t="s">
        <v>74</v>
      </c>
      <c r="H592" t="s">
        <v>74</v>
      </c>
      <c r="I592" t="s">
        <v>11232</v>
      </c>
      <c r="J592" t="s">
        <v>8354</v>
      </c>
      <c r="K592" t="s">
        <v>74</v>
      </c>
      <c r="L592" t="s">
        <v>74</v>
      </c>
      <c r="M592" t="s">
        <v>78</v>
      </c>
      <c r="N592" t="s">
        <v>79</v>
      </c>
      <c r="O592" t="s">
        <v>74</v>
      </c>
      <c r="P592" t="s">
        <v>74</v>
      </c>
      <c r="Q592" t="s">
        <v>74</v>
      </c>
      <c r="R592" t="s">
        <v>74</v>
      </c>
      <c r="S592" t="s">
        <v>74</v>
      </c>
      <c r="T592" t="s">
        <v>11233</v>
      </c>
      <c r="U592" t="s">
        <v>11234</v>
      </c>
      <c r="V592" t="s">
        <v>11235</v>
      </c>
      <c r="W592" t="s">
        <v>11236</v>
      </c>
      <c r="X592" t="s">
        <v>11237</v>
      </c>
      <c r="Y592" t="s">
        <v>11238</v>
      </c>
      <c r="Z592" t="s">
        <v>11239</v>
      </c>
      <c r="AA592" t="s">
        <v>11240</v>
      </c>
      <c r="AB592" t="s">
        <v>11241</v>
      </c>
      <c r="AC592" t="s">
        <v>11242</v>
      </c>
      <c r="AD592" t="s">
        <v>11243</v>
      </c>
      <c r="AE592" t="s">
        <v>11244</v>
      </c>
      <c r="AF592" t="s">
        <v>74</v>
      </c>
      <c r="AG592">
        <v>80</v>
      </c>
      <c r="AH592">
        <v>20</v>
      </c>
      <c r="AI592">
        <v>21</v>
      </c>
      <c r="AJ592">
        <v>5</v>
      </c>
      <c r="AK592">
        <v>60</v>
      </c>
      <c r="AL592" t="s">
        <v>661</v>
      </c>
      <c r="AM592" t="s">
        <v>142</v>
      </c>
      <c r="AN592" t="s">
        <v>662</v>
      </c>
      <c r="AO592" t="s">
        <v>8366</v>
      </c>
      <c r="AP592" t="s">
        <v>8367</v>
      </c>
      <c r="AQ592" t="s">
        <v>74</v>
      </c>
      <c r="AR592" t="s">
        <v>8368</v>
      </c>
      <c r="AS592" t="s">
        <v>8369</v>
      </c>
      <c r="AT592" t="s">
        <v>2136</v>
      </c>
      <c r="AU592">
        <v>2017</v>
      </c>
      <c r="AV592">
        <v>122</v>
      </c>
      <c r="AW592">
        <v>1</v>
      </c>
      <c r="AX592" t="s">
        <v>74</v>
      </c>
      <c r="AY592" t="s">
        <v>74</v>
      </c>
      <c r="AZ592" t="s">
        <v>74</v>
      </c>
      <c r="BA592" t="s">
        <v>74</v>
      </c>
      <c r="BB592">
        <v>508</v>
      </c>
      <c r="BC592">
        <v>520</v>
      </c>
      <c r="BD592" t="s">
        <v>74</v>
      </c>
      <c r="BE592" t="s">
        <v>11245</v>
      </c>
      <c r="BF592" t="str">
        <f>HYPERLINK("http://dx.doi.org/10.1002/2016JC012301","http://dx.doi.org/10.1002/2016JC012301")</f>
        <v>http://dx.doi.org/10.1002/2016JC012301</v>
      </c>
      <c r="BG592" t="s">
        <v>74</v>
      </c>
      <c r="BH592" t="s">
        <v>74</v>
      </c>
      <c r="BI592">
        <v>13</v>
      </c>
      <c r="BJ592" t="s">
        <v>2164</v>
      </c>
      <c r="BK592" t="s">
        <v>101</v>
      </c>
      <c r="BL592" t="s">
        <v>2164</v>
      </c>
      <c r="BM592" t="s">
        <v>8371</v>
      </c>
      <c r="BN592" t="s">
        <v>74</v>
      </c>
      <c r="BO592" t="s">
        <v>506</v>
      </c>
      <c r="BP592" t="s">
        <v>74</v>
      </c>
      <c r="BQ592" t="s">
        <v>74</v>
      </c>
      <c r="BR592" t="s">
        <v>105</v>
      </c>
      <c r="BS592" t="s">
        <v>11246</v>
      </c>
      <c r="BT592" t="str">
        <f>HYPERLINK("https%3A%2F%2Fwww.webofscience.com%2Fwos%2Fwoscc%2Ffull-record%2FWOS:000394996400030","View Full Record in Web of Science")</f>
        <v>View Full Record in Web of Science</v>
      </c>
    </row>
    <row r="593" spans="1:72" x14ac:dyDescent="0.15">
      <c r="A593" t="s">
        <v>72</v>
      </c>
      <c r="B593" t="s">
        <v>11247</v>
      </c>
      <c r="C593" t="s">
        <v>74</v>
      </c>
      <c r="D593" t="s">
        <v>74</v>
      </c>
      <c r="E593" t="s">
        <v>74</v>
      </c>
      <c r="F593" t="s">
        <v>11248</v>
      </c>
      <c r="G593" t="s">
        <v>74</v>
      </c>
      <c r="H593" t="s">
        <v>74</v>
      </c>
      <c r="I593" t="s">
        <v>11249</v>
      </c>
      <c r="J593" t="s">
        <v>8354</v>
      </c>
      <c r="K593" t="s">
        <v>74</v>
      </c>
      <c r="L593" t="s">
        <v>74</v>
      </c>
      <c r="M593" t="s">
        <v>78</v>
      </c>
      <c r="N593" t="s">
        <v>79</v>
      </c>
      <c r="O593" t="s">
        <v>74</v>
      </c>
      <c r="P593" t="s">
        <v>74</v>
      </c>
      <c r="Q593" t="s">
        <v>74</v>
      </c>
      <c r="R593" t="s">
        <v>74</v>
      </c>
      <c r="S593" t="s">
        <v>74</v>
      </c>
      <c r="T593" t="s">
        <v>11250</v>
      </c>
      <c r="U593" t="s">
        <v>11251</v>
      </c>
      <c r="V593" t="s">
        <v>11252</v>
      </c>
      <c r="W593" t="s">
        <v>11253</v>
      </c>
      <c r="X593" t="s">
        <v>11254</v>
      </c>
      <c r="Y593" t="s">
        <v>11255</v>
      </c>
      <c r="Z593" t="s">
        <v>11256</v>
      </c>
      <c r="AA593" t="s">
        <v>11257</v>
      </c>
      <c r="AB593" t="s">
        <v>11258</v>
      </c>
      <c r="AC593" t="s">
        <v>11259</v>
      </c>
      <c r="AD593" t="s">
        <v>11260</v>
      </c>
      <c r="AE593" t="s">
        <v>11261</v>
      </c>
      <c r="AF593" t="s">
        <v>74</v>
      </c>
      <c r="AG593">
        <v>39</v>
      </c>
      <c r="AH593">
        <v>8</v>
      </c>
      <c r="AI593">
        <v>8</v>
      </c>
      <c r="AJ593">
        <v>1</v>
      </c>
      <c r="AK593">
        <v>6</v>
      </c>
      <c r="AL593" t="s">
        <v>661</v>
      </c>
      <c r="AM593" t="s">
        <v>142</v>
      </c>
      <c r="AN593" t="s">
        <v>662</v>
      </c>
      <c r="AO593" t="s">
        <v>8366</v>
      </c>
      <c r="AP593" t="s">
        <v>8367</v>
      </c>
      <c r="AQ593" t="s">
        <v>74</v>
      </c>
      <c r="AR593" t="s">
        <v>8368</v>
      </c>
      <c r="AS593" t="s">
        <v>8369</v>
      </c>
      <c r="AT593" t="s">
        <v>2136</v>
      </c>
      <c r="AU593">
        <v>2017</v>
      </c>
      <c r="AV593">
        <v>122</v>
      </c>
      <c r="AW593">
        <v>1</v>
      </c>
      <c r="AX593" t="s">
        <v>74</v>
      </c>
      <c r="AY593" t="s">
        <v>74</v>
      </c>
      <c r="AZ593" t="s">
        <v>74</v>
      </c>
      <c r="BA593" t="s">
        <v>74</v>
      </c>
      <c r="BB593">
        <v>713</v>
      </c>
      <c r="BC593">
        <v>725</v>
      </c>
      <c r="BD593" t="s">
        <v>74</v>
      </c>
      <c r="BE593" t="s">
        <v>11262</v>
      </c>
      <c r="BF593" t="str">
        <f>HYPERLINK("http://dx.doi.org/10.1002/2016JC012452","http://dx.doi.org/10.1002/2016JC012452")</f>
        <v>http://dx.doi.org/10.1002/2016JC012452</v>
      </c>
      <c r="BG593" t="s">
        <v>74</v>
      </c>
      <c r="BH593" t="s">
        <v>74</v>
      </c>
      <c r="BI593">
        <v>13</v>
      </c>
      <c r="BJ593" t="s">
        <v>2164</v>
      </c>
      <c r="BK593" t="s">
        <v>101</v>
      </c>
      <c r="BL593" t="s">
        <v>2164</v>
      </c>
      <c r="BM593" t="s">
        <v>8371</v>
      </c>
      <c r="BN593" t="s">
        <v>74</v>
      </c>
      <c r="BO593" t="s">
        <v>11263</v>
      </c>
      <c r="BP593" t="s">
        <v>74</v>
      </c>
      <c r="BQ593" t="s">
        <v>74</v>
      </c>
      <c r="BR593" t="s">
        <v>105</v>
      </c>
      <c r="BS593" t="s">
        <v>11264</v>
      </c>
      <c r="BT593" t="str">
        <f>HYPERLINK("https%3A%2F%2Fwww.webofscience.com%2Fwos%2Fwoscc%2Ffull-record%2FWOS:000394996400042","View Full Record in Web of Science")</f>
        <v>View Full Record in Web of Science</v>
      </c>
    </row>
    <row r="594" spans="1:72" x14ac:dyDescent="0.15">
      <c r="A594" t="s">
        <v>72</v>
      </c>
      <c r="B594" t="s">
        <v>11265</v>
      </c>
      <c r="C594" t="s">
        <v>74</v>
      </c>
      <c r="D594" t="s">
        <v>74</v>
      </c>
      <c r="E594" t="s">
        <v>74</v>
      </c>
      <c r="F594" t="s">
        <v>11266</v>
      </c>
      <c r="G594" t="s">
        <v>74</v>
      </c>
      <c r="H594" t="s">
        <v>74</v>
      </c>
      <c r="I594" t="s">
        <v>11267</v>
      </c>
      <c r="J594" t="s">
        <v>2617</v>
      </c>
      <c r="K594" t="s">
        <v>74</v>
      </c>
      <c r="L594" t="s">
        <v>74</v>
      </c>
      <c r="M594" t="s">
        <v>78</v>
      </c>
      <c r="N594" t="s">
        <v>79</v>
      </c>
      <c r="O594" t="s">
        <v>74</v>
      </c>
      <c r="P594" t="s">
        <v>74</v>
      </c>
      <c r="Q594" t="s">
        <v>74</v>
      </c>
      <c r="R594" t="s">
        <v>74</v>
      </c>
      <c r="S594" t="s">
        <v>74</v>
      </c>
      <c r="T594" t="s">
        <v>11268</v>
      </c>
      <c r="U594" t="s">
        <v>11269</v>
      </c>
      <c r="V594" t="s">
        <v>11270</v>
      </c>
      <c r="W594" t="s">
        <v>11271</v>
      </c>
      <c r="X594" t="s">
        <v>11272</v>
      </c>
      <c r="Y594" t="s">
        <v>11273</v>
      </c>
      <c r="Z594" t="s">
        <v>11274</v>
      </c>
      <c r="AA594" t="s">
        <v>11275</v>
      </c>
      <c r="AB594" t="s">
        <v>11276</v>
      </c>
      <c r="AC594" t="s">
        <v>11277</v>
      </c>
      <c r="AD594" t="s">
        <v>11278</v>
      </c>
      <c r="AE594" t="s">
        <v>11279</v>
      </c>
      <c r="AF594" t="s">
        <v>74</v>
      </c>
      <c r="AG594">
        <v>53</v>
      </c>
      <c r="AH594">
        <v>32</v>
      </c>
      <c r="AI594">
        <v>34</v>
      </c>
      <c r="AJ594">
        <v>1</v>
      </c>
      <c r="AK594">
        <v>6</v>
      </c>
      <c r="AL594" t="s">
        <v>661</v>
      </c>
      <c r="AM594" t="s">
        <v>142</v>
      </c>
      <c r="AN594" t="s">
        <v>662</v>
      </c>
      <c r="AO594" t="s">
        <v>2630</v>
      </c>
      <c r="AP594" t="s">
        <v>2631</v>
      </c>
      <c r="AQ594" t="s">
        <v>74</v>
      </c>
      <c r="AR594" t="s">
        <v>2632</v>
      </c>
      <c r="AS594" t="s">
        <v>2633</v>
      </c>
      <c r="AT594" t="s">
        <v>74</v>
      </c>
      <c r="AU594">
        <v>2017</v>
      </c>
      <c r="AV594">
        <v>122</v>
      </c>
      <c r="AW594">
        <v>1</v>
      </c>
      <c r="AX594" t="s">
        <v>74</v>
      </c>
      <c r="AY594" t="s">
        <v>74</v>
      </c>
      <c r="AZ594" t="s">
        <v>74</v>
      </c>
      <c r="BA594" t="s">
        <v>74</v>
      </c>
      <c r="BB594">
        <v>417</v>
      </c>
      <c r="BC594">
        <v>431</v>
      </c>
      <c r="BD594" t="s">
        <v>74</v>
      </c>
      <c r="BE594" t="s">
        <v>11280</v>
      </c>
      <c r="BF594" t="str">
        <f>HYPERLINK("http://dx.doi.org/10.1002/2016JA023018","http://dx.doi.org/10.1002/2016JA023018")</f>
        <v>http://dx.doi.org/10.1002/2016JA023018</v>
      </c>
      <c r="BG594" t="s">
        <v>74</v>
      </c>
      <c r="BH594" t="s">
        <v>74</v>
      </c>
      <c r="BI594">
        <v>15</v>
      </c>
      <c r="BJ594" t="s">
        <v>2635</v>
      </c>
      <c r="BK594" t="s">
        <v>101</v>
      </c>
      <c r="BL594" t="s">
        <v>2635</v>
      </c>
      <c r="BM594" t="s">
        <v>2636</v>
      </c>
      <c r="BN594" t="s">
        <v>74</v>
      </c>
      <c r="BO594" t="s">
        <v>506</v>
      </c>
      <c r="BP594" t="s">
        <v>74</v>
      </c>
      <c r="BQ594" t="s">
        <v>74</v>
      </c>
      <c r="BR594" t="s">
        <v>105</v>
      </c>
      <c r="BS594" t="s">
        <v>11281</v>
      </c>
      <c r="BT594" t="str">
        <f>HYPERLINK("https%3A%2F%2Fwww.webofscience.com%2Fwos%2Fwoscc%2Ffull-record%2FWOS:000395655800031","View Full Record in Web of Science")</f>
        <v>View Full Record in Web of Science</v>
      </c>
    </row>
    <row r="595" spans="1:72" x14ac:dyDescent="0.15">
      <c r="A595" t="s">
        <v>72</v>
      </c>
      <c r="B595" t="s">
        <v>11282</v>
      </c>
      <c r="C595" t="s">
        <v>74</v>
      </c>
      <c r="D595" t="s">
        <v>74</v>
      </c>
      <c r="E595" t="s">
        <v>74</v>
      </c>
      <c r="F595" t="s">
        <v>11283</v>
      </c>
      <c r="G595" t="s">
        <v>74</v>
      </c>
      <c r="H595" t="s">
        <v>74</v>
      </c>
      <c r="I595" t="s">
        <v>11284</v>
      </c>
      <c r="J595" t="s">
        <v>2617</v>
      </c>
      <c r="K595" t="s">
        <v>74</v>
      </c>
      <c r="L595" t="s">
        <v>74</v>
      </c>
      <c r="M595" t="s">
        <v>78</v>
      </c>
      <c r="N595" t="s">
        <v>79</v>
      </c>
      <c r="O595" t="s">
        <v>74</v>
      </c>
      <c r="P595" t="s">
        <v>74</v>
      </c>
      <c r="Q595" t="s">
        <v>74</v>
      </c>
      <c r="R595" t="s">
        <v>74</v>
      </c>
      <c r="S595" t="s">
        <v>74</v>
      </c>
      <c r="T595" t="s">
        <v>11285</v>
      </c>
      <c r="U595" t="s">
        <v>11286</v>
      </c>
      <c r="V595" t="s">
        <v>11287</v>
      </c>
      <c r="W595" t="s">
        <v>11288</v>
      </c>
      <c r="X595" t="s">
        <v>11289</v>
      </c>
      <c r="Y595" t="s">
        <v>11290</v>
      </c>
      <c r="Z595" t="s">
        <v>11291</v>
      </c>
      <c r="AA595" t="s">
        <v>11292</v>
      </c>
      <c r="AB595" t="s">
        <v>11293</v>
      </c>
      <c r="AC595" t="s">
        <v>11294</v>
      </c>
      <c r="AD595" t="s">
        <v>11295</v>
      </c>
      <c r="AE595" t="s">
        <v>11296</v>
      </c>
      <c r="AF595" t="s">
        <v>74</v>
      </c>
      <c r="AG595">
        <v>35</v>
      </c>
      <c r="AH595">
        <v>29</v>
      </c>
      <c r="AI595">
        <v>33</v>
      </c>
      <c r="AJ595">
        <v>0</v>
      </c>
      <c r="AK595">
        <v>13</v>
      </c>
      <c r="AL595" t="s">
        <v>661</v>
      </c>
      <c r="AM595" t="s">
        <v>142</v>
      </c>
      <c r="AN595" t="s">
        <v>662</v>
      </c>
      <c r="AO595" t="s">
        <v>2630</v>
      </c>
      <c r="AP595" t="s">
        <v>2631</v>
      </c>
      <c r="AQ595" t="s">
        <v>74</v>
      </c>
      <c r="AR595" t="s">
        <v>2632</v>
      </c>
      <c r="AS595" t="s">
        <v>2633</v>
      </c>
      <c r="AT595" t="s">
        <v>74</v>
      </c>
      <c r="AU595">
        <v>2017</v>
      </c>
      <c r="AV595">
        <v>122</v>
      </c>
      <c r="AW595">
        <v>1</v>
      </c>
      <c r="AX595" t="s">
        <v>74</v>
      </c>
      <c r="AY595" t="s">
        <v>74</v>
      </c>
      <c r="AZ595" t="s">
        <v>74</v>
      </c>
      <c r="BA595" t="s">
        <v>74</v>
      </c>
      <c r="BB595">
        <v>534</v>
      </c>
      <c r="BC595">
        <v>546</v>
      </c>
      <c r="BD595" t="s">
        <v>74</v>
      </c>
      <c r="BE595" t="s">
        <v>11297</v>
      </c>
      <c r="BF595" t="str">
        <f>HYPERLINK("http://dx.doi.org/10.1002/2016JA022812","http://dx.doi.org/10.1002/2016JA022812")</f>
        <v>http://dx.doi.org/10.1002/2016JA022812</v>
      </c>
      <c r="BG595" t="s">
        <v>74</v>
      </c>
      <c r="BH595" t="s">
        <v>74</v>
      </c>
      <c r="BI595">
        <v>13</v>
      </c>
      <c r="BJ595" t="s">
        <v>2635</v>
      </c>
      <c r="BK595" t="s">
        <v>101</v>
      </c>
      <c r="BL595" t="s">
        <v>2635</v>
      </c>
      <c r="BM595" t="s">
        <v>2636</v>
      </c>
      <c r="BN595" t="s">
        <v>74</v>
      </c>
      <c r="BO595" t="s">
        <v>1223</v>
      </c>
      <c r="BP595" t="s">
        <v>74</v>
      </c>
      <c r="BQ595" t="s">
        <v>74</v>
      </c>
      <c r="BR595" t="s">
        <v>105</v>
      </c>
      <c r="BS595" t="s">
        <v>11298</v>
      </c>
      <c r="BT595" t="str">
        <f>HYPERLINK("https%3A%2F%2Fwww.webofscience.com%2Fwos%2Fwoscc%2Ffull-record%2FWOS:000395655800039","View Full Record in Web of Science")</f>
        <v>View Full Record in Web of Science</v>
      </c>
    </row>
    <row r="596" spans="1:72" x14ac:dyDescent="0.15">
      <c r="A596" t="s">
        <v>72</v>
      </c>
      <c r="B596" t="s">
        <v>11299</v>
      </c>
      <c r="C596" t="s">
        <v>74</v>
      </c>
      <c r="D596" t="s">
        <v>74</v>
      </c>
      <c r="E596" t="s">
        <v>74</v>
      </c>
      <c r="F596" t="s">
        <v>11300</v>
      </c>
      <c r="G596" t="s">
        <v>74</v>
      </c>
      <c r="H596" t="s">
        <v>74</v>
      </c>
      <c r="I596" t="s">
        <v>11301</v>
      </c>
      <c r="J596" t="s">
        <v>11302</v>
      </c>
      <c r="K596" t="s">
        <v>74</v>
      </c>
      <c r="L596" t="s">
        <v>74</v>
      </c>
      <c r="M596" t="s">
        <v>78</v>
      </c>
      <c r="N596" t="s">
        <v>79</v>
      </c>
      <c r="O596" t="s">
        <v>74</v>
      </c>
      <c r="P596" t="s">
        <v>74</v>
      </c>
      <c r="Q596" t="s">
        <v>74</v>
      </c>
      <c r="R596" t="s">
        <v>74</v>
      </c>
      <c r="S596" t="s">
        <v>74</v>
      </c>
      <c r="T596" t="s">
        <v>11303</v>
      </c>
      <c r="U596" t="s">
        <v>11304</v>
      </c>
      <c r="V596" t="s">
        <v>11305</v>
      </c>
      <c r="W596" t="s">
        <v>11306</v>
      </c>
      <c r="X596" t="s">
        <v>11307</v>
      </c>
      <c r="Y596" t="s">
        <v>11308</v>
      </c>
      <c r="Z596" t="s">
        <v>11309</v>
      </c>
      <c r="AA596" t="s">
        <v>11310</v>
      </c>
      <c r="AB596" t="s">
        <v>11311</v>
      </c>
      <c r="AC596" t="s">
        <v>11312</v>
      </c>
      <c r="AD596" t="s">
        <v>11312</v>
      </c>
      <c r="AE596" t="s">
        <v>11313</v>
      </c>
      <c r="AF596" t="s">
        <v>74</v>
      </c>
      <c r="AG596">
        <v>23</v>
      </c>
      <c r="AH596">
        <v>7</v>
      </c>
      <c r="AI596">
        <v>9</v>
      </c>
      <c r="AJ596">
        <v>0</v>
      </c>
      <c r="AK596">
        <v>2</v>
      </c>
      <c r="AL596" t="s">
        <v>264</v>
      </c>
      <c r="AM596" t="s">
        <v>169</v>
      </c>
      <c r="AN596" t="s">
        <v>265</v>
      </c>
      <c r="AO596" t="s">
        <v>11314</v>
      </c>
      <c r="AP596" t="s">
        <v>11315</v>
      </c>
      <c r="AQ596" t="s">
        <v>74</v>
      </c>
      <c r="AR596" t="s">
        <v>11316</v>
      </c>
      <c r="AS596" t="s">
        <v>11317</v>
      </c>
      <c r="AT596" t="s">
        <v>2136</v>
      </c>
      <c r="AU596">
        <v>2017</v>
      </c>
      <c r="AV596">
        <v>29</v>
      </c>
      <c r="AW596">
        <v>1</v>
      </c>
      <c r="AX596" t="s">
        <v>74</v>
      </c>
      <c r="AY596" t="s">
        <v>74</v>
      </c>
      <c r="AZ596" t="s">
        <v>74</v>
      </c>
      <c r="BA596" t="s">
        <v>74</v>
      </c>
      <c r="BB596">
        <v>28</v>
      </c>
      <c r="BC596">
        <v>31</v>
      </c>
      <c r="BD596" t="s">
        <v>74</v>
      </c>
      <c r="BE596" t="s">
        <v>11318</v>
      </c>
      <c r="BF596" t="str">
        <f>HYPERLINK("http://dx.doi.org/10.1016/j.jksus.2016.07.003","http://dx.doi.org/10.1016/j.jksus.2016.07.003")</f>
        <v>http://dx.doi.org/10.1016/j.jksus.2016.07.003</v>
      </c>
      <c r="BG596" t="s">
        <v>74</v>
      </c>
      <c r="BH596" t="s">
        <v>74</v>
      </c>
      <c r="BI596">
        <v>4</v>
      </c>
      <c r="BJ596" t="s">
        <v>100</v>
      </c>
      <c r="BK596" t="s">
        <v>101</v>
      </c>
      <c r="BL596" t="s">
        <v>102</v>
      </c>
      <c r="BM596" t="s">
        <v>11319</v>
      </c>
      <c r="BN596" t="s">
        <v>74</v>
      </c>
      <c r="BO596" t="s">
        <v>941</v>
      </c>
      <c r="BP596" t="s">
        <v>74</v>
      </c>
      <c r="BQ596" t="s">
        <v>74</v>
      </c>
      <c r="BR596" t="s">
        <v>105</v>
      </c>
      <c r="BS596" t="s">
        <v>11320</v>
      </c>
      <c r="BT596" t="str">
        <f>HYPERLINK("https%3A%2F%2Fwww.webofscience.com%2Fwos%2Fwoscc%2Ffull-record%2FWOS:000456304200003","View Full Record in Web of Science")</f>
        <v>View Full Record in Web of Science</v>
      </c>
    </row>
    <row r="597" spans="1:72" x14ac:dyDescent="0.15">
      <c r="A597" t="s">
        <v>72</v>
      </c>
      <c r="B597" t="s">
        <v>11321</v>
      </c>
      <c r="C597" t="s">
        <v>74</v>
      </c>
      <c r="D597" t="s">
        <v>74</v>
      </c>
      <c r="E597" t="s">
        <v>74</v>
      </c>
      <c r="F597" t="s">
        <v>11322</v>
      </c>
      <c r="G597" t="s">
        <v>74</v>
      </c>
      <c r="H597" t="s">
        <v>74</v>
      </c>
      <c r="I597" t="s">
        <v>11323</v>
      </c>
      <c r="J597" t="s">
        <v>8783</v>
      </c>
      <c r="K597" t="s">
        <v>74</v>
      </c>
      <c r="L597" t="s">
        <v>74</v>
      </c>
      <c r="M597" t="s">
        <v>78</v>
      </c>
      <c r="N597" t="s">
        <v>79</v>
      </c>
      <c r="O597" t="s">
        <v>74</v>
      </c>
      <c r="P597" t="s">
        <v>74</v>
      </c>
      <c r="Q597" t="s">
        <v>74</v>
      </c>
      <c r="R597" t="s">
        <v>74</v>
      </c>
      <c r="S597" t="s">
        <v>74</v>
      </c>
      <c r="T597" t="s">
        <v>74</v>
      </c>
      <c r="U597" t="s">
        <v>11324</v>
      </c>
      <c r="V597" t="s">
        <v>11325</v>
      </c>
      <c r="W597" t="s">
        <v>11326</v>
      </c>
      <c r="X597" t="s">
        <v>11327</v>
      </c>
      <c r="Y597" t="s">
        <v>11328</v>
      </c>
      <c r="Z597" t="s">
        <v>11329</v>
      </c>
      <c r="AA597" t="s">
        <v>11330</v>
      </c>
      <c r="AB597" t="s">
        <v>11331</v>
      </c>
      <c r="AC597" t="s">
        <v>11332</v>
      </c>
      <c r="AD597" t="s">
        <v>11333</v>
      </c>
      <c r="AE597" t="s">
        <v>11334</v>
      </c>
      <c r="AF597" t="s">
        <v>74</v>
      </c>
      <c r="AG597">
        <v>47</v>
      </c>
      <c r="AH597">
        <v>23</v>
      </c>
      <c r="AI597">
        <v>23</v>
      </c>
      <c r="AJ597">
        <v>1</v>
      </c>
      <c r="AK597">
        <v>22</v>
      </c>
      <c r="AL597" t="s">
        <v>2603</v>
      </c>
      <c r="AM597" t="s">
        <v>2604</v>
      </c>
      <c r="AN597" t="s">
        <v>2605</v>
      </c>
      <c r="AO597" t="s">
        <v>8794</v>
      </c>
      <c r="AP597" t="s">
        <v>8795</v>
      </c>
      <c r="AQ597" t="s">
        <v>74</v>
      </c>
      <c r="AR597" t="s">
        <v>8796</v>
      </c>
      <c r="AS597" t="s">
        <v>8797</v>
      </c>
      <c r="AT597" t="s">
        <v>2136</v>
      </c>
      <c r="AU597">
        <v>2017</v>
      </c>
      <c r="AV597">
        <v>47</v>
      </c>
      <c r="AW597">
        <v>1</v>
      </c>
      <c r="AX597" t="s">
        <v>74</v>
      </c>
      <c r="AY597" t="s">
        <v>74</v>
      </c>
      <c r="AZ597" t="s">
        <v>74</v>
      </c>
      <c r="BA597" t="s">
        <v>74</v>
      </c>
      <c r="BB597">
        <v>29</v>
      </c>
      <c r="BC597">
        <v>47</v>
      </c>
      <c r="BD597" t="s">
        <v>74</v>
      </c>
      <c r="BE597" t="s">
        <v>11335</v>
      </c>
      <c r="BF597" t="str">
        <f>HYPERLINK("http://dx.doi.org/10.1175/JPO-D-16-0083.1","http://dx.doi.org/10.1175/JPO-D-16-0083.1")</f>
        <v>http://dx.doi.org/10.1175/JPO-D-16-0083.1</v>
      </c>
      <c r="BG597" t="s">
        <v>74</v>
      </c>
      <c r="BH597" t="s">
        <v>74</v>
      </c>
      <c r="BI597">
        <v>19</v>
      </c>
      <c r="BJ597" t="s">
        <v>2164</v>
      </c>
      <c r="BK597" t="s">
        <v>101</v>
      </c>
      <c r="BL597" t="s">
        <v>2164</v>
      </c>
      <c r="BM597" t="s">
        <v>8799</v>
      </c>
      <c r="BN597" t="s">
        <v>74</v>
      </c>
      <c r="BO597" t="s">
        <v>11336</v>
      </c>
      <c r="BP597" t="s">
        <v>74</v>
      </c>
      <c r="BQ597" t="s">
        <v>74</v>
      </c>
      <c r="BR597" t="s">
        <v>105</v>
      </c>
      <c r="BS597" t="s">
        <v>11337</v>
      </c>
      <c r="BT597" t="str">
        <f>HYPERLINK("https%3A%2F%2Fwww.webofscience.com%2Fwos%2Fwoscc%2Ffull-record%2FWOS:000393300700003","View Full Record in Web of Science")</f>
        <v>View Full Record in Web of Science</v>
      </c>
    </row>
    <row r="598" spans="1:72" x14ac:dyDescent="0.15">
      <c r="A598" t="s">
        <v>72</v>
      </c>
      <c r="B598" t="s">
        <v>11338</v>
      </c>
      <c r="C598" t="s">
        <v>74</v>
      </c>
      <c r="D598" t="s">
        <v>74</v>
      </c>
      <c r="E598" t="s">
        <v>74</v>
      </c>
      <c r="F598" t="s">
        <v>11339</v>
      </c>
      <c r="G598" t="s">
        <v>74</v>
      </c>
      <c r="H598" t="s">
        <v>74</v>
      </c>
      <c r="I598" t="s">
        <v>11340</v>
      </c>
      <c r="J598" t="s">
        <v>11341</v>
      </c>
      <c r="K598" t="s">
        <v>74</v>
      </c>
      <c r="L598" t="s">
        <v>74</v>
      </c>
      <c r="M598" t="s">
        <v>78</v>
      </c>
      <c r="N598" t="s">
        <v>2034</v>
      </c>
      <c r="O598" t="s">
        <v>74</v>
      </c>
      <c r="P598" t="s">
        <v>74</v>
      </c>
      <c r="Q598" t="s">
        <v>74</v>
      </c>
      <c r="R598" t="s">
        <v>74</v>
      </c>
      <c r="S598" t="s">
        <v>74</v>
      </c>
      <c r="T598" t="s">
        <v>74</v>
      </c>
      <c r="U598" t="s">
        <v>11342</v>
      </c>
      <c r="V598" t="s">
        <v>11343</v>
      </c>
      <c r="W598" t="s">
        <v>11344</v>
      </c>
      <c r="X598" t="s">
        <v>11345</v>
      </c>
      <c r="Y598" t="s">
        <v>11346</v>
      </c>
      <c r="Z598" t="s">
        <v>11347</v>
      </c>
      <c r="AA598" t="s">
        <v>74</v>
      </c>
      <c r="AB598" t="s">
        <v>11348</v>
      </c>
      <c r="AC598" t="s">
        <v>11349</v>
      </c>
      <c r="AD598" t="s">
        <v>11350</v>
      </c>
      <c r="AE598" t="s">
        <v>11351</v>
      </c>
      <c r="AF598" t="s">
        <v>74</v>
      </c>
      <c r="AG598">
        <v>75</v>
      </c>
      <c r="AH598">
        <v>24</v>
      </c>
      <c r="AI598">
        <v>25</v>
      </c>
      <c r="AJ598">
        <v>1</v>
      </c>
      <c r="AK598">
        <v>15</v>
      </c>
      <c r="AL598" t="s">
        <v>11352</v>
      </c>
      <c r="AM598" t="s">
        <v>6777</v>
      </c>
      <c r="AN598" t="s">
        <v>11353</v>
      </c>
      <c r="AO598" t="s">
        <v>11354</v>
      </c>
      <c r="AP598" t="s">
        <v>11355</v>
      </c>
      <c r="AQ598" t="s">
        <v>74</v>
      </c>
      <c r="AR598" t="s">
        <v>11356</v>
      </c>
      <c r="AS598" t="s">
        <v>11357</v>
      </c>
      <c r="AT598" t="s">
        <v>2136</v>
      </c>
      <c r="AU598">
        <v>2017</v>
      </c>
      <c r="AV598">
        <v>174</v>
      </c>
      <c r="AW598">
        <v>1</v>
      </c>
      <c r="AX598" t="s">
        <v>74</v>
      </c>
      <c r="AY598" t="s">
        <v>74</v>
      </c>
      <c r="AZ598" t="s">
        <v>74</v>
      </c>
      <c r="BA598" t="s">
        <v>74</v>
      </c>
      <c r="BB598">
        <v>1</v>
      </c>
      <c r="BC598">
        <v>9</v>
      </c>
      <c r="BD598" t="s">
        <v>74</v>
      </c>
      <c r="BE598" t="s">
        <v>11358</v>
      </c>
      <c r="BF598" t="str">
        <f>HYPERLINK("http://dx.doi.org/10.1144/jgs2016-076","http://dx.doi.org/10.1144/jgs2016-076")</f>
        <v>http://dx.doi.org/10.1144/jgs2016-076</v>
      </c>
      <c r="BG598" t="s">
        <v>74</v>
      </c>
      <c r="BH598" t="s">
        <v>74</v>
      </c>
      <c r="BI598">
        <v>9</v>
      </c>
      <c r="BJ598" t="s">
        <v>669</v>
      </c>
      <c r="BK598" t="s">
        <v>101</v>
      </c>
      <c r="BL598" t="s">
        <v>670</v>
      </c>
      <c r="BM598" t="s">
        <v>11359</v>
      </c>
      <c r="BN598" t="s">
        <v>74</v>
      </c>
      <c r="BO598" t="s">
        <v>1591</v>
      </c>
      <c r="BP598" t="s">
        <v>74</v>
      </c>
      <c r="BQ598" t="s">
        <v>74</v>
      </c>
      <c r="BR598" t="s">
        <v>105</v>
      </c>
      <c r="BS598" t="s">
        <v>11360</v>
      </c>
      <c r="BT598" t="str">
        <f>HYPERLINK("https%3A%2F%2Fwww.webofscience.com%2Fwos%2Fwoscc%2Ffull-record%2FWOS:000395862600001","View Full Record in Web of Science")</f>
        <v>View Full Record in Web of Science</v>
      </c>
    </row>
    <row r="599" spans="1:72" x14ac:dyDescent="0.15">
      <c r="A599" t="s">
        <v>72</v>
      </c>
      <c r="B599" t="s">
        <v>11361</v>
      </c>
      <c r="C599" t="s">
        <v>74</v>
      </c>
      <c r="D599" t="s">
        <v>74</v>
      </c>
      <c r="E599" t="s">
        <v>74</v>
      </c>
      <c r="F599" t="s">
        <v>11362</v>
      </c>
      <c r="G599" t="s">
        <v>74</v>
      </c>
      <c r="H599" t="s">
        <v>74</v>
      </c>
      <c r="I599" t="s">
        <v>11363</v>
      </c>
      <c r="J599" t="s">
        <v>11341</v>
      </c>
      <c r="K599" t="s">
        <v>74</v>
      </c>
      <c r="L599" t="s">
        <v>74</v>
      </c>
      <c r="M599" t="s">
        <v>78</v>
      </c>
      <c r="N599" t="s">
        <v>79</v>
      </c>
      <c r="O599" t="s">
        <v>74</v>
      </c>
      <c r="P599" t="s">
        <v>74</v>
      </c>
      <c r="Q599" t="s">
        <v>74</v>
      </c>
      <c r="R599" t="s">
        <v>74</v>
      </c>
      <c r="S599" t="s">
        <v>74</v>
      </c>
      <c r="T599" t="s">
        <v>74</v>
      </c>
      <c r="U599" t="s">
        <v>11364</v>
      </c>
      <c r="V599" t="s">
        <v>11365</v>
      </c>
      <c r="W599" t="s">
        <v>11366</v>
      </c>
      <c r="X599" t="s">
        <v>11367</v>
      </c>
      <c r="Y599" t="s">
        <v>11368</v>
      </c>
      <c r="Z599" t="s">
        <v>11369</v>
      </c>
      <c r="AA599" t="s">
        <v>11370</v>
      </c>
      <c r="AB599" t="s">
        <v>11371</v>
      </c>
      <c r="AC599" t="s">
        <v>11372</v>
      </c>
      <c r="AD599" t="s">
        <v>11373</v>
      </c>
      <c r="AE599" t="s">
        <v>11374</v>
      </c>
      <c r="AF599" t="s">
        <v>74</v>
      </c>
      <c r="AG599">
        <v>72</v>
      </c>
      <c r="AH599">
        <v>7</v>
      </c>
      <c r="AI599">
        <v>7</v>
      </c>
      <c r="AJ599">
        <v>0</v>
      </c>
      <c r="AK599">
        <v>7</v>
      </c>
      <c r="AL599" t="s">
        <v>11352</v>
      </c>
      <c r="AM599" t="s">
        <v>6777</v>
      </c>
      <c r="AN599" t="s">
        <v>11353</v>
      </c>
      <c r="AO599" t="s">
        <v>11354</v>
      </c>
      <c r="AP599" t="s">
        <v>11355</v>
      </c>
      <c r="AQ599" t="s">
        <v>74</v>
      </c>
      <c r="AR599" t="s">
        <v>11356</v>
      </c>
      <c r="AS599" t="s">
        <v>11357</v>
      </c>
      <c r="AT599" t="s">
        <v>2136</v>
      </c>
      <c r="AU599">
        <v>2017</v>
      </c>
      <c r="AV599">
        <v>174</v>
      </c>
      <c r="AW599">
        <v>1</v>
      </c>
      <c r="AX599" t="s">
        <v>74</v>
      </c>
      <c r="AY599" t="s">
        <v>74</v>
      </c>
      <c r="AZ599" t="s">
        <v>74</v>
      </c>
      <c r="BA599" t="s">
        <v>74</v>
      </c>
      <c r="BB599">
        <v>180</v>
      </c>
      <c r="BC599">
        <v>191</v>
      </c>
      <c r="BD599" t="s">
        <v>74</v>
      </c>
      <c r="BE599" t="s">
        <v>11375</v>
      </c>
      <c r="BF599" t="str">
        <f>HYPERLINK("http://dx.doi.org/10.1144/jgs2016-041","http://dx.doi.org/10.1144/jgs2016-041")</f>
        <v>http://dx.doi.org/10.1144/jgs2016-041</v>
      </c>
      <c r="BG599" t="s">
        <v>74</v>
      </c>
      <c r="BH599" t="s">
        <v>74</v>
      </c>
      <c r="BI599">
        <v>12</v>
      </c>
      <c r="BJ599" t="s">
        <v>669</v>
      </c>
      <c r="BK599" t="s">
        <v>101</v>
      </c>
      <c r="BL599" t="s">
        <v>670</v>
      </c>
      <c r="BM599" t="s">
        <v>11359</v>
      </c>
      <c r="BN599" t="s">
        <v>74</v>
      </c>
      <c r="BO599" t="s">
        <v>1223</v>
      </c>
      <c r="BP599" t="s">
        <v>74</v>
      </c>
      <c r="BQ599" t="s">
        <v>74</v>
      </c>
      <c r="BR599" t="s">
        <v>105</v>
      </c>
      <c r="BS599" t="s">
        <v>11376</v>
      </c>
      <c r="BT599" t="str">
        <f>HYPERLINK("https%3A%2F%2Fwww.webofscience.com%2Fwos%2Fwoscc%2Ffull-record%2FWOS:000395862600016","View Full Record in Web of Science")</f>
        <v>View Full Record in Web of Science</v>
      </c>
    </row>
    <row r="600" spans="1:72" x14ac:dyDescent="0.15">
      <c r="A600" t="s">
        <v>2331</v>
      </c>
      <c r="B600" t="s">
        <v>11377</v>
      </c>
      <c r="C600" t="s">
        <v>74</v>
      </c>
      <c r="D600" t="s">
        <v>11378</v>
      </c>
      <c r="E600" t="s">
        <v>74</v>
      </c>
      <c r="F600" t="s">
        <v>11379</v>
      </c>
      <c r="G600" t="s">
        <v>74</v>
      </c>
      <c r="H600" t="s">
        <v>74</v>
      </c>
      <c r="I600" t="s">
        <v>11380</v>
      </c>
      <c r="J600" t="s">
        <v>11381</v>
      </c>
      <c r="K600" t="s">
        <v>11382</v>
      </c>
      <c r="L600" t="s">
        <v>74</v>
      </c>
      <c r="M600" t="s">
        <v>78</v>
      </c>
      <c r="N600" t="s">
        <v>2067</v>
      </c>
      <c r="O600" t="s">
        <v>74</v>
      </c>
      <c r="P600" t="s">
        <v>74</v>
      </c>
      <c r="Q600" t="s">
        <v>74</v>
      </c>
      <c r="R600" t="s">
        <v>74</v>
      </c>
      <c r="S600" t="s">
        <v>74</v>
      </c>
      <c r="T600" t="s">
        <v>74</v>
      </c>
      <c r="U600" t="s">
        <v>11383</v>
      </c>
      <c r="V600" t="s">
        <v>74</v>
      </c>
      <c r="W600" t="s">
        <v>11384</v>
      </c>
      <c r="X600" t="s">
        <v>11385</v>
      </c>
      <c r="Y600" t="s">
        <v>11386</v>
      </c>
      <c r="Z600" t="s">
        <v>74</v>
      </c>
      <c r="AA600" t="s">
        <v>11387</v>
      </c>
      <c r="AB600" t="s">
        <v>11388</v>
      </c>
      <c r="AC600" t="s">
        <v>74</v>
      </c>
      <c r="AD600" t="s">
        <v>74</v>
      </c>
      <c r="AE600" t="s">
        <v>74</v>
      </c>
      <c r="AF600" t="s">
        <v>74</v>
      </c>
      <c r="AG600">
        <v>25</v>
      </c>
      <c r="AH600">
        <v>5</v>
      </c>
      <c r="AI600">
        <v>5</v>
      </c>
      <c r="AJ600">
        <v>0</v>
      </c>
      <c r="AK600">
        <v>1</v>
      </c>
      <c r="AL600" t="s">
        <v>10076</v>
      </c>
      <c r="AM600" t="s">
        <v>1910</v>
      </c>
      <c r="AN600" t="s">
        <v>10077</v>
      </c>
      <c r="AO600" t="s">
        <v>74</v>
      </c>
      <c r="AP600" t="s">
        <v>74</v>
      </c>
      <c r="AQ600" t="s">
        <v>11389</v>
      </c>
      <c r="AR600" t="s">
        <v>11390</v>
      </c>
      <c r="AS600" t="s">
        <v>74</v>
      </c>
      <c r="AT600" t="s">
        <v>74</v>
      </c>
      <c r="AU600">
        <v>2017</v>
      </c>
      <c r="AV600" t="s">
        <v>74</v>
      </c>
      <c r="AW600" t="s">
        <v>74</v>
      </c>
      <c r="AX600" t="s">
        <v>74</v>
      </c>
      <c r="AY600" t="s">
        <v>74</v>
      </c>
      <c r="AZ600" t="s">
        <v>74</v>
      </c>
      <c r="BA600" t="s">
        <v>74</v>
      </c>
      <c r="BB600">
        <v>257</v>
      </c>
      <c r="BC600">
        <v>275</v>
      </c>
      <c r="BD600" t="s">
        <v>74</v>
      </c>
      <c r="BE600" t="s">
        <v>74</v>
      </c>
      <c r="BF600" t="s">
        <v>74</v>
      </c>
      <c r="BG600" t="s">
        <v>74</v>
      </c>
      <c r="BH600" t="s">
        <v>74</v>
      </c>
      <c r="BI600">
        <v>19</v>
      </c>
      <c r="BJ600" t="s">
        <v>11391</v>
      </c>
      <c r="BK600" t="s">
        <v>3409</v>
      </c>
      <c r="BL600" t="s">
        <v>11392</v>
      </c>
      <c r="BM600" t="s">
        <v>11393</v>
      </c>
      <c r="BN600" t="s">
        <v>74</v>
      </c>
      <c r="BO600" t="s">
        <v>74</v>
      </c>
      <c r="BP600" t="s">
        <v>74</v>
      </c>
      <c r="BQ600" t="s">
        <v>74</v>
      </c>
      <c r="BR600" t="s">
        <v>105</v>
      </c>
      <c r="BS600" t="s">
        <v>11394</v>
      </c>
      <c r="BT600" t="str">
        <f>HYPERLINK("https%3A%2F%2Fwww.webofscience.com%2Fwos%2Fwoscc%2Ffull-record%2FWOS:000473603500018","View Full Record in Web of Science")</f>
        <v>View Full Record in Web of Science</v>
      </c>
    </row>
    <row r="601" spans="1:72" x14ac:dyDescent="0.15">
      <c r="A601" t="s">
        <v>1921</v>
      </c>
      <c r="B601" t="s">
        <v>11395</v>
      </c>
      <c r="C601" t="s">
        <v>74</v>
      </c>
      <c r="D601" t="s">
        <v>11396</v>
      </c>
      <c r="E601" t="s">
        <v>74</v>
      </c>
      <c r="F601" t="s">
        <v>11397</v>
      </c>
      <c r="G601" t="s">
        <v>74</v>
      </c>
      <c r="H601" t="s">
        <v>74</v>
      </c>
      <c r="I601" t="s">
        <v>11398</v>
      </c>
      <c r="J601" t="s">
        <v>11399</v>
      </c>
      <c r="K601" t="s">
        <v>11400</v>
      </c>
      <c r="L601" t="s">
        <v>74</v>
      </c>
      <c r="M601" t="s">
        <v>78</v>
      </c>
      <c r="N601" t="s">
        <v>2067</v>
      </c>
      <c r="O601" t="s">
        <v>74</v>
      </c>
      <c r="P601" t="s">
        <v>74</v>
      </c>
      <c r="Q601" t="s">
        <v>74</v>
      </c>
      <c r="R601" t="s">
        <v>74</v>
      </c>
      <c r="S601" t="s">
        <v>74</v>
      </c>
      <c r="T601" t="s">
        <v>11401</v>
      </c>
      <c r="U601" t="s">
        <v>11402</v>
      </c>
      <c r="V601" t="s">
        <v>11403</v>
      </c>
      <c r="W601" t="s">
        <v>11404</v>
      </c>
      <c r="X601" t="s">
        <v>11405</v>
      </c>
      <c r="Y601" t="s">
        <v>11406</v>
      </c>
      <c r="Z601" t="s">
        <v>11407</v>
      </c>
      <c r="AA601" t="s">
        <v>11408</v>
      </c>
      <c r="AB601" t="s">
        <v>11409</v>
      </c>
      <c r="AC601" t="s">
        <v>74</v>
      </c>
      <c r="AD601" t="s">
        <v>74</v>
      </c>
      <c r="AE601" t="s">
        <v>74</v>
      </c>
      <c r="AF601" t="s">
        <v>74</v>
      </c>
      <c r="AG601">
        <v>188</v>
      </c>
      <c r="AH601">
        <v>16</v>
      </c>
      <c r="AI601">
        <v>18</v>
      </c>
      <c r="AJ601">
        <v>5</v>
      </c>
      <c r="AK601">
        <v>29</v>
      </c>
      <c r="AL601" t="s">
        <v>2764</v>
      </c>
      <c r="AM601" t="s">
        <v>583</v>
      </c>
      <c r="AN601" t="s">
        <v>2765</v>
      </c>
      <c r="AO601" t="s">
        <v>11410</v>
      </c>
      <c r="AP601" t="s">
        <v>11411</v>
      </c>
      <c r="AQ601" t="s">
        <v>11412</v>
      </c>
      <c r="AR601" t="s">
        <v>11413</v>
      </c>
      <c r="AS601" t="s">
        <v>74</v>
      </c>
      <c r="AT601" t="s">
        <v>74</v>
      </c>
      <c r="AU601">
        <v>2017</v>
      </c>
      <c r="AV601">
        <v>17</v>
      </c>
      <c r="AW601" t="s">
        <v>74</v>
      </c>
      <c r="AX601" t="s">
        <v>74</v>
      </c>
      <c r="AY601" t="s">
        <v>74</v>
      </c>
      <c r="AZ601" t="s">
        <v>74</v>
      </c>
      <c r="BA601" t="s">
        <v>74</v>
      </c>
      <c r="BB601">
        <v>21</v>
      </c>
      <c r="BC601">
        <v>48</v>
      </c>
      <c r="BD601" t="s">
        <v>74</v>
      </c>
      <c r="BE601" t="s">
        <v>11414</v>
      </c>
      <c r="BF601" t="str">
        <f>HYPERLINK("http://dx.doi.org/10.1515/9783110434330-002","http://dx.doi.org/10.1515/9783110434330-002")</f>
        <v>http://dx.doi.org/10.1515/9783110434330-002</v>
      </c>
      <c r="BG601" t="s">
        <v>74</v>
      </c>
      <c r="BH601" t="s">
        <v>74</v>
      </c>
      <c r="BI601">
        <v>28</v>
      </c>
      <c r="BJ601" t="s">
        <v>11415</v>
      </c>
      <c r="BK601" t="s">
        <v>2084</v>
      </c>
      <c r="BL601" t="s">
        <v>11416</v>
      </c>
      <c r="BM601" t="s">
        <v>11417</v>
      </c>
      <c r="BN601">
        <v>28731295</v>
      </c>
      <c r="BO601" t="s">
        <v>74</v>
      </c>
      <c r="BP601" t="s">
        <v>74</v>
      </c>
      <c r="BQ601" t="s">
        <v>74</v>
      </c>
      <c r="BR601" t="s">
        <v>105</v>
      </c>
      <c r="BS601" t="s">
        <v>11418</v>
      </c>
      <c r="BT601" t="str">
        <f>HYPERLINK("https%3A%2F%2Fwww.webofscience.com%2Fwos%2Fwoscc%2Ffull-record%2FWOS:000471131300004","View Full Record in Web of Science")</f>
        <v>View Full Record in Web of Science</v>
      </c>
    </row>
    <row r="602" spans="1:72" x14ac:dyDescent="0.15">
      <c r="A602" t="s">
        <v>72</v>
      </c>
      <c r="B602" t="s">
        <v>11419</v>
      </c>
      <c r="C602" t="s">
        <v>74</v>
      </c>
      <c r="D602" t="s">
        <v>74</v>
      </c>
      <c r="E602" t="s">
        <v>74</v>
      </c>
      <c r="F602" t="s">
        <v>11420</v>
      </c>
      <c r="G602" t="s">
        <v>74</v>
      </c>
      <c r="H602" t="s">
        <v>74</v>
      </c>
      <c r="I602" t="s">
        <v>11421</v>
      </c>
      <c r="J602" t="s">
        <v>2705</v>
      </c>
      <c r="K602" t="s">
        <v>74</v>
      </c>
      <c r="L602" t="s">
        <v>74</v>
      </c>
      <c r="M602" t="s">
        <v>2706</v>
      </c>
      <c r="N602" t="s">
        <v>185</v>
      </c>
      <c r="O602" t="s">
        <v>74</v>
      </c>
      <c r="P602" t="s">
        <v>74</v>
      </c>
      <c r="Q602" t="s">
        <v>74</v>
      </c>
      <c r="R602" t="s">
        <v>74</v>
      </c>
      <c r="S602" t="s">
        <v>74</v>
      </c>
      <c r="T602" t="s">
        <v>74</v>
      </c>
      <c r="U602" t="s">
        <v>74</v>
      </c>
      <c r="V602" t="s">
        <v>74</v>
      </c>
      <c r="W602" t="s">
        <v>74</v>
      </c>
      <c r="X602" t="s">
        <v>74</v>
      </c>
      <c r="Y602" t="s">
        <v>74</v>
      </c>
      <c r="Z602" t="s">
        <v>74</v>
      </c>
      <c r="AA602" t="s">
        <v>74</v>
      </c>
      <c r="AB602" t="s">
        <v>74</v>
      </c>
      <c r="AC602" t="s">
        <v>74</v>
      </c>
      <c r="AD602" t="s">
        <v>74</v>
      </c>
      <c r="AE602" t="s">
        <v>74</v>
      </c>
      <c r="AF602" t="s">
        <v>74</v>
      </c>
      <c r="AG602">
        <v>0</v>
      </c>
      <c r="AH602">
        <v>0</v>
      </c>
      <c r="AI602">
        <v>0</v>
      </c>
      <c r="AJ602">
        <v>0</v>
      </c>
      <c r="AK602">
        <v>1</v>
      </c>
      <c r="AL602" t="s">
        <v>2719</v>
      </c>
      <c r="AM602" t="s">
        <v>2048</v>
      </c>
      <c r="AN602" t="s">
        <v>2720</v>
      </c>
      <c r="AO602" t="s">
        <v>2721</v>
      </c>
      <c r="AP602" t="s">
        <v>2722</v>
      </c>
      <c r="AQ602" t="s">
        <v>74</v>
      </c>
      <c r="AR602" t="s">
        <v>2723</v>
      </c>
      <c r="AS602" t="s">
        <v>2724</v>
      </c>
      <c r="AT602" t="s">
        <v>74</v>
      </c>
      <c r="AU602">
        <v>2017</v>
      </c>
      <c r="AV602">
        <v>57</v>
      </c>
      <c r="AW602">
        <v>1</v>
      </c>
      <c r="AX602" t="s">
        <v>74</v>
      </c>
      <c r="AY602" t="s">
        <v>74</v>
      </c>
      <c r="AZ602" t="s">
        <v>74</v>
      </c>
      <c r="BA602" t="s">
        <v>74</v>
      </c>
      <c r="BB602">
        <v>142</v>
      </c>
      <c r="BC602">
        <v>144</v>
      </c>
      <c r="BD602" t="s">
        <v>74</v>
      </c>
      <c r="BE602" t="s">
        <v>11422</v>
      </c>
      <c r="BF602" t="str">
        <f>HYPERLINK("http://dx.doi.org/10.15356/2076-6734-2017-1-142-144","http://dx.doi.org/10.15356/2076-6734-2017-1-142-144")</f>
        <v>http://dx.doi.org/10.15356/2076-6734-2017-1-142-144</v>
      </c>
      <c r="BG602" t="s">
        <v>74</v>
      </c>
      <c r="BH602" t="s">
        <v>74</v>
      </c>
      <c r="BI602">
        <v>3</v>
      </c>
      <c r="BJ602" t="s">
        <v>669</v>
      </c>
      <c r="BK602" t="s">
        <v>2057</v>
      </c>
      <c r="BL602" t="s">
        <v>670</v>
      </c>
      <c r="BM602" t="s">
        <v>6728</v>
      </c>
      <c r="BN602" t="s">
        <v>74</v>
      </c>
      <c r="BO602" t="s">
        <v>941</v>
      </c>
      <c r="BP602" t="s">
        <v>74</v>
      </c>
      <c r="BQ602" t="s">
        <v>74</v>
      </c>
      <c r="BR602" t="s">
        <v>105</v>
      </c>
      <c r="BS602" t="s">
        <v>11423</v>
      </c>
      <c r="BT602" t="str">
        <f>HYPERLINK("https%3A%2F%2Fwww.webofscience.com%2Fwos%2Fwoscc%2Ffull-record%2FWOS:000408236600013","View Full Record in Web of Science")</f>
        <v>View Full Record in Web of Science</v>
      </c>
    </row>
    <row r="603" spans="1:72" x14ac:dyDescent="0.15">
      <c r="A603" t="s">
        <v>72</v>
      </c>
      <c r="B603" t="s">
        <v>11424</v>
      </c>
      <c r="C603" t="s">
        <v>74</v>
      </c>
      <c r="D603" t="s">
        <v>74</v>
      </c>
      <c r="E603" t="s">
        <v>74</v>
      </c>
      <c r="F603" t="s">
        <v>11425</v>
      </c>
      <c r="G603" t="s">
        <v>74</v>
      </c>
      <c r="H603" t="s">
        <v>74</v>
      </c>
      <c r="I603" t="s">
        <v>11426</v>
      </c>
      <c r="J603" t="s">
        <v>2731</v>
      </c>
      <c r="K603" t="s">
        <v>74</v>
      </c>
      <c r="L603" t="s">
        <v>74</v>
      </c>
      <c r="M603" t="s">
        <v>78</v>
      </c>
      <c r="N603" t="s">
        <v>79</v>
      </c>
      <c r="O603" t="s">
        <v>74</v>
      </c>
      <c r="P603" t="s">
        <v>74</v>
      </c>
      <c r="Q603" t="s">
        <v>74</v>
      </c>
      <c r="R603" t="s">
        <v>74</v>
      </c>
      <c r="S603" t="s">
        <v>74</v>
      </c>
      <c r="T603" t="s">
        <v>74</v>
      </c>
      <c r="U603" t="s">
        <v>11427</v>
      </c>
      <c r="V603" t="s">
        <v>11428</v>
      </c>
      <c r="W603" t="s">
        <v>11429</v>
      </c>
      <c r="X603" t="s">
        <v>11430</v>
      </c>
      <c r="Y603" t="s">
        <v>11431</v>
      </c>
      <c r="Z603" t="s">
        <v>11432</v>
      </c>
      <c r="AA603" t="s">
        <v>11433</v>
      </c>
      <c r="AB603" t="s">
        <v>11434</v>
      </c>
      <c r="AC603" t="s">
        <v>11435</v>
      </c>
      <c r="AD603" t="s">
        <v>11436</v>
      </c>
      <c r="AE603" t="s">
        <v>11437</v>
      </c>
      <c r="AF603" t="s">
        <v>74</v>
      </c>
      <c r="AG603">
        <v>67</v>
      </c>
      <c r="AH603">
        <v>72</v>
      </c>
      <c r="AI603">
        <v>83</v>
      </c>
      <c r="AJ603">
        <v>2</v>
      </c>
      <c r="AK603">
        <v>40</v>
      </c>
      <c r="AL603" t="s">
        <v>2377</v>
      </c>
      <c r="AM603" t="s">
        <v>2378</v>
      </c>
      <c r="AN603" t="s">
        <v>2379</v>
      </c>
      <c r="AO603" t="s">
        <v>2743</v>
      </c>
      <c r="AP603" t="s">
        <v>2744</v>
      </c>
      <c r="AQ603" t="s">
        <v>74</v>
      </c>
      <c r="AR603" t="s">
        <v>2745</v>
      </c>
      <c r="AS603" t="s">
        <v>2746</v>
      </c>
      <c r="AT603" t="s">
        <v>2136</v>
      </c>
      <c r="AU603">
        <v>2017</v>
      </c>
      <c r="AV603">
        <v>62</v>
      </c>
      <c r="AW603">
        <v>1</v>
      </c>
      <c r="AX603" t="s">
        <v>74</v>
      </c>
      <c r="AY603" t="s">
        <v>74</v>
      </c>
      <c r="AZ603" t="s">
        <v>74</v>
      </c>
      <c r="BA603" t="s">
        <v>74</v>
      </c>
      <c r="BB603">
        <v>235</v>
      </c>
      <c r="BC603">
        <v>252</v>
      </c>
      <c r="BD603" t="s">
        <v>74</v>
      </c>
      <c r="BE603" t="s">
        <v>11438</v>
      </c>
      <c r="BF603" t="str">
        <f>HYPERLINK("http://dx.doi.org/10.1002/lno.10391","http://dx.doi.org/10.1002/lno.10391")</f>
        <v>http://dx.doi.org/10.1002/lno.10391</v>
      </c>
      <c r="BG603" t="s">
        <v>74</v>
      </c>
      <c r="BH603" t="s">
        <v>74</v>
      </c>
      <c r="BI603">
        <v>18</v>
      </c>
      <c r="BJ603" t="s">
        <v>2748</v>
      </c>
      <c r="BK603" t="s">
        <v>101</v>
      </c>
      <c r="BL603" t="s">
        <v>1641</v>
      </c>
      <c r="BM603" t="s">
        <v>2749</v>
      </c>
      <c r="BN603" t="s">
        <v>74</v>
      </c>
      <c r="BO603" t="s">
        <v>812</v>
      </c>
      <c r="BP603" t="s">
        <v>74</v>
      </c>
      <c r="BQ603" t="s">
        <v>74</v>
      </c>
      <c r="BR603" t="s">
        <v>105</v>
      </c>
      <c r="BS603" t="s">
        <v>11439</v>
      </c>
      <c r="BT603" t="str">
        <f>HYPERLINK("https%3A%2F%2Fwww.webofscience.com%2Fwos%2Fwoscc%2Ffull-record%2FWOS:000393804600016","View Full Record in Web of Science")</f>
        <v>View Full Record in Web of Science</v>
      </c>
    </row>
    <row r="604" spans="1:72" x14ac:dyDescent="0.15">
      <c r="A604" t="s">
        <v>72</v>
      </c>
      <c r="B604" t="s">
        <v>11440</v>
      </c>
      <c r="C604" t="s">
        <v>74</v>
      </c>
      <c r="D604" t="s">
        <v>74</v>
      </c>
      <c r="E604" t="s">
        <v>74</v>
      </c>
      <c r="F604" t="s">
        <v>11441</v>
      </c>
      <c r="G604" t="s">
        <v>74</v>
      </c>
      <c r="H604" t="s">
        <v>74</v>
      </c>
      <c r="I604" t="s">
        <v>11442</v>
      </c>
      <c r="J604" t="s">
        <v>11443</v>
      </c>
      <c r="K604" t="s">
        <v>74</v>
      </c>
      <c r="L604" t="s">
        <v>74</v>
      </c>
      <c r="M604" t="s">
        <v>78</v>
      </c>
      <c r="N604" t="s">
        <v>79</v>
      </c>
      <c r="O604" t="s">
        <v>74</v>
      </c>
      <c r="P604" t="s">
        <v>74</v>
      </c>
      <c r="Q604" t="s">
        <v>74</v>
      </c>
      <c r="R604" t="s">
        <v>74</v>
      </c>
      <c r="S604" t="s">
        <v>74</v>
      </c>
      <c r="T604" t="s">
        <v>11444</v>
      </c>
      <c r="U604" t="s">
        <v>11445</v>
      </c>
      <c r="V604" t="s">
        <v>11446</v>
      </c>
      <c r="W604" t="s">
        <v>11447</v>
      </c>
      <c r="X604" t="s">
        <v>11448</v>
      </c>
      <c r="Y604" t="s">
        <v>11449</v>
      </c>
      <c r="Z604" t="s">
        <v>11450</v>
      </c>
      <c r="AA604" t="s">
        <v>11451</v>
      </c>
      <c r="AB604" t="s">
        <v>11452</v>
      </c>
      <c r="AC604" t="s">
        <v>11453</v>
      </c>
      <c r="AD604" t="s">
        <v>11453</v>
      </c>
      <c r="AE604" t="s">
        <v>11454</v>
      </c>
      <c r="AF604" t="s">
        <v>74</v>
      </c>
      <c r="AG604">
        <v>93</v>
      </c>
      <c r="AH604">
        <v>15</v>
      </c>
      <c r="AI604">
        <v>16</v>
      </c>
      <c r="AJ604">
        <v>3</v>
      </c>
      <c r="AK604">
        <v>10</v>
      </c>
      <c r="AL604" t="s">
        <v>168</v>
      </c>
      <c r="AM604" t="s">
        <v>169</v>
      </c>
      <c r="AN604" t="s">
        <v>170</v>
      </c>
      <c r="AO604" t="s">
        <v>11455</v>
      </c>
      <c r="AP604" t="s">
        <v>11456</v>
      </c>
      <c r="AQ604" t="s">
        <v>74</v>
      </c>
      <c r="AR604" t="s">
        <v>11443</v>
      </c>
      <c r="AS604" t="s">
        <v>11457</v>
      </c>
      <c r="AT604" t="s">
        <v>2136</v>
      </c>
      <c r="AU604">
        <v>2017</v>
      </c>
      <c r="AV604">
        <v>268</v>
      </c>
      <c r="AW604" t="s">
        <v>74</v>
      </c>
      <c r="AX604" t="s">
        <v>74</v>
      </c>
      <c r="AY604" t="s">
        <v>74</v>
      </c>
      <c r="AZ604" t="s">
        <v>74</v>
      </c>
      <c r="BA604" t="s">
        <v>74</v>
      </c>
      <c r="BB604">
        <v>225</v>
      </c>
      <c r="BC604">
        <v>239</v>
      </c>
      <c r="BD604" t="s">
        <v>74</v>
      </c>
      <c r="BE604" t="s">
        <v>11458</v>
      </c>
      <c r="BF604" t="str">
        <f>HYPERLINK("http://dx.doi.org/10.1016/j.lithos.2016.10.027","http://dx.doi.org/10.1016/j.lithos.2016.10.027")</f>
        <v>http://dx.doi.org/10.1016/j.lithos.2016.10.027</v>
      </c>
      <c r="BG604" t="s">
        <v>74</v>
      </c>
      <c r="BH604" t="s">
        <v>74</v>
      </c>
      <c r="BI604">
        <v>15</v>
      </c>
      <c r="BJ604" t="s">
        <v>11459</v>
      </c>
      <c r="BK604" t="s">
        <v>101</v>
      </c>
      <c r="BL604" t="s">
        <v>11459</v>
      </c>
      <c r="BM604" t="s">
        <v>11460</v>
      </c>
      <c r="BN604" t="s">
        <v>74</v>
      </c>
      <c r="BO604" t="s">
        <v>74</v>
      </c>
      <c r="BP604" t="s">
        <v>74</v>
      </c>
      <c r="BQ604" t="s">
        <v>74</v>
      </c>
      <c r="BR604" t="s">
        <v>105</v>
      </c>
      <c r="BS604" t="s">
        <v>11461</v>
      </c>
      <c r="BT604" t="str">
        <f>HYPERLINK("https%3A%2F%2Fwww.webofscience.com%2Fwos%2Fwoscc%2Ffull-record%2FWOS:000392680400015","View Full Record in Web of Science")</f>
        <v>View Full Record in Web of Science</v>
      </c>
    </row>
    <row r="605" spans="1:72" x14ac:dyDescent="0.15">
      <c r="A605" t="s">
        <v>72</v>
      </c>
      <c r="B605" t="s">
        <v>11462</v>
      </c>
      <c r="C605" t="s">
        <v>74</v>
      </c>
      <c r="D605" t="s">
        <v>74</v>
      </c>
      <c r="E605" t="s">
        <v>74</v>
      </c>
      <c r="F605" t="s">
        <v>11463</v>
      </c>
      <c r="G605" t="s">
        <v>74</v>
      </c>
      <c r="H605" t="s">
        <v>74</v>
      </c>
      <c r="I605" t="s">
        <v>11464</v>
      </c>
      <c r="J605" t="s">
        <v>2776</v>
      </c>
      <c r="K605" t="s">
        <v>74</v>
      </c>
      <c r="L605" t="s">
        <v>74</v>
      </c>
      <c r="M605" t="s">
        <v>78</v>
      </c>
      <c r="N605" t="s">
        <v>79</v>
      </c>
      <c r="O605" t="s">
        <v>74</v>
      </c>
      <c r="P605" t="s">
        <v>74</v>
      </c>
      <c r="Q605" t="s">
        <v>74</v>
      </c>
      <c r="R605" t="s">
        <v>74</v>
      </c>
      <c r="S605" t="s">
        <v>74</v>
      </c>
      <c r="T605" t="s">
        <v>11465</v>
      </c>
      <c r="U605" t="s">
        <v>11466</v>
      </c>
      <c r="V605" t="s">
        <v>11467</v>
      </c>
      <c r="W605" t="s">
        <v>11468</v>
      </c>
      <c r="X605" t="s">
        <v>11469</v>
      </c>
      <c r="Y605" t="s">
        <v>11470</v>
      </c>
      <c r="Z605" t="s">
        <v>11471</v>
      </c>
      <c r="AA605" t="s">
        <v>74</v>
      </c>
      <c r="AB605" t="s">
        <v>11472</v>
      </c>
      <c r="AC605" t="s">
        <v>11473</v>
      </c>
      <c r="AD605" t="s">
        <v>11474</v>
      </c>
      <c r="AE605" t="s">
        <v>11475</v>
      </c>
      <c r="AF605" t="s">
        <v>74</v>
      </c>
      <c r="AG605">
        <v>41</v>
      </c>
      <c r="AH605">
        <v>12</v>
      </c>
      <c r="AI605">
        <v>12</v>
      </c>
      <c r="AJ605">
        <v>0</v>
      </c>
      <c r="AK605">
        <v>12</v>
      </c>
      <c r="AL605" t="s">
        <v>2276</v>
      </c>
      <c r="AM605" t="s">
        <v>2277</v>
      </c>
      <c r="AN605" t="s">
        <v>2278</v>
      </c>
      <c r="AO605" t="s">
        <v>2789</v>
      </c>
      <c r="AP605" t="s">
        <v>2790</v>
      </c>
      <c r="AQ605" t="s">
        <v>74</v>
      </c>
      <c r="AR605" t="s">
        <v>2791</v>
      </c>
      <c r="AS605" t="s">
        <v>2792</v>
      </c>
      <c r="AT605" t="s">
        <v>74</v>
      </c>
      <c r="AU605">
        <v>2017</v>
      </c>
      <c r="AV605">
        <v>68</v>
      </c>
      <c r="AW605">
        <v>8</v>
      </c>
      <c r="AX605" t="s">
        <v>74</v>
      </c>
      <c r="AY605" t="s">
        <v>74</v>
      </c>
      <c r="AZ605" t="s">
        <v>270</v>
      </c>
      <c r="BA605" t="s">
        <v>74</v>
      </c>
      <c r="BB605">
        <v>1438</v>
      </c>
      <c r="BC605">
        <v>1453</v>
      </c>
      <c r="BD605" t="s">
        <v>74</v>
      </c>
      <c r="BE605" t="s">
        <v>11476</v>
      </c>
      <c r="BF605" t="str">
        <f>HYPERLINK("http://dx.doi.org/10.1071/MF16121","http://dx.doi.org/10.1071/MF16121")</f>
        <v>http://dx.doi.org/10.1071/MF16121</v>
      </c>
      <c r="BG605" t="s">
        <v>74</v>
      </c>
      <c r="BH605" t="s">
        <v>74</v>
      </c>
      <c r="BI605">
        <v>16</v>
      </c>
      <c r="BJ605" t="s">
        <v>2794</v>
      </c>
      <c r="BK605" t="s">
        <v>101</v>
      </c>
      <c r="BL605" t="s">
        <v>2795</v>
      </c>
      <c r="BM605" t="s">
        <v>11477</v>
      </c>
      <c r="BN605" t="s">
        <v>74</v>
      </c>
      <c r="BO605" t="s">
        <v>74</v>
      </c>
      <c r="BP605" t="s">
        <v>74</v>
      </c>
      <c r="BQ605" t="s">
        <v>74</v>
      </c>
      <c r="BR605" t="s">
        <v>105</v>
      </c>
      <c r="BS605" t="s">
        <v>11478</v>
      </c>
      <c r="BT605" t="str">
        <f>HYPERLINK("https%3A%2F%2Fwww.webofscience.com%2Fwos%2Fwoscc%2Ffull-record%2FWOS:000406489100005","View Full Record in Web of Science")</f>
        <v>View Full Record in Web of Science</v>
      </c>
    </row>
    <row r="606" spans="1:72" x14ac:dyDescent="0.15">
      <c r="A606" t="s">
        <v>72</v>
      </c>
      <c r="B606" t="s">
        <v>11479</v>
      </c>
      <c r="C606" t="s">
        <v>74</v>
      </c>
      <c r="D606" t="s">
        <v>74</v>
      </c>
      <c r="E606" t="s">
        <v>74</v>
      </c>
      <c r="F606" t="s">
        <v>11480</v>
      </c>
      <c r="G606" t="s">
        <v>74</v>
      </c>
      <c r="H606" t="s">
        <v>74</v>
      </c>
      <c r="I606" t="s">
        <v>11481</v>
      </c>
      <c r="J606" t="s">
        <v>2776</v>
      </c>
      <c r="K606" t="s">
        <v>74</v>
      </c>
      <c r="L606" t="s">
        <v>74</v>
      </c>
      <c r="M606" t="s">
        <v>78</v>
      </c>
      <c r="N606" t="s">
        <v>79</v>
      </c>
      <c r="O606" t="s">
        <v>74</v>
      </c>
      <c r="P606" t="s">
        <v>74</v>
      </c>
      <c r="Q606" t="s">
        <v>74</v>
      </c>
      <c r="R606" t="s">
        <v>74</v>
      </c>
      <c r="S606" t="s">
        <v>74</v>
      </c>
      <c r="T606" t="s">
        <v>74</v>
      </c>
      <c r="U606" t="s">
        <v>11482</v>
      </c>
      <c r="V606" t="s">
        <v>11483</v>
      </c>
      <c r="W606" t="s">
        <v>11484</v>
      </c>
      <c r="X606" t="s">
        <v>11485</v>
      </c>
      <c r="Y606" t="s">
        <v>11486</v>
      </c>
      <c r="Z606" t="s">
        <v>11487</v>
      </c>
      <c r="AA606" t="s">
        <v>74</v>
      </c>
      <c r="AB606" t="s">
        <v>74</v>
      </c>
      <c r="AC606" t="s">
        <v>11488</v>
      </c>
      <c r="AD606" t="s">
        <v>11489</v>
      </c>
      <c r="AE606" t="s">
        <v>11490</v>
      </c>
      <c r="AF606" t="s">
        <v>74</v>
      </c>
      <c r="AG606">
        <v>59</v>
      </c>
      <c r="AH606">
        <v>21</v>
      </c>
      <c r="AI606">
        <v>23</v>
      </c>
      <c r="AJ606">
        <v>0</v>
      </c>
      <c r="AK606">
        <v>23</v>
      </c>
      <c r="AL606" t="s">
        <v>2276</v>
      </c>
      <c r="AM606" t="s">
        <v>2277</v>
      </c>
      <c r="AN606" t="s">
        <v>2278</v>
      </c>
      <c r="AO606" t="s">
        <v>2789</v>
      </c>
      <c r="AP606" t="s">
        <v>2790</v>
      </c>
      <c r="AQ606" t="s">
        <v>74</v>
      </c>
      <c r="AR606" t="s">
        <v>2791</v>
      </c>
      <c r="AS606" t="s">
        <v>2792</v>
      </c>
      <c r="AT606" t="s">
        <v>74</v>
      </c>
      <c r="AU606">
        <v>2017</v>
      </c>
      <c r="AV606">
        <v>68</v>
      </c>
      <c r="AW606">
        <v>8</v>
      </c>
      <c r="AX606" t="s">
        <v>74</v>
      </c>
      <c r="AY606" t="s">
        <v>74</v>
      </c>
      <c r="AZ606" t="s">
        <v>270</v>
      </c>
      <c r="BA606" t="s">
        <v>74</v>
      </c>
      <c r="BB606">
        <v>1518</v>
      </c>
      <c r="BC606">
        <v>1531</v>
      </c>
      <c r="BD606" t="s">
        <v>74</v>
      </c>
      <c r="BE606" t="s">
        <v>11491</v>
      </c>
      <c r="BF606" t="str">
        <f>HYPERLINK("http://dx.doi.org/10.1071/MF16222","http://dx.doi.org/10.1071/MF16222")</f>
        <v>http://dx.doi.org/10.1071/MF16222</v>
      </c>
      <c r="BG606" t="s">
        <v>74</v>
      </c>
      <c r="BH606" t="s">
        <v>74</v>
      </c>
      <c r="BI606">
        <v>14</v>
      </c>
      <c r="BJ606" t="s">
        <v>2794</v>
      </c>
      <c r="BK606" t="s">
        <v>101</v>
      </c>
      <c r="BL606" t="s">
        <v>2795</v>
      </c>
      <c r="BM606" t="s">
        <v>11477</v>
      </c>
      <c r="BN606" t="s">
        <v>74</v>
      </c>
      <c r="BO606" t="s">
        <v>74</v>
      </c>
      <c r="BP606" t="s">
        <v>74</v>
      </c>
      <c r="BQ606" t="s">
        <v>74</v>
      </c>
      <c r="BR606" t="s">
        <v>105</v>
      </c>
      <c r="BS606" t="s">
        <v>11492</v>
      </c>
      <c r="BT606" t="str">
        <f>HYPERLINK("https%3A%2F%2Fwww.webofscience.com%2Fwos%2Fwoscc%2Ffull-record%2FWOS:000406489100011","View Full Record in Web of Science")</f>
        <v>View Full Record in Web of Science</v>
      </c>
    </row>
    <row r="607" spans="1:72" x14ac:dyDescent="0.15">
      <c r="A607" t="s">
        <v>72</v>
      </c>
      <c r="B607" t="s">
        <v>11493</v>
      </c>
      <c r="C607" t="s">
        <v>74</v>
      </c>
      <c r="D607" t="s">
        <v>74</v>
      </c>
      <c r="E607" t="s">
        <v>74</v>
      </c>
      <c r="F607" t="s">
        <v>11494</v>
      </c>
      <c r="G607" t="s">
        <v>74</v>
      </c>
      <c r="H607" t="s">
        <v>74</v>
      </c>
      <c r="I607" t="s">
        <v>11495</v>
      </c>
      <c r="J607" t="s">
        <v>11496</v>
      </c>
      <c r="K607" t="s">
        <v>74</v>
      </c>
      <c r="L607" t="s">
        <v>74</v>
      </c>
      <c r="M607" t="s">
        <v>78</v>
      </c>
      <c r="N607" t="s">
        <v>79</v>
      </c>
      <c r="O607" t="s">
        <v>74</v>
      </c>
      <c r="P607" t="s">
        <v>74</v>
      </c>
      <c r="Q607" t="s">
        <v>74</v>
      </c>
      <c r="R607" t="s">
        <v>74</v>
      </c>
      <c r="S607" t="s">
        <v>74</v>
      </c>
      <c r="T607" t="s">
        <v>11497</v>
      </c>
      <c r="U607" t="s">
        <v>11498</v>
      </c>
      <c r="V607" t="s">
        <v>11499</v>
      </c>
      <c r="W607" t="s">
        <v>11500</v>
      </c>
      <c r="X607" t="s">
        <v>11501</v>
      </c>
      <c r="Y607" t="s">
        <v>11502</v>
      </c>
      <c r="Z607" t="s">
        <v>11503</v>
      </c>
      <c r="AA607" t="s">
        <v>11504</v>
      </c>
      <c r="AB607" t="s">
        <v>11505</v>
      </c>
      <c r="AC607" t="s">
        <v>11506</v>
      </c>
      <c r="AD607" t="s">
        <v>11507</v>
      </c>
      <c r="AE607" t="s">
        <v>11508</v>
      </c>
      <c r="AF607" t="s">
        <v>74</v>
      </c>
      <c r="AG607">
        <v>103</v>
      </c>
      <c r="AH607">
        <v>97</v>
      </c>
      <c r="AI607">
        <v>104</v>
      </c>
      <c r="AJ607">
        <v>7</v>
      </c>
      <c r="AK607">
        <v>74</v>
      </c>
      <c r="AL607" t="s">
        <v>1610</v>
      </c>
      <c r="AM607" t="s">
        <v>292</v>
      </c>
      <c r="AN607" t="s">
        <v>1611</v>
      </c>
      <c r="AO607" t="s">
        <v>11509</v>
      </c>
      <c r="AP607" t="s">
        <v>11510</v>
      </c>
      <c r="AQ607" t="s">
        <v>74</v>
      </c>
      <c r="AR607" t="s">
        <v>11511</v>
      </c>
      <c r="AS607" t="s">
        <v>11512</v>
      </c>
      <c r="AT607" t="s">
        <v>2136</v>
      </c>
      <c r="AU607">
        <v>2017</v>
      </c>
      <c r="AV607">
        <v>34</v>
      </c>
      <c r="AW607">
        <v>1</v>
      </c>
      <c r="AX607" t="s">
        <v>74</v>
      </c>
      <c r="AY607" t="s">
        <v>74</v>
      </c>
      <c r="AZ607" t="s">
        <v>74</v>
      </c>
      <c r="BA607" t="s">
        <v>74</v>
      </c>
      <c r="BB607">
        <v>66</v>
      </c>
      <c r="BC607">
        <v>77</v>
      </c>
      <c r="BD607" t="s">
        <v>74</v>
      </c>
      <c r="BE607" t="s">
        <v>11513</v>
      </c>
      <c r="BF607" t="str">
        <f>HYPERLINK("http://dx.doi.org/10.1093/molbev/msw219","http://dx.doi.org/10.1093/molbev/msw219")</f>
        <v>http://dx.doi.org/10.1093/molbev/msw219</v>
      </c>
      <c r="BG607" t="s">
        <v>74</v>
      </c>
      <c r="BH607" t="s">
        <v>74</v>
      </c>
      <c r="BI607">
        <v>12</v>
      </c>
      <c r="BJ607" t="s">
        <v>11514</v>
      </c>
      <c r="BK607" t="s">
        <v>101</v>
      </c>
      <c r="BL607" t="s">
        <v>11514</v>
      </c>
      <c r="BM607" t="s">
        <v>11515</v>
      </c>
      <c r="BN607">
        <v>27744410</v>
      </c>
      <c r="BO607" t="s">
        <v>812</v>
      </c>
      <c r="BP607" t="s">
        <v>74</v>
      </c>
      <c r="BQ607" t="s">
        <v>74</v>
      </c>
      <c r="BR607" t="s">
        <v>105</v>
      </c>
      <c r="BS607" t="s">
        <v>11516</v>
      </c>
      <c r="BT607" t="str">
        <f>HYPERLINK("https%3A%2F%2Fwww.webofscience.com%2Fwos%2Fwoscc%2Ffull-record%2FWOS:000396511400002","View Full Record in Web of Science")</f>
        <v>View Full Record in Web of Science</v>
      </c>
    </row>
    <row r="608" spans="1:72" x14ac:dyDescent="0.15">
      <c r="A608" t="s">
        <v>72</v>
      </c>
      <c r="B608" t="s">
        <v>11517</v>
      </c>
      <c r="C608" t="s">
        <v>74</v>
      </c>
      <c r="D608" t="s">
        <v>74</v>
      </c>
      <c r="E608" t="s">
        <v>74</v>
      </c>
      <c r="F608" t="s">
        <v>11518</v>
      </c>
      <c r="G608" t="s">
        <v>74</v>
      </c>
      <c r="H608" t="s">
        <v>74</v>
      </c>
      <c r="I608" t="s">
        <v>11519</v>
      </c>
      <c r="J608" t="s">
        <v>2966</v>
      </c>
      <c r="K608" t="s">
        <v>74</v>
      </c>
      <c r="L608" t="s">
        <v>74</v>
      </c>
      <c r="M608" t="s">
        <v>78</v>
      </c>
      <c r="N608" t="s">
        <v>185</v>
      </c>
      <c r="O608" t="s">
        <v>74</v>
      </c>
      <c r="P608" t="s">
        <v>74</v>
      </c>
      <c r="Q608" t="s">
        <v>74</v>
      </c>
      <c r="R608" t="s">
        <v>74</v>
      </c>
      <c r="S608" t="s">
        <v>74</v>
      </c>
      <c r="T608" t="s">
        <v>74</v>
      </c>
      <c r="U608" t="s">
        <v>11520</v>
      </c>
      <c r="V608" t="s">
        <v>74</v>
      </c>
      <c r="W608" t="s">
        <v>11521</v>
      </c>
      <c r="X608" t="s">
        <v>11522</v>
      </c>
      <c r="Y608" t="s">
        <v>11523</v>
      </c>
      <c r="Z608" t="s">
        <v>11524</v>
      </c>
      <c r="AA608" t="s">
        <v>11525</v>
      </c>
      <c r="AB608" t="s">
        <v>11526</v>
      </c>
      <c r="AC608" t="s">
        <v>11527</v>
      </c>
      <c r="AD608" t="s">
        <v>3650</v>
      </c>
      <c r="AE608" t="s">
        <v>74</v>
      </c>
      <c r="AF608" t="s">
        <v>74</v>
      </c>
      <c r="AG608">
        <v>10</v>
      </c>
      <c r="AH608">
        <v>4</v>
      </c>
      <c r="AI608">
        <v>4</v>
      </c>
      <c r="AJ608">
        <v>0</v>
      </c>
      <c r="AK608">
        <v>5</v>
      </c>
      <c r="AL608" t="s">
        <v>582</v>
      </c>
      <c r="AM608" t="s">
        <v>583</v>
      </c>
      <c r="AN608" t="s">
        <v>584</v>
      </c>
      <c r="AO608" t="s">
        <v>2978</v>
      </c>
      <c r="AP608" t="s">
        <v>2979</v>
      </c>
      <c r="AQ608" t="s">
        <v>74</v>
      </c>
      <c r="AR608" t="s">
        <v>2980</v>
      </c>
      <c r="AS608" t="s">
        <v>2981</v>
      </c>
      <c r="AT608" t="s">
        <v>2136</v>
      </c>
      <c r="AU608">
        <v>2017</v>
      </c>
      <c r="AV608">
        <v>7</v>
      </c>
      <c r="AW608">
        <v>1</v>
      </c>
      <c r="AX608" t="s">
        <v>74</v>
      </c>
      <c r="AY608" t="s">
        <v>74</v>
      </c>
      <c r="AZ608" t="s">
        <v>74</v>
      </c>
      <c r="BA608" t="s">
        <v>74</v>
      </c>
      <c r="BB608">
        <v>11</v>
      </c>
      <c r="BC608">
        <v>12</v>
      </c>
      <c r="BD608" t="s">
        <v>74</v>
      </c>
      <c r="BE608" t="s">
        <v>11528</v>
      </c>
      <c r="BF608" t="str">
        <f>HYPERLINK("http://dx.doi.org/10.1038/nclimate3189","http://dx.doi.org/10.1038/nclimate3189")</f>
        <v>http://dx.doi.org/10.1038/nclimate3189</v>
      </c>
      <c r="BG608" t="s">
        <v>74</v>
      </c>
      <c r="BH608" t="s">
        <v>74</v>
      </c>
      <c r="BI608">
        <v>3</v>
      </c>
      <c r="BJ608" t="s">
        <v>2983</v>
      </c>
      <c r="BK608" t="s">
        <v>245</v>
      </c>
      <c r="BL608" t="s">
        <v>982</v>
      </c>
      <c r="BM608" t="s">
        <v>2984</v>
      </c>
      <c r="BN608" t="s">
        <v>74</v>
      </c>
      <c r="BO608" t="s">
        <v>74</v>
      </c>
      <c r="BP608" t="s">
        <v>74</v>
      </c>
      <c r="BQ608" t="s">
        <v>74</v>
      </c>
      <c r="BR608" t="s">
        <v>105</v>
      </c>
      <c r="BS608" t="s">
        <v>11529</v>
      </c>
      <c r="BT608" t="str">
        <f>HYPERLINK("https%3A%2F%2Fwww.webofscience.com%2Fwos%2Fwoscc%2Ffull-record%2FWOS:000396346700008","View Full Record in Web of Science")</f>
        <v>View Full Record in Web of Science</v>
      </c>
    </row>
    <row r="609" spans="1:72" x14ac:dyDescent="0.15">
      <c r="A609" t="s">
        <v>1823</v>
      </c>
      <c r="B609" t="s">
        <v>11530</v>
      </c>
      <c r="C609" t="s">
        <v>74</v>
      </c>
      <c r="D609" t="s">
        <v>11531</v>
      </c>
      <c r="E609" t="s">
        <v>74</v>
      </c>
      <c r="F609" t="s">
        <v>11532</v>
      </c>
      <c r="G609" t="s">
        <v>74</v>
      </c>
      <c r="H609" t="s">
        <v>11533</v>
      </c>
      <c r="I609" t="s">
        <v>11534</v>
      </c>
      <c r="J609" t="s">
        <v>11535</v>
      </c>
      <c r="K609" t="s">
        <v>11536</v>
      </c>
      <c r="L609" t="s">
        <v>74</v>
      </c>
      <c r="M609" t="s">
        <v>78</v>
      </c>
      <c r="N609" t="s">
        <v>1829</v>
      </c>
      <c r="O609" t="s">
        <v>11537</v>
      </c>
      <c r="P609" t="s">
        <v>8666</v>
      </c>
      <c r="Q609" t="s">
        <v>11538</v>
      </c>
      <c r="R609" t="s">
        <v>74</v>
      </c>
      <c r="S609" t="s">
        <v>74</v>
      </c>
      <c r="T609" t="s">
        <v>11539</v>
      </c>
      <c r="U609" t="s">
        <v>74</v>
      </c>
      <c r="V609" t="s">
        <v>11540</v>
      </c>
      <c r="W609" t="s">
        <v>11541</v>
      </c>
      <c r="X609" t="s">
        <v>11542</v>
      </c>
      <c r="Y609" t="s">
        <v>11543</v>
      </c>
      <c r="Z609" t="s">
        <v>11544</v>
      </c>
      <c r="AA609" t="s">
        <v>11545</v>
      </c>
      <c r="AB609" t="s">
        <v>74</v>
      </c>
      <c r="AC609" t="s">
        <v>74</v>
      </c>
      <c r="AD609" t="s">
        <v>74</v>
      </c>
      <c r="AE609" t="s">
        <v>74</v>
      </c>
      <c r="AF609" t="s">
        <v>74</v>
      </c>
      <c r="AG609">
        <v>17</v>
      </c>
      <c r="AH609">
        <v>0</v>
      </c>
      <c r="AI609">
        <v>0</v>
      </c>
      <c r="AJ609">
        <v>0</v>
      </c>
      <c r="AK609">
        <v>1</v>
      </c>
      <c r="AL609" t="s">
        <v>3097</v>
      </c>
      <c r="AM609" t="s">
        <v>1581</v>
      </c>
      <c r="AN609" t="s">
        <v>3208</v>
      </c>
      <c r="AO609" t="s">
        <v>11546</v>
      </c>
      <c r="AP609" t="s">
        <v>11547</v>
      </c>
      <c r="AQ609" t="s">
        <v>11548</v>
      </c>
      <c r="AR609" t="s">
        <v>11549</v>
      </c>
      <c r="AS609" t="s">
        <v>11550</v>
      </c>
      <c r="AT609" t="s">
        <v>74</v>
      </c>
      <c r="AU609">
        <v>2017</v>
      </c>
      <c r="AV609">
        <v>12</v>
      </c>
      <c r="AW609" t="s">
        <v>11551</v>
      </c>
      <c r="AX609" t="s">
        <v>74</v>
      </c>
      <c r="AY609" t="s">
        <v>74</v>
      </c>
      <c r="AZ609" t="s">
        <v>74</v>
      </c>
      <c r="BA609" t="s">
        <v>74</v>
      </c>
      <c r="BB609">
        <v>322</v>
      </c>
      <c r="BC609">
        <v>329</v>
      </c>
      <c r="BD609" t="s">
        <v>74</v>
      </c>
      <c r="BE609" t="s">
        <v>11552</v>
      </c>
      <c r="BF609" t="str">
        <f>HYPERLINK("http://dx.doi.org/10.1017/S1743921317002307","http://dx.doi.org/10.1017/S1743921317002307")</f>
        <v>http://dx.doi.org/10.1017/S1743921317002307</v>
      </c>
      <c r="BG609" t="s">
        <v>74</v>
      </c>
      <c r="BH609" t="s">
        <v>74</v>
      </c>
      <c r="BI609">
        <v>8</v>
      </c>
      <c r="BJ609" t="s">
        <v>2635</v>
      </c>
      <c r="BK609" t="s">
        <v>1844</v>
      </c>
      <c r="BL609" t="s">
        <v>2635</v>
      </c>
      <c r="BM609" t="s">
        <v>11553</v>
      </c>
      <c r="BN609" t="s">
        <v>74</v>
      </c>
      <c r="BO609" t="s">
        <v>672</v>
      </c>
      <c r="BP609" t="s">
        <v>74</v>
      </c>
      <c r="BQ609" t="s">
        <v>74</v>
      </c>
      <c r="BR609" t="s">
        <v>105</v>
      </c>
      <c r="BS609" t="s">
        <v>11554</v>
      </c>
      <c r="BT609" t="str">
        <f>HYPERLINK("https%3A%2F%2Fwww.webofscience.com%2Fwos%2Fwoscc%2Ffull-record%2FWOS:000456300300077","View Full Record in Web of Science")</f>
        <v>View Full Record in Web of Science</v>
      </c>
    </row>
    <row r="610" spans="1:72" x14ac:dyDescent="0.15">
      <c r="A610" t="s">
        <v>72</v>
      </c>
      <c r="B610" t="s">
        <v>11555</v>
      </c>
      <c r="C610" t="s">
        <v>74</v>
      </c>
      <c r="D610" t="s">
        <v>74</v>
      </c>
      <c r="E610" t="s">
        <v>74</v>
      </c>
      <c r="F610" t="s">
        <v>11556</v>
      </c>
      <c r="G610" t="s">
        <v>74</v>
      </c>
      <c r="H610" t="s">
        <v>74</v>
      </c>
      <c r="I610" t="s">
        <v>11557</v>
      </c>
      <c r="J610" t="s">
        <v>11558</v>
      </c>
      <c r="K610" t="s">
        <v>74</v>
      </c>
      <c r="L610" t="s">
        <v>74</v>
      </c>
      <c r="M610" t="s">
        <v>78</v>
      </c>
      <c r="N610" t="s">
        <v>79</v>
      </c>
      <c r="O610" t="s">
        <v>74</v>
      </c>
      <c r="P610" t="s">
        <v>74</v>
      </c>
      <c r="Q610" t="s">
        <v>74</v>
      </c>
      <c r="R610" t="s">
        <v>74</v>
      </c>
      <c r="S610" t="s">
        <v>74</v>
      </c>
      <c r="T610" t="s">
        <v>11559</v>
      </c>
      <c r="U610" t="s">
        <v>11560</v>
      </c>
      <c r="V610" t="s">
        <v>11561</v>
      </c>
      <c r="W610" t="s">
        <v>11562</v>
      </c>
      <c r="X610" t="s">
        <v>11563</v>
      </c>
      <c r="Y610" t="s">
        <v>11564</v>
      </c>
      <c r="Z610" t="s">
        <v>11565</v>
      </c>
      <c r="AA610" t="s">
        <v>11566</v>
      </c>
      <c r="AB610" t="s">
        <v>11567</v>
      </c>
      <c r="AC610" t="s">
        <v>11568</v>
      </c>
      <c r="AD610" t="s">
        <v>11569</v>
      </c>
      <c r="AE610" t="s">
        <v>11570</v>
      </c>
      <c r="AF610" t="s">
        <v>74</v>
      </c>
      <c r="AG610">
        <v>92</v>
      </c>
      <c r="AH610">
        <v>11</v>
      </c>
      <c r="AI610">
        <v>15</v>
      </c>
      <c r="AJ610">
        <v>2</v>
      </c>
      <c r="AK610">
        <v>33</v>
      </c>
      <c r="AL610" t="s">
        <v>1967</v>
      </c>
      <c r="AM610" t="s">
        <v>1910</v>
      </c>
      <c r="AN610" t="s">
        <v>1968</v>
      </c>
      <c r="AO610" t="s">
        <v>11571</v>
      </c>
      <c r="AP610" t="s">
        <v>11572</v>
      </c>
      <c r="AQ610" t="s">
        <v>74</v>
      </c>
      <c r="AR610" t="s">
        <v>11573</v>
      </c>
      <c r="AS610" t="s">
        <v>11574</v>
      </c>
      <c r="AT610" t="s">
        <v>74</v>
      </c>
      <c r="AU610">
        <v>2017</v>
      </c>
      <c r="AV610">
        <v>44</v>
      </c>
      <c r="AW610">
        <v>1</v>
      </c>
      <c r="AX610" t="s">
        <v>74</v>
      </c>
      <c r="AY610" t="s">
        <v>74</v>
      </c>
      <c r="AZ610" t="s">
        <v>74</v>
      </c>
      <c r="BA610" t="s">
        <v>74</v>
      </c>
      <c r="BB610">
        <v>65</v>
      </c>
      <c r="BC610">
        <v>85</v>
      </c>
      <c r="BD610" t="s">
        <v>74</v>
      </c>
      <c r="BE610" t="s">
        <v>11575</v>
      </c>
      <c r="BF610" t="str">
        <f>HYPERLINK("http://dx.doi.org/10.1080/03014223.2016.1251950","http://dx.doi.org/10.1080/03014223.2016.1251950")</f>
        <v>http://dx.doi.org/10.1080/03014223.2016.1251950</v>
      </c>
      <c r="BG610" t="s">
        <v>74</v>
      </c>
      <c r="BH610" t="s">
        <v>74</v>
      </c>
      <c r="BI610">
        <v>21</v>
      </c>
      <c r="BJ610" t="s">
        <v>643</v>
      </c>
      <c r="BK610" t="s">
        <v>101</v>
      </c>
      <c r="BL610" t="s">
        <v>643</v>
      </c>
      <c r="BM610" t="s">
        <v>11576</v>
      </c>
      <c r="BN610" t="s">
        <v>74</v>
      </c>
      <c r="BO610" t="s">
        <v>74</v>
      </c>
      <c r="BP610" t="s">
        <v>74</v>
      </c>
      <c r="BQ610" t="s">
        <v>74</v>
      </c>
      <c r="BR610" t="s">
        <v>105</v>
      </c>
      <c r="BS610" t="s">
        <v>11577</v>
      </c>
      <c r="BT610" t="str">
        <f>HYPERLINK("https%3A%2F%2Fwww.webofscience.com%2Fwos%2Fwoscc%2Ffull-record%2FWOS:000396720100007","View Full Record in Web of Science")</f>
        <v>View Full Record in Web of Science</v>
      </c>
    </row>
    <row r="611" spans="1:72" x14ac:dyDescent="0.15">
      <c r="A611" t="s">
        <v>1823</v>
      </c>
      <c r="B611" t="s">
        <v>11578</v>
      </c>
      <c r="C611" t="s">
        <v>74</v>
      </c>
      <c r="D611" t="s">
        <v>74</v>
      </c>
      <c r="E611" t="s">
        <v>1825</v>
      </c>
      <c r="F611" t="s">
        <v>11579</v>
      </c>
      <c r="G611" t="s">
        <v>74</v>
      </c>
      <c r="H611" t="s">
        <v>74</v>
      </c>
      <c r="I611" t="s">
        <v>11580</v>
      </c>
      <c r="J611" t="s">
        <v>11581</v>
      </c>
      <c r="K611" t="s">
        <v>3037</v>
      </c>
      <c r="L611" t="s">
        <v>74</v>
      </c>
      <c r="M611" t="s">
        <v>78</v>
      </c>
      <c r="N611" t="s">
        <v>1829</v>
      </c>
      <c r="O611" t="s">
        <v>11582</v>
      </c>
      <c r="P611" t="s">
        <v>11583</v>
      </c>
      <c r="Q611" t="s">
        <v>11584</v>
      </c>
      <c r="R611" t="s">
        <v>74</v>
      </c>
      <c r="S611" t="s">
        <v>74</v>
      </c>
      <c r="T611" t="s">
        <v>11585</v>
      </c>
      <c r="U611" t="s">
        <v>11586</v>
      </c>
      <c r="V611" t="s">
        <v>11587</v>
      </c>
      <c r="W611" t="s">
        <v>11588</v>
      </c>
      <c r="X611" t="s">
        <v>11589</v>
      </c>
      <c r="Y611" t="s">
        <v>11590</v>
      </c>
      <c r="Z611" t="s">
        <v>11591</v>
      </c>
      <c r="AA611" t="s">
        <v>74</v>
      </c>
      <c r="AB611" t="s">
        <v>74</v>
      </c>
      <c r="AC611" t="s">
        <v>11592</v>
      </c>
      <c r="AD611" t="s">
        <v>357</v>
      </c>
      <c r="AE611" t="s">
        <v>11593</v>
      </c>
      <c r="AF611" t="s">
        <v>74</v>
      </c>
      <c r="AG611">
        <v>40</v>
      </c>
      <c r="AH611">
        <v>0</v>
      </c>
      <c r="AI611">
        <v>0</v>
      </c>
      <c r="AJ611">
        <v>1</v>
      </c>
      <c r="AK611">
        <v>3</v>
      </c>
      <c r="AL611" t="s">
        <v>1825</v>
      </c>
      <c r="AM611" t="s">
        <v>187</v>
      </c>
      <c r="AN611" t="s">
        <v>1842</v>
      </c>
      <c r="AO611" t="s">
        <v>3052</v>
      </c>
      <c r="AP611" t="s">
        <v>74</v>
      </c>
      <c r="AQ611" t="s">
        <v>74</v>
      </c>
      <c r="AR611" t="s">
        <v>3037</v>
      </c>
      <c r="AS611" t="s">
        <v>74</v>
      </c>
      <c r="AT611" t="s">
        <v>74</v>
      </c>
      <c r="AU611">
        <v>2017</v>
      </c>
      <c r="AV611" t="s">
        <v>74</v>
      </c>
      <c r="AW611" t="s">
        <v>74</v>
      </c>
      <c r="AX611" t="s">
        <v>74</v>
      </c>
      <c r="AY611" t="s">
        <v>74</v>
      </c>
      <c r="AZ611" t="s">
        <v>74</v>
      </c>
      <c r="BA611" t="s">
        <v>74</v>
      </c>
      <c r="BB611" t="s">
        <v>74</v>
      </c>
      <c r="BC611" t="s">
        <v>74</v>
      </c>
      <c r="BD611" t="s">
        <v>74</v>
      </c>
      <c r="BE611" t="s">
        <v>74</v>
      </c>
      <c r="BF611" t="s">
        <v>74</v>
      </c>
      <c r="BG611" t="s">
        <v>74</v>
      </c>
      <c r="BH611" t="s">
        <v>74</v>
      </c>
      <c r="BI611">
        <v>8</v>
      </c>
      <c r="BJ611" t="s">
        <v>11594</v>
      </c>
      <c r="BK611" t="s">
        <v>1844</v>
      </c>
      <c r="BL611" t="s">
        <v>11595</v>
      </c>
      <c r="BM611" t="s">
        <v>11596</v>
      </c>
      <c r="BN611" t="s">
        <v>74</v>
      </c>
      <c r="BO611" t="s">
        <v>74</v>
      </c>
      <c r="BP611" t="s">
        <v>74</v>
      </c>
      <c r="BQ611" t="s">
        <v>74</v>
      </c>
      <c r="BR611" t="s">
        <v>105</v>
      </c>
      <c r="BS611" t="s">
        <v>11597</v>
      </c>
      <c r="BT611" t="str">
        <f>HYPERLINK("https%3A%2F%2Fwww.webofscience.com%2Fwos%2Fwoscc%2Ffull-record%2FWOS:000455012000293","View Full Record in Web of Science")</f>
        <v>View Full Record in Web of Science</v>
      </c>
    </row>
    <row r="612" spans="1:72" x14ac:dyDescent="0.15">
      <c r="A612" t="s">
        <v>1823</v>
      </c>
      <c r="B612" t="s">
        <v>11598</v>
      </c>
      <c r="C612" t="s">
        <v>74</v>
      </c>
      <c r="D612" t="s">
        <v>74</v>
      </c>
      <c r="E612" t="s">
        <v>1825</v>
      </c>
      <c r="F612" t="s">
        <v>11599</v>
      </c>
      <c r="G612" t="s">
        <v>74</v>
      </c>
      <c r="H612" t="s">
        <v>74</v>
      </c>
      <c r="I612" t="s">
        <v>11600</v>
      </c>
      <c r="J612" t="s">
        <v>11581</v>
      </c>
      <c r="K612" t="s">
        <v>3037</v>
      </c>
      <c r="L612" t="s">
        <v>74</v>
      </c>
      <c r="M612" t="s">
        <v>78</v>
      </c>
      <c r="N612" t="s">
        <v>1829</v>
      </c>
      <c r="O612" t="s">
        <v>11582</v>
      </c>
      <c r="P612" t="s">
        <v>11583</v>
      </c>
      <c r="Q612" t="s">
        <v>11584</v>
      </c>
      <c r="R612" t="s">
        <v>74</v>
      </c>
      <c r="S612" t="s">
        <v>74</v>
      </c>
      <c r="T612" t="s">
        <v>11601</v>
      </c>
      <c r="U612" t="s">
        <v>11602</v>
      </c>
      <c r="V612" t="s">
        <v>11603</v>
      </c>
      <c r="W612" t="s">
        <v>11604</v>
      </c>
      <c r="X612" t="s">
        <v>11605</v>
      </c>
      <c r="Y612" t="s">
        <v>11606</v>
      </c>
      <c r="Z612" t="s">
        <v>74</v>
      </c>
      <c r="AA612" t="s">
        <v>74</v>
      </c>
      <c r="AB612" t="s">
        <v>74</v>
      </c>
      <c r="AC612" t="s">
        <v>11607</v>
      </c>
      <c r="AD612" t="s">
        <v>11608</v>
      </c>
      <c r="AE612" t="s">
        <v>11609</v>
      </c>
      <c r="AF612" t="s">
        <v>74</v>
      </c>
      <c r="AG612">
        <v>28</v>
      </c>
      <c r="AH612">
        <v>0</v>
      </c>
      <c r="AI612">
        <v>0</v>
      </c>
      <c r="AJ612">
        <v>0</v>
      </c>
      <c r="AK612">
        <v>2</v>
      </c>
      <c r="AL612" t="s">
        <v>1825</v>
      </c>
      <c r="AM612" t="s">
        <v>187</v>
      </c>
      <c r="AN612" t="s">
        <v>1842</v>
      </c>
      <c r="AO612" t="s">
        <v>3052</v>
      </c>
      <c r="AP612" t="s">
        <v>74</v>
      </c>
      <c r="AQ612" t="s">
        <v>74</v>
      </c>
      <c r="AR612" t="s">
        <v>3037</v>
      </c>
      <c r="AS612" t="s">
        <v>74</v>
      </c>
      <c r="AT612" t="s">
        <v>74</v>
      </c>
      <c r="AU612">
        <v>2017</v>
      </c>
      <c r="AV612" t="s">
        <v>74</v>
      </c>
      <c r="AW612" t="s">
        <v>74</v>
      </c>
      <c r="AX612" t="s">
        <v>74</v>
      </c>
      <c r="AY612" t="s">
        <v>74</v>
      </c>
      <c r="AZ612" t="s">
        <v>74</v>
      </c>
      <c r="BA612" t="s">
        <v>74</v>
      </c>
      <c r="BB612" t="s">
        <v>74</v>
      </c>
      <c r="BC612" t="s">
        <v>74</v>
      </c>
      <c r="BD612" t="s">
        <v>74</v>
      </c>
      <c r="BE612" t="s">
        <v>74</v>
      </c>
      <c r="BF612" t="s">
        <v>74</v>
      </c>
      <c r="BG612" t="s">
        <v>74</v>
      </c>
      <c r="BH612" t="s">
        <v>74</v>
      </c>
      <c r="BI612">
        <v>7</v>
      </c>
      <c r="BJ612" t="s">
        <v>11594</v>
      </c>
      <c r="BK612" t="s">
        <v>1844</v>
      </c>
      <c r="BL612" t="s">
        <v>11595</v>
      </c>
      <c r="BM612" t="s">
        <v>11596</v>
      </c>
      <c r="BN612" t="s">
        <v>74</v>
      </c>
      <c r="BO612" t="s">
        <v>74</v>
      </c>
      <c r="BP612" t="s">
        <v>74</v>
      </c>
      <c r="BQ612" t="s">
        <v>74</v>
      </c>
      <c r="BR612" t="s">
        <v>105</v>
      </c>
      <c r="BS612" t="s">
        <v>11610</v>
      </c>
      <c r="BT612" t="str">
        <f>HYPERLINK("https%3A%2F%2Fwww.webofscience.com%2Fwos%2Fwoscc%2Ffull-record%2FWOS:000455012000314","View Full Record in Web of Science")</f>
        <v>View Full Record in Web of Science</v>
      </c>
    </row>
    <row r="613" spans="1:72" x14ac:dyDescent="0.15">
      <c r="A613" t="s">
        <v>1823</v>
      </c>
      <c r="B613" t="s">
        <v>11611</v>
      </c>
      <c r="C613" t="s">
        <v>74</v>
      </c>
      <c r="D613" t="s">
        <v>74</v>
      </c>
      <c r="E613" t="s">
        <v>1825</v>
      </c>
      <c r="F613" t="s">
        <v>11612</v>
      </c>
      <c r="G613" t="s">
        <v>74</v>
      </c>
      <c r="H613" t="s">
        <v>74</v>
      </c>
      <c r="I613" t="s">
        <v>11613</v>
      </c>
      <c r="J613" t="s">
        <v>11581</v>
      </c>
      <c r="K613" t="s">
        <v>3037</v>
      </c>
      <c r="L613" t="s">
        <v>74</v>
      </c>
      <c r="M613" t="s">
        <v>78</v>
      </c>
      <c r="N613" t="s">
        <v>1829</v>
      </c>
      <c r="O613" t="s">
        <v>11582</v>
      </c>
      <c r="P613" t="s">
        <v>11583</v>
      </c>
      <c r="Q613" t="s">
        <v>11584</v>
      </c>
      <c r="R613" t="s">
        <v>74</v>
      </c>
      <c r="S613" t="s">
        <v>74</v>
      </c>
      <c r="T613" t="s">
        <v>11614</v>
      </c>
      <c r="U613" t="s">
        <v>74</v>
      </c>
      <c r="V613" t="s">
        <v>11615</v>
      </c>
      <c r="W613" t="s">
        <v>11616</v>
      </c>
      <c r="X613" t="s">
        <v>11605</v>
      </c>
      <c r="Y613" t="s">
        <v>11617</v>
      </c>
      <c r="Z613" t="s">
        <v>11618</v>
      </c>
      <c r="AA613" t="s">
        <v>11619</v>
      </c>
      <c r="AB613" t="s">
        <v>74</v>
      </c>
      <c r="AC613" t="s">
        <v>11620</v>
      </c>
      <c r="AD613" t="s">
        <v>357</v>
      </c>
      <c r="AE613" t="s">
        <v>11621</v>
      </c>
      <c r="AF613" t="s">
        <v>74</v>
      </c>
      <c r="AG613">
        <v>19</v>
      </c>
      <c r="AH613">
        <v>0</v>
      </c>
      <c r="AI613">
        <v>0</v>
      </c>
      <c r="AJ613">
        <v>0</v>
      </c>
      <c r="AK613">
        <v>2</v>
      </c>
      <c r="AL613" t="s">
        <v>1825</v>
      </c>
      <c r="AM613" t="s">
        <v>187</v>
      </c>
      <c r="AN613" t="s">
        <v>1842</v>
      </c>
      <c r="AO613" t="s">
        <v>3052</v>
      </c>
      <c r="AP613" t="s">
        <v>74</v>
      </c>
      <c r="AQ613" t="s">
        <v>74</v>
      </c>
      <c r="AR613" t="s">
        <v>3037</v>
      </c>
      <c r="AS613" t="s">
        <v>74</v>
      </c>
      <c r="AT613" t="s">
        <v>74</v>
      </c>
      <c r="AU613">
        <v>2017</v>
      </c>
      <c r="AV613" t="s">
        <v>74</v>
      </c>
      <c r="AW613" t="s">
        <v>74</v>
      </c>
      <c r="AX613" t="s">
        <v>74</v>
      </c>
      <c r="AY613" t="s">
        <v>74</v>
      </c>
      <c r="AZ613" t="s">
        <v>74</v>
      </c>
      <c r="BA613" t="s">
        <v>74</v>
      </c>
      <c r="BB613" t="s">
        <v>74</v>
      </c>
      <c r="BC613" t="s">
        <v>74</v>
      </c>
      <c r="BD613" t="s">
        <v>74</v>
      </c>
      <c r="BE613" t="s">
        <v>74</v>
      </c>
      <c r="BF613" t="s">
        <v>74</v>
      </c>
      <c r="BG613" t="s">
        <v>74</v>
      </c>
      <c r="BH613" t="s">
        <v>74</v>
      </c>
      <c r="BI613">
        <v>7</v>
      </c>
      <c r="BJ613" t="s">
        <v>11594</v>
      </c>
      <c r="BK613" t="s">
        <v>1844</v>
      </c>
      <c r="BL613" t="s">
        <v>11595</v>
      </c>
      <c r="BM613" t="s">
        <v>11596</v>
      </c>
      <c r="BN613" t="s">
        <v>74</v>
      </c>
      <c r="BO613" t="s">
        <v>74</v>
      </c>
      <c r="BP613" t="s">
        <v>74</v>
      </c>
      <c r="BQ613" t="s">
        <v>74</v>
      </c>
      <c r="BR613" t="s">
        <v>105</v>
      </c>
      <c r="BS613" t="s">
        <v>11622</v>
      </c>
      <c r="BT613" t="str">
        <f>HYPERLINK("https%3A%2F%2Fwww.webofscience.com%2Fwos%2Fwoscc%2Ffull-record%2FWOS:000455012000016","View Full Record in Web of Science")</f>
        <v>View Full Record in Web of Science</v>
      </c>
    </row>
    <row r="614" spans="1:72" x14ac:dyDescent="0.15">
      <c r="A614" t="s">
        <v>1823</v>
      </c>
      <c r="B614" t="s">
        <v>11623</v>
      </c>
      <c r="C614" t="s">
        <v>74</v>
      </c>
      <c r="D614" t="s">
        <v>74</v>
      </c>
      <c r="E614" t="s">
        <v>1825</v>
      </c>
      <c r="F614" t="s">
        <v>11624</v>
      </c>
      <c r="G614" t="s">
        <v>74</v>
      </c>
      <c r="H614" t="s">
        <v>74</v>
      </c>
      <c r="I614" t="s">
        <v>11625</v>
      </c>
      <c r="J614" t="s">
        <v>11581</v>
      </c>
      <c r="K614" t="s">
        <v>3037</v>
      </c>
      <c r="L614" t="s">
        <v>74</v>
      </c>
      <c r="M614" t="s">
        <v>78</v>
      </c>
      <c r="N614" t="s">
        <v>1829</v>
      </c>
      <c r="O614" t="s">
        <v>11582</v>
      </c>
      <c r="P614" t="s">
        <v>11583</v>
      </c>
      <c r="Q614" t="s">
        <v>11584</v>
      </c>
      <c r="R614" t="s">
        <v>74</v>
      </c>
      <c r="S614" t="s">
        <v>74</v>
      </c>
      <c r="T614" t="s">
        <v>11626</v>
      </c>
      <c r="U614" t="s">
        <v>11627</v>
      </c>
      <c r="V614" t="s">
        <v>11628</v>
      </c>
      <c r="W614" t="s">
        <v>11629</v>
      </c>
      <c r="X614" t="s">
        <v>11605</v>
      </c>
      <c r="Y614" t="s">
        <v>11630</v>
      </c>
      <c r="Z614" t="s">
        <v>11631</v>
      </c>
      <c r="AA614" t="s">
        <v>74</v>
      </c>
      <c r="AB614" t="s">
        <v>11632</v>
      </c>
      <c r="AC614" t="s">
        <v>11633</v>
      </c>
      <c r="AD614" t="s">
        <v>11634</v>
      </c>
      <c r="AE614" t="s">
        <v>11635</v>
      </c>
      <c r="AF614" t="s">
        <v>74</v>
      </c>
      <c r="AG614">
        <v>37</v>
      </c>
      <c r="AH614">
        <v>0</v>
      </c>
      <c r="AI614">
        <v>0</v>
      </c>
      <c r="AJ614">
        <v>1</v>
      </c>
      <c r="AK614">
        <v>1</v>
      </c>
      <c r="AL614" t="s">
        <v>1825</v>
      </c>
      <c r="AM614" t="s">
        <v>187</v>
      </c>
      <c r="AN614" t="s">
        <v>1842</v>
      </c>
      <c r="AO614" t="s">
        <v>3052</v>
      </c>
      <c r="AP614" t="s">
        <v>74</v>
      </c>
      <c r="AQ614" t="s">
        <v>74</v>
      </c>
      <c r="AR614" t="s">
        <v>3037</v>
      </c>
      <c r="AS614" t="s">
        <v>74</v>
      </c>
      <c r="AT614" t="s">
        <v>74</v>
      </c>
      <c r="AU614">
        <v>2017</v>
      </c>
      <c r="AV614" t="s">
        <v>74</v>
      </c>
      <c r="AW614" t="s">
        <v>74</v>
      </c>
      <c r="AX614" t="s">
        <v>74</v>
      </c>
      <c r="AY614" t="s">
        <v>74</v>
      </c>
      <c r="AZ614" t="s">
        <v>74</v>
      </c>
      <c r="BA614" t="s">
        <v>74</v>
      </c>
      <c r="BB614" t="s">
        <v>74</v>
      </c>
      <c r="BC614" t="s">
        <v>74</v>
      </c>
      <c r="BD614" t="s">
        <v>74</v>
      </c>
      <c r="BE614" t="s">
        <v>74</v>
      </c>
      <c r="BF614" t="s">
        <v>74</v>
      </c>
      <c r="BG614" t="s">
        <v>74</v>
      </c>
      <c r="BH614" t="s">
        <v>74</v>
      </c>
      <c r="BI614">
        <v>6</v>
      </c>
      <c r="BJ614" t="s">
        <v>11594</v>
      </c>
      <c r="BK614" t="s">
        <v>1844</v>
      </c>
      <c r="BL614" t="s">
        <v>11595</v>
      </c>
      <c r="BM614" t="s">
        <v>11596</v>
      </c>
      <c r="BN614" t="s">
        <v>74</v>
      </c>
      <c r="BO614" t="s">
        <v>74</v>
      </c>
      <c r="BP614" t="s">
        <v>74</v>
      </c>
      <c r="BQ614" t="s">
        <v>74</v>
      </c>
      <c r="BR614" t="s">
        <v>105</v>
      </c>
      <c r="BS614" t="s">
        <v>11636</v>
      </c>
      <c r="BT614" t="str">
        <f>HYPERLINK("https%3A%2F%2Fwww.webofscience.com%2Fwos%2Fwoscc%2Ffull-record%2FWOS:000455012000225","View Full Record in Web of Science")</f>
        <v>View Full Record in Web of Science</v>
      </c>
    </row>
    <row r="615" spans="1:72" x14ac:dyDescent="0.15">
      <c r="A615" t="s">
        <v>1823</v>
      </c>
      <c r="B615" t="s">
        <v>11637</v>
      </c>
      <c r="C615" t="s">
        <v>74</v>
      </c>
      <c r="D615" t="s">
        <v>74</v>
      </c>
      <c r="E615" t="s">
        <v>1825</v>
      </c>
      <c r="F615" t="s">
        <v>11638</v>
      </c>
      <c r="G615" t="s">
        <v>74</v>
      </c>
      <c r="H615" t="s">
        <v>74</v>
      </c>
      <c r="I615" t="s">
        <v>11639</v>
      </c>
      <c r="J615" t="s">
        <v>11581</v>
      </c>
      <c r="K615" t="s">
        <v>3037</v>
      </c>
      <c r="L615" t="s">
        <v>74</v>
      </c>
      <c r="M615" t="s">
        <v>78</v>
      </c>
      <c r="N615" t="s">
        <v>1829</v>
      </c>
      <c r="O615" t="s">
        <v>11582</v>
      </c>
      <c r="P615" t="s">
        <v>11583</v>
      </c>
      <c r="Q615" t="s">
        <v>11584</v>
      </c>
      <c r="R615" t="s">
        <v>74</v>
      </c>
      <c r="S615" t="s">
        <v>74</v>
      </c>
      <c r="T615" t="s">
        <v>11640</v>
      </c>
      <c r="U615" t="s">
        <v>74</v>
      </c>
      <c r="V615" t="s">
        <v>11641</v>
      </c>
      <c r="W615" t="s">
        <v>11642</v>
      </c>
      <c r="X615" t="s">
        <v>74</v>
      </c>
      <c r="Y615" t="s">
        <v>11643</v>
      </c>
      <c r="Z615" t="s">
        <v>11644</v>
      </c>
      <c r="AA615" t="s">
        <v>74</v>
      </c>
      <c r="AB615" t="s">
        <v>74</v>
      </c>
      <c r="AC615" t="s">
        <v>74</v>
      </c>
      <c r="AD615" t="s">
        <v>74</v>
      </c>
      <c r="AE615" t="s">
        <v>74</v>
      </c>
      <c r="AF615" t="s">
        <v>74</v>
      </c>
      <c r="AG615">
        <v>2</v>
      </c>
      <c r="AH615">
        <v>2</v>
      </c>
      <c r="AI615">
        <v>2</v>
      </c>
      <c r="AJ615">
        <v>0</v>
      </c>
      <c r="AK615">
        <v>2</v>
      </c>
      <c r="AL615" t="s">
        <v>1825</v>
      </c>
      <c r="AM615" t="s">
        <v>187</v>
      </c>
      <c r="AN615" t="s">
        <v>1842</v>
      </c>
      <c r="AO615" t="s">
        <v>3052</v>
      </c>
      <c r="AP615" t="s">
        <v>74</v>
      </c>
      <c r="AQ615" t="s">
        <v>74</v>
      </c>
      <c r="AR615" t="s">
        <v>3037</v>
      </c>
      <c r="AS615" t="s">
        <v>74</v>
      </c>
      <c r="AT615" t="s">
        <v>74</v>
      </c>
      <c r="AU615">
        <v>2017</v>
      </c>
      <c r="AV615" t="s">
        <v>74</v>
      </c>
      <c r="AW615" t="s">
        <v>74</v>
      </c>
      <c r="AX615" t="s">
        <v>74</v>
      </c>
      <c r="AY615" t="s">
        <v>74</v>
      </c>
      <c r="AZ615" t="s">
        <v>74</v>
      </c>
      <c r="BA615" t="s">
        <v>74</v>
      </c>
      <c r="BB615" t="s">
        <v>74</v>
      </c>
      <c r="BC615" t="s">
        <v>74</v>
      </c>
      <c r="BD615" t="s">
        <v>74</v>
      </c>
      <c r="BE615" t="s">
        <v>74</v>
      </c>
      <c r="BF615" t="s">
        <v>74</v>
      </c>
      <c r="BG615" t="s">
        <v>74</v>
      </c>
      <c r="BH615" t="s">
        <v>74</v>
      </c>
      <c r="BI615">
        <v>6</v>
      </c>
      <c r="BJ615" t="s">
        <v>11594</v>
      </c>
      <c r="BK615" t="s">
        <v>1844</v>
      </c>
      <c r="BL615" t="s">
        <v>11595</v>
      </c>
      <c r="BM615" t="s">
        <v>11596</v>
      </c>
      <c r="BN615" t="s">
        <v>74</v>
      </c>
      <c r="BO615" t="s">
        <v>74</v>
      </c>
      <c r="BP615" t="s">
        <v>74</v>
      </c>
      <c r="BQ615" t="s">
        <v>74</v>
      </c>
      <c r="BR615" t="s">
        <v>105</v>
      </c>
      <c r="BS615" t="s">
        <v>11645</v>
      </c>
      <c r="BT615" t="str">
        <f>HYPERLINK("https%3A%2F%2Fwww.webofscience.com%2Fwos%2Fwoscc%2Ffull-record%2FWOS:000455012000275","View Full Record in Web of Science")</f>
        <v>View Full Record in Web of Science</v>
      </c>
    </row>
    <row r="616" spans="1:72" x14ac:dyDescent="0.15">
      <c r="A616" t="s">
        <v>1823</v>
      </c>
      <c r="B616" t="s">
        <v>11646</v>
      </c>
      <c r="C616" t="s">
        <v>74</v>
      </c>
      <c r="D616" t="s">
        <v>74</v>
      </c>
      <c r="E616" t="s">
        <v>1825</v>
      </c>
      <c r="F616" t="s">
        <v>11647</v>
      </c>
      <c r="G616" t="s">
        <v>74</v>
      </c>
      <c r="H616" t="s">
        <v>74</v>
      </c>
      <c r="I616" t="s">
        <v>11648</v>
      </c>
      <c r="J616" t="s">
        <v>11581</v>
      </c>
      <c r="K616" t="s">
        <v>3037</v>
      </c>
      <c r="L616" t="s">
        <v>74</v>
      </c>
      <c r="M616" t="s">
        <v>78</v>
      </c>
      <c r="N616" t="s">
        <v>1829</v>
      </c>
      <c r="O616" t="s">
        <v>11582</v>
      </c>
      <c r="P616" t="s">
        <v>11583</v>
      </c>
      <c r="Q616" t="s">
        <v>11584</v>
      </c>
      <c r="R616" t="s">
        <v>74</v>
      </c>
      <c r="S616" t="s">
        <v>74</v>
      </c>
      <c r="T616" t="s">
        <v>11649</v>
      </c>
      <c r="U616" t="s">
        <v>74</v>
      </c>
      <c r="V616" t="s">
        <v>11650</v>
      </c>
      <c r="W616" t="s">
        <v>11651</v>
      </c>
      <c r="X616" t="s">
        <v>4170</v>
      </c>
      <c r="Y616" t="s">
        <v>11652</v>
      </c>
      <c r="Z616" t="s">
        <v>11653</v>
      </c>
      <c r="AA616" t="s">
        <v>74</v>
      </c>
      <c r="AB616" t="s">
        <v>74</v>
      </c>
      <c r="AC616" t="s">
        <v>74</v>
      </c>
      <c r="AD616" t="s">
        <v>74</v>
      </c>
      <c r="AE616" t="s">
        <v>74</v>
      </c>
      <c r="AF616" t="s">
        <v>74</v>
      </c>
      <c r="AG616">
        <v>4</v>
      </c>
      <c r="AH616">
        <v>2</v>
      </c>
      <c r="AI616">
        <v>2</v>
      </c>
      <c r="AJ616">
        <v>0</v>
      </c>
      <c r="AK616">
        <v>0</v>
      </c>
      <c r="AL616" t="s">
        <v>1825</v>
      </c>
      <c r="AM616" t="s">
        <v>187</v>
      </c>
      <c r="AN616" t="s">
        <v>1842</v>
      </c>
      <c r="AO616" t="s">
        <v>3052</v>
      </c>
      <c r="AP616" t="s">
        <v>74</v>
      </c>
      <c r="AQ616" t="s">
        <v>74</v>
      </c>
      <c r="AR616" t="s">
        <v>3037</v>
      </c>
      <c r="AS616" t="s">
        <v>74</v>
      </c>
      <c r="AT616" t="s">
        <v>74</v>
      </c>
      <c r="AU616">
        <v>2017</v>
      </c>
      <c r="AV616" t="s">
        <v>74</v>
      </c>
      <c r="AW616" t="s">
        <v>74</v>
      </c>
      <c r="AX616" t="s">
        <v>74</v>
      </c>
      <c r="AY616" t="s">
        <v>74</v>
      </c>
      <c r="AZ616" t="s">
        <v>74</v>
      </c>
      <c r="BA616" t="s">
        <v>74</v>
      </c>
      <c r="BB616" t="s">
        <v>74</v>
      </c>
      <c r="BC616" t="s">
        <v>74</v>
      </c>
      <c r="BD616" t="s">
        <v>74</v>
      </c>
      <c r="BE616" t="s">
        <v>74</v>
      </c>
      <c r="BF616" t="s">
        <v>74</v>
      </c>
      <c r="BG616" t="s">
        <v>74</v>
      </c>
      <c r="BH616" t="s">
        <v>74</v>
      </c>
      <c r="BI616">
        <v>4</v>
      </c>
      <c r="BJ616" t="s">
        <v>11594</v>
      </c>
      <c r="BK616" t="s">
        <v>1844</v>
      </c>
      <c r="BL616" t="s">
        <v>11595</v>
      </c>
      <c r="BM616" t="s">
        <v>11596</v>
      </c>
      <c r="BN616" t="s">
        <v>74</v>
      </c>
      <c r="BO616" t="s">
        <v>74</v>
      </c>
      <c r="BP616" t="s">
        <v>74</v>
      </c>
      <c r="BQ616" t="s">
        <v>74</v>
      </c>
      <c r="BR616" t="s">
        <v>105</v>
      </c>
      <c r="BS616" t="s">
        <v>11654</v>
      </c>
      <c r="BT616" t="str">
        <f>HYPERLINK("https%3A%2F%2Fwww.webofscience.com%2Fwos%2Fwoscc%2Ffull-record%2FWOS:000455012000015","View Full Record in Web of Science")</f>
        <v>View Full Record in Web of Science</v>
      </c>
    </row>
    <row r="617" spans="1:72" x14ac:dyDescent="0.15">
      <c r="A617" t="s">
        <v>72</v>
      </c>
      <c r="B617" t="s">
        <v>11655</v>
      </c>
      <c r="C617" t="s">
        <v>74</v>
      </c>
      <c r="D617" t="s">
        <v>74</v>
      </c>
      <c r="E617" t="s">
        <v>74</v>
      </c>
      <c r="F617" t="s">
        <v>11656</v>
      </c>
      <c r="G617" t="s">
        <v>74</v>
      </c>
      <c r="H617" t="s">
        <v>74</v>
      </c>
      <c r="I617" t="s">
        <v>11657</v>
      </c>
      <c r="J617" t="s">
        <v>1164</v>
      </c>
      <c r="K617" t="s">
        <v>74</v>
      </c>
      <c r="L617" t="s">
        <v>74</v>
      </c>
      <c r="M617" t="s">
        <v>78</v>
      </c>
      <c r="N617" t="s">
        <v>79</v>
      </c>
      <c r="O617" t="s">
        <v>74</v>
      </c>
      <c r="P617" t="s">
        <v>74</v>
      </c>
      <c r="Q617" t="s">
        <v>74</v>
      </c>
      <c r="R617" t="s">
        <v>74</v>
      </c>
      <c r="S617" t="s">
        <v>74</v>
      </c>
      <c r="T617" t="s">
        <v>11658</v>
      </c>
      <c r="U617" t="s">
        <v>11659</v>
      </c>
      <c r="V617" t="s">
        <v>11660</v>
      </c>
      <c r="W617" t="s">
        <v>11661</v>
      </c>
      <c r="X617" t="s">
        <v>11662</v>
      </c>
      <c r="Y617" t="s">
        <v>11663</v>
      </c>
      <c r="Z617" t="s">
        <v>11664</v>
      </c>
      <c r="AA617" t="s">
        <v>11665</v>
      </c>
      <c r="AB617" t="s">
        <v>11666</v>
      </c>
      <c r="AC617" t="s">
        <v>11667</v>
      </c>
      <c r="AD617" t="s">
        <v>11668</v>
      </c>
      <c r="AE617" t="s">
        <v>11669</v>
      </c>
      <c r="AF617" t="s">
        <v>74</v>
      </c>
      <c r="AG617">
        <v>46</v>
      </c>
      <c r="AH617">
        <v>21</v>
      </c>
      <c r="AI617">
        <v>23</v>
      </c>
      <c r="AJ617">
        <v>1</v>
      </c>
      <c r="AK617">
        <v>9</v>
      </c>
      <c r="AL617" t="s">
        <v>168</v>
      </c>
      <c r="AM617" t="s">
        <v>169</v>
      </c>
      <c r="AN617" t="s">
        <v>170</v>
      </c>
      <c r="AO617" t="s">
        <v>1175</v>
      </c>
      <c r="AP617" t="s">
        <v>1176</v>
      </c>
      <c r="AQ617" t="s">
        <v>74</v>
      </c>
      <c r="AR617" t="s">
        <v>1177</v>
      </c>
      <c r="AS617" t="s">
        <v>1178</v>
      </c>
      <c r="AT617" t="s">
        <v>2162</v>
      </c>
      <c r="AU617">
        <v>2017</v>
      </c>
      <c r="AV617">
        <v>465</v>
      </c>
      <c r="AW617" t="s">
        <v>74</v>
      </c>
      <c r="AX617" t="s">
        <v>2331</v>
      </c>
      <c r="AY617" t="s">
        <v>74</v>
      </c>
      <c r="AZ617" t="s">
        <v>270</v>
      </c>
      <c r="BA617" t="s">
        <v>74</v>
      </c>
      <c r="BB617">
        <v>300</v>
      </c>
      <c r="BC617">
        <v>306</v>
      </c>
      <c r="BD617" t="s">
        <v>74</v>
      </c>
      <c r="BE617" t="s">
        <v>11670</v>
      </c>
      <c r="BF617" t="str">
        <f>HYPERLINK("http://dx.doi.org/10.1016/j.palaeo.2016.05.004","http://dx.doi.org/10.1016/j.palaeo.2016.05.004")</f>
        <v>http://dx.doi.org/10.1016/j.palaeo.2016.05.004</v>
      </c>
      <c r="BG617" t="s">
        <v>74</v>
      </c>
      <c r="BH617" t="s">
        <v>74</v>
      </c>
      <c r="BI617">
        <v>7</v>
      </c>
      <c r="BJ617" t="s">
        <v>1180</v>
      </c>
      <c r="BK617" t="s">
        <v>101</v>
      </c>
      <c r="BL617" t="s">
        <v>1181</v>
      </c>
      <c r="BM617" t="s">
        <v>11671</v>
      </c>
      <c r="BN617" t="s">
        <v>74</v>
      </c>
      <c r="BO617" t="s">
        <v>11672</v>
      </c>
      <c r="BP617" t="s">
        <v>74</v>
      </c>
      <c r="BQ617" t="s">
        <v>74</v>
      </c>
      <c r="BR617" t="s">
        <v>105</v>
      </c>
      <c r="BS617" t="s">
        <v>11673</v>
      </c>
      <c r="BT617" t="str">
        <f>HYPERLINK("https%3A%2F%2Fwww.webofscience.com%2Fwos%2Fwoscc%2Ffull-record%2FWOS:000390499000002","View Full Record in Web of Science")</f>
        <v>View Full Record in Web of Science</v>
      </c>
    </row>
    <row r="618" spans="1:72" x14ac:dyDescent="0.15">
      <c r="A618" t="s">
        <v>72</v>
      </c>
      <c r="B618" t="s">
        <v>11674</v>
      </c>
      <c r="C618" t="s">
        <v>74</v>
      </c>
      <c r="D618" t="s">
        <v>74</v>
      </c>
      <c r="E618" t="s">
        <v>74</v>
      </c>
      <c r="F618" t="s">
        <v>11675</v>
      </c>
      <c r="G618" t="s">
        <v>74</v>
      </c>
      <c r="H618" t="s">
        <v>74</v>
      </c>
      <c r="I618" t="s">
        <v>11676</v>
      </c>
      <c r="J618" t="s">
        <v>11677</v>
      </c>
      <c r="K618" t="s">
        <v>74</v>
      </c>
      <c r="L618" t="s">
        <v>74</v>
      </c>
      <c r="M618" t="s">
        <v>78</v>
      </c>
      <c r="N618" t="s">
        <v>79</v>
      </c>
      <c r="O618" t="s">
        <v>74</v>
      </c>
      <c r="P618" t="s">
        <v>74</v>
      </c>
      <c r="Q618" t="s">
        <v>74</v>
      </c>
      <c r="R618" t="s">
        <v>74</v>
      </c>
      <c r="S618" t="s">
        <v>74</v>
      </c>
      <c r="T618" t="s">
        <v>74</v>
      </c>
      <c r="U618" t="s">
        <v>11678</v>
      </c>
      <c r="V618" t="s">
        <v>11679</v>
      </c>
      <c r="W618" t="s">
        <v>11680</v>
      </c>
      <c r="X618" t="s">
        <v>11681</v>
      </c>
      <c r="Y618" t="s">
        <v>11682</v>
      </c>
      <c r="Z618" t="s">
        <v>11683</v>
      </c>
      <c r="AA618" t="s">
        <v>11684</v>
      </c>
      <c r="AB618" t="s">
        <v>11685</v>
      </c>
      <c r="AC618" t="s">
        <v>11686</v>
      </c>
      <c r="AD618" t="s">
        <v>11687</v>
      </c>
      <c r="AE618" t="s">
        <v>11688</v>
      </c>
      <c r="AF618" t="s">
        <v>74</v>
      </c>
      <c r="AG618">
        <v>90</v>
      </c>
      <c r="AH618">
        <v>82</v>
      </c>
      <c r="AI618">
        <v>85</v>
      </c>
      <c r="AJ618">
        <v>0</v>
      </c>
      <c r="AK618">
        <v>29</v>
      </c>
      <c r="AL618" t="s">
        <v>661</v>
      </c>
      <c r="AM618" t="s">
        <v>142</v>
      </c>
      <c r="AN618" t="s">
        <v>662</v>
      </c>
      <c r="AO618" t="s">
        <v>11689</v>
      </c>
      <c r="AP618" t="s">
        <v>11690</v>
      </c>
      <c r="AQ618" t="s">
        <v>74</v>
      </c>
      <c r="AR618" t="s">
        <v>11677</v>
      </c>
      <c r="AS618" t="s">
        <v>11691</v>
      </c>
      <c r="AT618" t="s">
        <v>2136</v>
      </c>
      <c r="AU618">
        <v>2017</v>
      </c>
      <c r="AV618">
        <v>32</v>
      </c>
      <c r="AW618">
        <v>1</v>
      </c>
      <c r="AX618" t="s">
        <v>74</v>
      </c>
      <c r="AY618" t="s">
        <v>74</v>
      </c>
      <c r="AZ618" t="s">
        <v>74</v>
      </c>
      <c r="BA618" t="s">
        <v>74</v>
      </c>
      <c r="BB618">
        <v>2</v>
      </c>
      <c r="BC618">
        <v>17</v>
      </c>
      <c r="BD618" t="s">
        <v>74</v>
      </c>
      <c r="BE618" t="s">
        <v>11692</v>
      </c>
      <c r="BF618" t="str">
        <f>HYPERLINK("http://dx.doi.org/10.1002/2016PA003024","http://dx.doi.org/10.1002/2016PA003024")</f>
        <v>http://dx.doi.org/10.1002/2016PA003024</v>
      </c>
      <c r="BG618" t="s">
        <v>74</v>
      </c>
      <c r="BH618" t="s">
        <v>74</v>
      </c>
      <c r="BI618">
        <v>16</v>
      </c>
      <c r="BJ618" t="s">
        <v>11693</v>
      </c>
      <c r="BK618" t="s">
        <v>101</v>
      </c>
      <c r="BL618" t="s">
        <v>11694</v>
      </c>
      <c r="BM618" t="s">
        <v>11695</v>
      </c>
      <c r="BN618" t="s">
        <v>74</v>
      </c>
      <c r="BO618" t="s">
        <v>11696</v>
      </c>
      <c r="BP618" t="s">
        <v>74</v>
      </c>
      <c r="BQ618" t="s">
        <v>74</v>
      </c>
      <c r="BR618" t="s">
        <v>105</v>
      </c>
      <c r="BS618" t="s">
        <v>11697</v>
      </c>
      <c r="BT618" t="str">
        <f>HYPERLINK("https%3A%2F%2Fwww.webofscience.com%2Fwos%2Fwoscc%2Ffull-record%2FWOS:000394989300001","View Full Record in Web of Science")</f>
        <v>View Full Record in Web of Science</v>
      </c>
    </row>
    <row r="619" spans="1:72" x14ac:dyDescent="0.15">
      <c r="A619" t="s">
        <v>1921</v>
      </c>
      <c r="B619" t="s">
        <v>11698</v>
      </c>
      <c r="C619" t="s">
        <v>11699</v>
      </c>
      <c r="D619" t="s">
        <v>74</v>
      </c>
      <c r="E619" t="s">
        <v>74</v>
      </c>
      <c r="F619" t="s">
        <v>11700</v>
      </c>
      <c r="G619" t="s">
        <v>11699</v>
      </c>
      <c r="H619" t="s">
        <v>74</v>
      </c>
      <c r="I619" t="s">
        <v>11701</v>
      </c>
      <c r="J619" t="s">
        <v>11702</v>
      </c>
      <c r="K619" t="s">
        <v>11703</v>
      </c>
      <c r="L619" t="s">
        <v>74</v>
      </c>
      <c r="M619" t="s">
        <v>78</v>
      </c>
      <c r="N619" t="s">
        <v>2067</v>
      </c>
      <c r="O619" t="s">
        <v>74</v>
      </c>
      <c r="P619" t="s">
        <v>74</v>
      </c>
      <c r="Q619" t="s">
        <v>74</v>
      </c>
      <c r="R619" t="s">
        <v>74</v>
      </c>
      <c r="S619" t="s">
        <v>74</v>
      </c>
      <c r="T619" t="s">
        <v>11704</v>
      </c>
      <c r="U619" t="s">
        <v>11705</v>
      </c>
      <c r="V619" t="s">
        <v>11706</v>
      </c>
      <c r="W619" t="s">
        <v>11707</v>
      </c>
      <c r="X619" t="s">
        <v>11708</v>
      </c>
      <c r="Y619" t="s">
        <v>11709</v>
      </c>
      <c r="Z619" t="s">
        <v>74</v>
      </c>
      <c r="AA619" t="s">
        <v>11710</v>
      </c>
      <c r="AB619" t="s">
        <v>11711</v>
      </c>
      <c r="AC619" t="s">
        <v>74</v>
      </c>
      <c r="AD619" t="s">
        <v>74</v>
      </c>
      <c r="AE619" t="s">
        <v>74</v>
      </c>
      <c r="AF619" t="s">
        <v>74</v>
      </c>
      <c r="AG619">
        <v>139</v>
      </c>
      <c r="AH619">
        <v>4</v>
      </c>
      <c r="AI619">
        <v>6</v>
      </c>
      <c r="AJ619">
        <v>1</v>
      </c>
      <c r="AK619">
        <v>5</v>
      </c>
      <c r="AL619" t="s">
        <v>3497</v>
      </c>
      <c r="AM619" t="s">
        <v>3498</v>
      </c>
      <c r="AN619" t="s">
        <v>3499</v>
      </c>
      <c r="AO619" t="s">
        <v>11712</v>
      </c>
      <c r="AP619" t="s">
        <v>11713</v>
      </c>
      <c r="AQ619" t="s">
        <v>11714</v>
      </c>
      <c r="AR619" t="s">
        <v>11715</v>
      </c>
      <c r="AS619" t="s">
        <v>74</v>
      </c>
      <c r="AT619" t="s">
        <v>74</v>
      </c>
      <c r="AU619">
        <v>2017</v>
      </c>
      <c r="AV619" t="s">
        <v>74</v>
      </c>
      <c r="AW619" t="s">
        <v>74</v>
      </c>
      <c r="AX619" t="s">
        <v>74</v>
      </c>
      <c r="AY619" t="s">
        <v>74</v>
      </c>
      <c r="AZ619" t="s">
        <v>74</v>
      </c>
      <c r="BA619" t="s">
        <v>74</v>
      </c>
      <c r="BB619">
        <v>1</v>
      </c>
      <c r="BC619">
        <v>50</v>
      </c>
      <c r="BD619" t="s">
        <v>74</v>
      </c>
      <c r="BE619" t="s">
        <v>11716</v>
      </c>
      <c r="BF619" t="str">
        <f>HYPERLINK("http://dx.doi.org/10.1007/978-3-319-46939-3_1","http://dx.doi.org/10.1007/978-3-319-46939-3_1")</f>
        <v>http://dx.doi.org/10.1007/978-3-319-46939-3_1</v>
      </c>
      <c r="BG619" t="s">
        <v>11717</v>
      </c>
      <c r="BH619" t="s">
        <v>74</v>
      </c>
      <c r="BI619">
        <v>50</v>
      </c>
      <c r="BJ619" t="s">
        <v>11718</v>
      </c>
      <c r="BK619" t="s">
        <v>3212</v>
      </c>
      <c r="BL619" t="s">
        <v>11719</v>
      </c>
      <c r="BM619" t="s">
        <v>11720</v>
      </c>
      <c r="BN619" t="s">
        <v>74</v>
      </c>
      <c r="BO619" t="s">
        <v>301</v>
      </c>
      <c r="BP619" t="s">
        <v>74</v>
      </c>
      <c r="BQ619" t="s">
        <v>74</v>
      </c>
      <c r="BR619" t="s">
        <v>105</v>
      </c>
      <c r="BS619" t="s">
        <v>11721</v>
      </c>
      <c r="BT619" t="str">
        <f>HYPERLINK("https%3A%2F%2Fwww.webofscience.com%2Fwos%2Fwoscc%2Ffull-record%2FWOS:000445175800002","View Full Record in Web of Science")</f>
        <v>View Full Record in Web of Science</v>
      </c>
    </row>
    <row r="620" spans="1:72" x14ac:dyDescent="0.15">
      <c r="A620" t="s">
        <v>72</v>
      </c>
      <c r="B620" t="s">
        <v>11722</v>
      </c>
      <c r="C620" t="s">
        <v>74</v>
      </c>
      <c r="D620" t="s">
        <v>74</v>
      </c>
      <c r="E620" t="s">
        <v>74</v>
      </c>
      <c r="F620" t="s">
        <v>11723</v>
      </c>
      <c r="G620" t="s">
        <v>74</v>
      </c>
      <c r="H620" t="s">
        <v>74</v>
      </c>
      <c r="I620" t="s">
        <v>11724</v>
      </c>
      <c r="J620" t="s">
        <v>11725</v>
      </c>
      <c r="K620" t="s">
        <v>74</v>
      </c>
      <c r="L620" t="s">
        <v>74</v>
      </c>
      <c r="M620" t="s">
        <v>78</v>
      </c>
      <c r="N620" t="s">
        <v>79</v>
      </c>
      <c r="O620" t="s">
        <v>74</v>
      </c>
      <c r="P620" t="s">
        <v>74</v>
      </c>
      <c r="Q620" t="s">
        <v>74</v>
      </c>
      <c r="R620" t="s">
        <v>74</v>
      </c>
      <c r="S620" t="s">
        <v>74</v>
      </c>
      <c r="T620" t="s">
        <v>11726</v>
      </c>
      <c r="U620" t="s">
        <v>11727</v>
      </c>
      <c r="V620" t="s">
        <v>11728</v>
      </c>
      <c r="W620" t="s">
        <v>11729</v>
      </c>
      <c r="X620" t="s">
        <v>11730</v>
      </c>
      <c r="Y620" t="s">
        <v>11731</v>
      </c>
      <c r="Z620" t="s">
        <v>11732</v>
      </c>
      <c r="AA620" t="s">
        <v>11733</v>
      </c>
      <c r="AB620" t="s">
        <v>11734</v>
      </c>
      <c r="AC620" t="s">
        <v>11735</v>
      </c>
      <c r="AD620" t="s">
        <v>11736</v>
      </c>
      <c r="AE620" t="s">
        <v>11737</v>
      </c>
      <c r="AF620" t="s">
        <v>74</v>
      </c>
      <c r="AG620">
        <v>37</v>
      </c>
      <c r="AH620">
        <v>3</v>
      </c>
      <c r="AI620">
        <v>3</v>
      </c>
      <c r="AJ620">
        <v>1</v>
      </c>
      <c r="AK620">
        <v>28</v>
      </c>
      <c r="AL620" t="s">
        <v>2377</v>
      </c>
      <c r="AM620" t="s">
        <v>2378</v>
      </c>
      <c r="AN620" t="s">
        <v>2379</v>
      </c>
      <c r="AO620" t="s">
        <v>11738</v>
      </c>
      <c r="AP620" t="s">
        <v>11739</v>
      </c>
      <c r="AQ620" t="s">
        <v>74</v>
      </c>
      <c r="AR620" t="s">
        <v>11740</v>
      </c>
      <c r="AS620" t="s">
        <v>11741</v>
      </c>
      <c r="AT620" t="s">
        <v>2024</v>
      </c>
      <c r="AU620">
        <v>2017</v>
      </c>
      <c r="AV620">
        <v>28</v>
      </c>
      <c r="AW620">
        <v>1</v>
      </c>
      <c r="AX620" t="s">
        <v>74</v>
      </c>
      <c r="AY620" t="s">
        <v>74</v>
      </c>
      <c r="AZ620" t="s">
        <v>74</v>
      </c>
      <c r="BA620" t="s">
        <v>74</v>
      </c>
      <c r="BB620">
        <v>314</v>
      </c>
      <c r="BC620">
        <v>321</v>
      </c>
      <c r="BD620" t="s">
        <v>74</v>
      </c>
      <c r="BE620" t="s">
        <v>11742</v>
      </c>
      <c r="BF620" t="str">
        <f>HYPERLINK("http://dx.doi.org/10.1002/ppp.1886","http://dx.doi.org/10.1002/ppp.1886")</f>
        <v>http://dx.doi.org/10.1002/ppp.1886</v>
      </c>
      <c r="BG620" t="s">
        <v>74</v>
      </c>
      <c r="BH620" t="s">
        <v>74</v>
      </c>
      <c r="BI620">
        <v>8</v>
      </c>
      <c r="BJ620" t="s">
        <v>5029</v>
      </c>
      <c r="BK620" t="s">
        <v>101</v>
      </c>
      <c r="BL620" t="s">
        <v>616</v>
      </c>
      <c r="BM620" t="s">
        <v>11743</v>
      </c>
      <c r="BN620" t="s">
        <v>74</v>
      </c>
      <c r="BO620" t="s">
        <v>1223</v>
      </c>
      <c r="BP620" t="s">
        <v>74</v>
      </c>
      <c r="BQ620" t="s">
        <v>74</v>
      </c>
      <c r="BR620" t="s">
        <v>105</v>
      </c>
      <c r="BS620" t="s">
        <v>11744</v>
      </c>
      <c r="BT620" t="str">
        <f>HYPERLINK("https%3A%2F%2Fwww.webofscience.com%2Fwos%2Fwoscc%2Ffull-record%2FWOS:000394429900026","View Full Record in Web of Science")</f>
        <v>View Full Record in Web of Science</v>
      </c>
    </row>
    <row r="621" spans="1:72" x14ac:dyDescent="0.15">
      <c r="A621" t="s">
        <v>72</v>
      </c>
      <c r="B621" t="s">
        <v>11745</v>
      </c>
      <c r="C621" t="s">
        <v>74</v>
      </c>
      <c r="D621" t="s">
        <v>74</v>
      </c>
      <c r="E621" t="s">
        <v>74</v>
      </c>
      <c r="F621" t="s">
        <v>11746</v>
      </c>
      <c r="G621" t="s">
        <v>74</v>
      </c>
      <c r="H621" t="s">
        <v>74</v>
      </c>
      <c r="I621" t="s">
        <v>11747</v>
      </c>
      <c r="J621" t="s">
        <v>9238</v>
      </c>
      <c r="K621" t="s">
        <v>74</v>
      </c>
      <c r="L621" t="s">
        <v>74</v>
      </c>
      <c r="M621" t="s">
        <v>78</v>
      </c>
      <c r="N621" t="s">
        <v>79</v>
      </c>
      <c r="O621" t="s">
        <v>74</v>
      </c>
      <c r="P621" t="s">
        <v>74</v>
      </c>
      <c r="Q621" t="s">
        <v>74</v>
      </c>
      <c r="R621" t="s">
        <v>74</v>
      </c>
      <c r="S621" t="s">
        <v>74</v>
      </c>
      <c r="T621" t="s">
        <v>11748</v>
      </c>
      <c r="U621" t="s">
        <v>11749</v>
      </c>
      <c r="V621" t="s">
        <v>11750</v>
      </c>
      <c r="W621" t="s">
        <v>11751</v>
      </c>
      <c r="X621" t="s">
        <v>4044</v>
      </c>
      <c r="Y621" t="s">
        <v>11752</v>
      </c>
      <c r="Z621" t="s">
        <v>11753</v>
      </c>
      <c r="AA621" t="s">
        <v>11754</v>
      </c>
      <c r="AB621" t="s">
        <v>11755</v>
      </c>
      <c r="AC621" t="s">
        <v>11756</v>
      </c>
      <c r="AD621" t="s">
        <v>11757</v>
      </c>
      <c r="AE621" t="s">
        <v>11758</v>
      </c>
      <c r="AF621" t="s">
        <v>74</v>
      </c>
      <c r="AG621">
        <v>56</v>
      </c>
      <c r="AH621">
        <v>12</v>
      </c>
      <c r="AI621">
        <v>12</v>
      </c>
      <c r="AJ621">
        <v>0</v>
      </c>
      <c r="AK621">
        <v>13</v>
      </c>
      <c r="AL621" t="s">
        <v>211</v>
      </c>
      <c r="AM621" t="s">
        <v>187</v>
      </c>
      <c r="AN621" t="s">
        <v>933</v>
      </c>
      <c r="AO621" t="s">
        <v>9250</v>
      </c>
      <c r="AP621" t="s">
        <v>9251</v>
      </c>
      <c r="AQ621" t="s">
        <v>74</v>
      </c>
      <c r="AR621" t="s">
        <v>9252</v>
      </c>
      <c r="AS621" t="s">
        <v>9253</v>
      </c>
      <c r="AT621" t="s">
        <v>2136</v>
      </c>
      <c r="AU621">
        <v>2017</v>
      </c>
      <c r="AV621">
        <v>40</v>
      </c>
      <c r="AW621">
        <v>1</v>
      </c>
      <c r="AX621" t="s">
        <v>74</v>
      </c>
      <c r="AY621" t="s">
        <v>74</v>
      </c>
      <c r="AZ621" t="s">
        <v>74</v>
      </c>
      <c r="BA621" t="s">
        <v>74</v>
      </c>
      <c r="BB621">
        <v>107</v>
      </c>
      <c r="BC621">
        <v>121</v>
      </c>
      <c r="BD621" t="s">
        <v>74</v>
      </c>
      <c r="BE621" t="s">
        <v>11759</v>
      </c>
      <c r="BF621" t="str">
        <f>HYPERLINK("http://dx.doi.org/10.1007/s00300-016-1929-7","http://dx.doi.org/10.1007/s00300-016-1929-7")</f>
        <v>http://dx.doi.org/10.1007/s00300-016-1929-7</v>
      </c>
      <c r="BG621" t="s">
        <v>74</v>
      </c>
      <c r="BH621" t="s">
        <v>74</v>
      </c>
      <c r="BI621">
        <v>15</v>
      </c>
      <c r="BJ621" t="s">
        <v>5867</v>
      </c>
      <c r="BK621" t="s">
        <v>101</v>
      </c>
      <c r="BL621" t="s">
        <v>2257</v>
      </c>
      <c r="BM621" t="s">
        <v>9255</v>
      </c>
      <c r="BN621" t="s">
        <v>74</v>
      </c>
      <c r="BO621" t="s">
        <v>1223</v>
      </c>
      <c r="BP621" t="s">
        <v>74</v>
      </c>
      <c r="BQ621" t="s">
        <v>74</v>
      </c>
      <c r="BR621" t="s">
        <v>105</v>
      </c>
      <c r="BS621" t="s">
        <v>11760</v>
      </c>
      <c r="BT621" t="str">
        <f>HYPERLINK("https%3A%2F%2Fwww.webofscience.com%2Fwos%2Fwoscc%2Ffull-record%2FWOS:000391401900009","View Full Record in Web of Science")</f>
        <v>View Full Record in Web of Science</v>
      </c>
    </row>
    <row r="622" spans="1:72" x14ac:dyDescent="0.15">
      <c r="A622" t="s">
        <v>72</v>
      </c>
      <c r="B622" t="s">
        <v>11761</v>
      </c>
      <c r="C622" t="s">
        <v>74</v>
      </c>
      <c r="D622" t="s">
        <v>74</v>
      </c>
      <c r="E622" t="s">
        <v>74</v>
      </c>
      <c r="F622" t="s">
        <v>11762</v>
      </c>
      <c r="G622" t="s">
        <v>74</v>
      </c>
      <c r="H622" t="s">
        <v>74</v>
      </c>
      <c r="I622" t="s">
        <v>11763</v>
      </c>
      <c r="J622" t="s">
        <v>9238</v>
      </c>
      <c r="K622" t="s">
        <v>74</v>
      </c>
      <c r="L622" t="s">
        <v>74</v>
      </c>
      <c r="M622" t="s">
        <v>78</v>
      </c>
      <c r="N622" t="s">
        <v>79</v>
      </c>
      <c r="O622" t="s">
        <v>74</v>
      </c>
      <c r="P622" t="s">
        <v>74</v>
      </c>
      <c r="Q622" t="s">
        <v>74</v>
      </c>
      <c r="R622" t="s">
        <v>74</v>
      </c>
      <c r="S622" t="s">
        <v>74</v>
      </c>
      <c r="T622" t="s">
        <v>11764</v>
      </c>
      <c r="U622" t="s">
        <v>11765</v>
      </c>
      <c r="V622" t="s">
        <v>11766</v>
      </c>
      <c r="W622" t="s">
        <v>11767</v>
      </c>
      <c r="X622" t="s">
        <v>11768</v>
      </c>
      <c r="Y622" t="s">
        <v>11769</v>
      </c>
      <c r="Z622" t="s">
        <v>11770</v>
      </c>
      <c r="AA622" t="s">
        <v>11771</v>
      </c>
      <c r="AB622" t="s">
        <v>11772</v>
      </c>
      <c r="AC622" t="s">
        <v>11773</v>
      </c>
      <c r="AD622" t="s">
        <v>11774</v>
      </c>
      <c r="AE622" t="s">
        <v>11775</v>
      </c>
      <c r="AF622" t="s">
        <v>74</v>
      </c>
      <c r="AG622">
        <v>47</v>
      </c>
      <c r="AH622">
        <v>15</v>
      </c>
      <c r="AI622">
        <v>16</v>
      </c>
      <c r="AJ622">
        <v>3</v>
      </c>
      <c r="AK622">
        <v>40</v>
      </c>
      <c r="AL622" t="s">
        <v>211</v>
      </c>
      <c r="AM622" t="s">
        <v>187</v>
      </c>
      <c r="AN622" t="s">
        <v>933</v>
      </c>
      <c r="AO622" t="s">
        <v>9250</v>
      </c>
      <c r="AP622" t="s">
        <v>9251</v>
      </c>
      <c r="AQ622" t="s">
        <v>74</v>
      </c>
      <c r="AR622" t="s">
        <v>9252</v>
      </c>
      <c r="AS622" t="s">
        <v>9253</v>
      </c>
      <c r="AT622" t="s">
        <v>2136</v>
      </c>
      <c r="AU622">
        <v>2017</v>
      </c>
      <c r="AV622">
        <v>40</v>
      </c>
      <c r="AW622">
        <v>1</v>
      </c>
      <c r="AX622" t="s">
        <v>74</v>
      </c>
      <c r="AY622" t="s">
        <v>74</v>
      </c>
      <c r="AZ622" t="s">
        <v>74</v>
      </c>
      <c r="BA622" t="s">
        <v>74</v>
      </c>
      <c r="BB622">
        <v>221</v>
      </c>
      <c r="BC622">
        <v>226</v>
      </c>
      <c r="BD622" t="s">
        <v>74</v>
      </c>
      <c r="BE622" t="s">
        <v>11776</v>
      </c>
      <c r="BF622" t="str">
        <f>HYPERLINK("http://dx.doi.org/10.1007/s00300-016-1933-y","http://dx.doi.org/10.1007/s00300-016-1933-y")</f>
        <v>http://dx.doi.org/10.1007/s00300-016-1933-y</v>
      </c>
      <c r="BG622" t="s">
        <v>74</v>
      </c>
      <c r="BH622" t="s">
        <v>74</v>
      </c>
      <c r="BI622">
        <v>6</v>
      </c>
      <c r="BJ622" t="s">
        <v>5867</v>
      </c>
      <c r="BK622" t="s">
        <v>101</v>
      </c>
      <c r="BL622" t="s">
        <v>2257</v>
      </c>
      <c r="BM622" t="s">
        <v>9255</v>
      </c>
      <c r="BN622" t="s">
        <v>74</v>
      </c>
      <c r="BO622" t="s">
        <v>74</v>
      </c>
      <c r="BP622" t="s">
        <v>74</v>
      </c>
      <c r="BQ622" t="s">
        <v>74</v>
      </c>
      <c r="BR622" t="s">
        <v>105</v>
      </c>
      <c r="BS622" t="s">
        <v>11777</v>
      </c>
      <c r="BT622" t="str">
        <f>HYPERLINK("https%3A%2F%2Fwww.webofscience.com%2Fwos%2Fwoscc%2Ffull-record%2FWOS:000391401900018","View Full Record in Web of Science")</f>
        <v>View Full Record in Web of Science</v>
      </c>
    </row>
    <row r="623" spans="1:72" x14ac:dyDescent="0.15">
      <c r="A623" t="s">
        <v>72</v>
      </c>
      <c r="B623" t="s">
        <v>11778</v>
      </c>
      <c r="C623" t="s">
        <v>74</v>
      </c>
      <c r="D623" t="s">
        <v>74</v>
      </c>
      <c r="E623" t="s">
        <v>74</v>
      </c>
      <c r="F623" t="s">
        <v>11779</v>
      </c>
      <c r="G623" t="s">
        <v>74</v>
      </c>
      <c r="H623" t="s">
        <v>74</v>
      </c>
      <c r="I623" t="s">
        <v>11780</v>
      </c>
      <c r="J623" t="s">
        <v>9238</v>
      </c>
      <c r="K623" t="s">
        <v>74</v>
      </c>
      <c r="L623" t="s">
        <v>74</v>
      </c>
      <c r="M623" t="s">
        <v>78</v>
      </c>
      <c r="N623" t="s">
        <v>79</v>
      </c>
      <c r="O623" t="s">
        <v>74</v>
      </c>
      <c r="P623" t="s">
        <v>74</v>
      </c>
      <c r="Q623" t="s">
        <v>74</v>
      </c>
      <c r="R623" t="s">
        <v>74</v>
      </c>
      <c r="S623" t="s">
        <v>74</v>
      </c>
      <c r="T623" t="s">
        <v>11781</v>
      </c>
      <c r="U623" t="s">
        <v>11782</v>
      </c>
      <c r="V623" t="s">
        <v>11783</v>
      </c>
      <c r="W623" t="s">
        <v>11784</v>
      </c>
      <c r="X623" t="s">
        <v>11785</v>
      </c>
      <c r="Y623" t="s">
        <v>11786</v>
      </c>
      <c r="Z623" t="s">
        <v>11787</v>
      </c>
      <c r="AA623" t="s">
        <v>11788</v>
      </c>
      <c r="AB623" t="s">
        <v>11789</v>
      </c>
      <c r="AC623" t="s">
        <v>11790</v>
      </c>
      <c r="AD623" t="s">
        <v>11791</v>
      </c>
      <c r="AE623" t="s">
        <v>74</v>
      </c>
      <c r="AF623" t="s">
        <v>74</v>
      </c>
      <c r="AG623">
        <v>15</v>
      </c>
      <c r="AH623">
        <v>12</v>
      </c>
      <c r="AI623">
        <v>12</v>
      </c>
      <c r="AJ623">
        <v>0</v>
      </c>
      <c r="AK623">
        <v>9</v>
      </c>
      <c r="AL623" t="s">
        <v>211</v>
      </c>
      <c r="AM623" t="s">
        <v>187</v>
      </c>
      <c r="AN623" t="s">
        <v>933</v>
      </c>
      <c r="AO623" t="s">
        <v>9250</v>
      </c>
      <c r="AP623" t="s">
        <v>9251</v>
      </c>
      <c r="AQ623" t="s">
        <v>74</v>
      </c>
      <c r="AR623" t="s">
        <v>9252</v>
      </c>
      <c r="AS623" t="s">
        <v>9253</v>
      </c>
      <c r="AT623" t="s">
        <v>2136</v>
      </c>
      <c r="AU623">
        <v>2017</v>
      </c>
      <c r="AV623">
        <v>40</v>
      </c>
      <c r="AW623">
        <v>1</v>
      </c>
      <c r="AX623" t="s">
        <v>74</v>
      </c>
      <c r="AY623" t="s">
        <v>74</v>
      </c>
      <c r="AZ623" t="s">
        <v>74</v>
      </c>
      <c r="BA623" t="s">
        <v>74</v>
      </c>
      <c r="BB623">
        <v>227</v>
      </c>
      <c r="BC623">
        <v>230</v>
      </c>
      <c r="BD623" t="s">
        <v>74</v>
      </c>
      <c r="BE623" t="s">
        <v>11792</v>
      </c>
      <c r="BF623" t="str">
        <f>HYPERLINK("http://dx.doi.org/10.1007/s00300-016-1941-y","http://dx.doi.org/10.1007/s00300-016-1941-y")</f>
        <v>http://dx.doi.org/10.1007/s00300-016-1941-y</v>
      </c>
      <c r="BG623" t="s">
        <v>74</v>
      </c>
      <c r="BH623" t="s">
        <v>74</v>
      </c>
      <c r="BI623">
        <v>4</v>
      </c>
      <c r="BJ623" t="s">
        <v>5867</v>
      </c>
      <c r="BK623" t="s">
        <v>101</v>
      </c>
      <c r="BL623" t="s">
        <v>2257</v>
      </c>
      <c r="BM623" t="s">
        <v>9255</v>
      </c>
      <c r="BN623" t="s">
        <v>74</v>
      </c>
      <c r="BO623" t="s">
        <v>9194</v>
      </c>
      <c r="BP623" t="s">
        <v>74</v>
      </c>
      <c r="BQ623" t="s">
        <v>74</v>
      </c>
      <c r="BR623" t="s">
        <v>105</v>
      </c>
      <c r="BS623" t="s">
        <v>11793</v>
      </c>
      <c r="BT623" t="str">
        <f>HYPERLINK("https%3A%2F%2Fwww.webofscience.com%2Fwos%2Fwoscc%2Ffull-record%2FWOS:000391401900019","View Full Record in Web of Science")</f>
        <v>View Full Record in Web of Science</v>
      </c>
    </row>
    <row r="624" spans="1:72" x14ac:dyDescent="0.15">
      <c r="A624" t="s">
        <v>72</v>
      </c>
      <c r="B624" t="s">
        <v>11794</v>
      </c>
      <c r="C624" t="s">
        <v>74</v>
      </c>
      <c r="D624" t="s">
        <v>74</v>
      </c>
      <c r="E624" t="s">
        <v>74</v>
      </c>
      <c r="F624" t="s">
        <v>11795</v>
      </c>
      <c r="G624" t="s">
        <v>74</v>
      </c>
      <c r="H624" t="s">
        <v>74</v>
      </c>
      <c r="I624" t="s">
        <v>11796</v>
      </c>
      <c r="J624" t="s">
        <v>3085</v>
      </c>
      <c r="K624" t="s">
        <v>74</v>
      </c>
      <c r="L624" t="s">
        <v>74</v>
      </c>
      <c r="M624" t="s">
        <v>78</v>
      </c>
      <c r="N624" t="s">
        <v>79</v>
      </c>
      <c r="O624" t="s">
        <v>74</v>
      </c>
      <c r="P624" t="s">
        <v>74</v>
      </c>
      <c r="Q624" t="s">
        <v>74</v>
      </c>
      <c r="R624" t="s">
        <v>74</v>
      </c>
      <c r="S624" t="s">
        <v>74</v>
      </c>
      <c r="T624" t="s">
        <v>74</v>
      </c>
      <c r="U624" t="s">
        <v>11797</v>
      </c>
      <c r="V624" t="s">
        <v>11798</v>
      </c>
      <c r="W624" t="s">
        <v>11799</v>
      </c>
      <c r="X624" t="s">
        <v>74</v>
      </c>
      <c r="Y624" t="s">
        <v>11800</v>
      </c>
      <c r="Z624" t="s">
        <v>11801</v>
      </c>
      <c r="AA624" t="s">
        <v>74</v>
      </c>
      <c r="AB624" t="s">
        <v>74</v>
      </c>
      <c r="AC624" t="s">
        <v>74</v>
      </c>
      <c r="AD624" t="s">
        <v>74</v>
      </c>
      <c r="AE624" t="s">
        <v>74</v>
      </c>
      <c r="AF624" t="s">
        <v>74</v>
      </c>
      <c r="AG624">
        <v>104</v>
      </c>
      <c r="AH624">
        <v>20</v>
      </c>
      <c r="AI624">
        <v>23</v>
      </c>
      <c r="AJ624">
        <v>6</v>
      </c>
      <c r="AK624">
        <v>44</v>
      </c>
      <c r="AL624" t="s">
        <v>3097</v>
      </c>
      <c r="AM624" t="s">
        <v>187</v>
      </c>
      <c r="AN624" t="s">
        <v>3098</v>
      </c>
      <c r="AO624" t="s">
        <v>3099</v>
      </c>
      <c r="AP624" t="s">
        <v>3100</v>
      </c>
      <c r="AQ624" t="s">
        <v>74</v>
      </c>
      <c r="AR624" t="s">
        <v>3101</v>
      </c>
      <c r="AS624" t="s">
        <v>3102</v>
      </c>
      <c r="AT624" t="s">
        <v>2136</v>
      </c>
      <c r="AU624">
        <v>2017</v>
      </c>
      <c r="AV624">
        <v>53</v>
      </c>
      <c r="AW624">
        <v>1</v>
      </c>
      <c r="AX624" t="s">
        <v>74</v>
      </c>
      <c r="AY624" t="s">
        <v>74</v>
      </c>
      <c r="AZ624" t="s">
        <v>74</v>
      </c>
      <c r="BA624" t="s">
        <v>74</v>
      </c>
      <c r="BB624">
        <v>88</v>
      </c>
      <c r="BC624">
        <v>99</v>
      </c>
      <c r="BD624" t="s">
        <v>74</v>
      </c>
      <c r="BE624" t="s">
        <v>11802</v>
      </c>
      <c r="BF624" t="str">
        <f>HYPERLINK("http://dx.doi.org/10.1017/S0032247416000644","http://dx.doi.org/10.1017/S0032247416000644")</f>
        <v>http://dx.doi.org/10.1017/S0032247416000644</v>
      </c>
      <c r="BG624" t="s">
        <v>74</v>
      </c>
      <c r="BH624" t="s">
        <v>74</v>
      </c>
      <c r="BI624">
        <v>12</v>
      </c>
      <c r="BJ624" t="s">
        <v>3104</v>
      </c>
      <c r="BK624" t="s">
        <v>245</v>
      </c>
      <c r="BL624" t="s">
        <v>178</v>
      </c>
      <c r="BM624" t="s">
        <v>3105</v>
      </c>
      <c r="BN624" t="s">
        <v>74</v>
      </c>
      <c r="BO624" t="s">
        <v>301</v>
      </c>
      <c r="BP624" t="s">
        <v>74</v>
      </c>
      <c r="BQ624" t="s">
        <v>74</v>
      </c>
      <c r="BR624" t="s">
        <v>105</v>
      </c>
      <c r="BS624" t="s">
        <v>11803</v>
      </c>
      <c r="BT624" t="str">
        <f>HYPERLINK("https%3A%2F%2Fwww.webofscience.com%2Fwos%2Fwoscc%2Ffull-record%2FWOS:000394588900008","View Full Record in Web of Science")</f>
        <v>View Full Record in Web of Science</v>
      </c>
    </row>
    <row r="625" spans="1:72" x14ac:dyDescent="0.15">
      <c r="A625" t="s">
        <v>72</v>
      </c>
      <c r="B625" t="s">
        <v>11804</v>
      </c>
      <c r="C625" t="s">
        <v>74</v>
      </c>
      <c r="D625" t="s">
        <v>74</v>
      </c>
      <c r="E625" t="s">
        <v>74</v>
      </c>
      <c r="F625" t="s">
        <v>11805</v>
      </c>
      <c r="G625" t="s">
        <v>74</v>
      </c>
      <c r="H625" t="s">
        <v>74</v>
      </c>
      <c r="I625" t="s">
        <v>11806</v>
      </c>
      <c r="J625" t="s">
        <v>3085</v>
      </c>
      <c r="K625" t="s">
        <v>74</v>
      </c>
      <c r="L625" t="s">
        <v>74</v>
      </c>
      <c r="M625" t="s">
        <v>78</v>
      </c>
      <c r="N625" t="s">
        <v>185</v>
      </c>
      <c r="O625" t="s">
        <v>74</v>
      </c>
      <c r="P625" t="s">
        <v>74</v>
      </c>
      <c r="Q625" t="s">
        <v>74</v>
      </c>
      <c r="R625" t="s">
        <v>74</v>
      </c>
      <c r="S625" t="s">
        <v>74</v>
      </c>
      <c r="T625" t="s">
        <v>74</v>
      </c>
      <c r="U625" t="s">
        <v>74</v>
      </c>
      <c r="V625" t="s">
        <v>74</v>
      </c>
      <c r="W625" t="s">
        <v>11807</v>
      </c>
      <c r="X625" t="s">
        <v>4786</v>
      </c>
      <c r="Y625" t="s">
        <v>11808</v>
      </c>
      <c r="Z625" t="s">
        <v>11809</v>
      </c>
      <c r="AA625" t="s">
        <v>11810</v>
      </c>
      <c r="AB625" t="s">
        <v>11811</v>
      </c>
      <c r="AC625" t="s">
        <v>74</v>
      </c>
      <c r="AD625" t="s">
        <v>74</v>
      </c>
      <c r="AE625" t="s">
        <v>74</v>
      </c>
      <c r="AF625" t="s">
        <v>74</v>
      </c>
      <c r="AG625">
        <v>11</v>
      </c>
      <c r="AH625">
        <v>1</v>
      </c>
      <c r="AI625">
        <v>1</v>
      </c>
      <c r="AJ625">
        <v>0</v>
      </c>
      <c r="AK625">
        <v>0</v>
      </c>
      <c r="AL625" t="s">
        <v>3097</v>
      </c>
      <c r="AM625" t="s">
        <v>187</v>
      </c>
      <c r="AN625" t="s">
        <v>3098</v>
      </c>
      <c r="AO625" t="s">
        <v>3099</v>
      </c>
      <c r="AP625" t="s">
        <v>3100</v>
      </c>
      <c r="AQ625" t="s">
        <v>74</v>
      </c>
      <c r="AR625" t="s">
        <v>3101</v>
      </c>
      <c r="AS625" t="s">
        <v>3102</v>
      </c>
      <c r="AT625" t="s">
        <v>2136</v>
      </c>
      <c r="AU625">
        <v>2017</v>
      </c>
      <c r="AV625">
        <v>53</v>
      </c>
      <c r="AW625">
        <v>1</v>
      </c>
      <c r="AX625" t="s">
        <v>74</v>
      </c>
      <c r="AY625" t="s">
        <v>74</v>
      </c>
      <c r="AZ625" t="s">
        <v>74</v>
      </c>
      <c r="BA625" t="s">
        <v>74</v>
      </c>
      <c r="BB625">
        <v>105</v>
      </c>
      <c r="BC625">
        <v>106</v>
      </c>
      <c r="BD625" t="s">
        <v>74</v>
      </c>
      <c r="BE625" t="s">
        <v>11812</v>
      </c>
      <c r="BF625" t="str">
        <f>HYPERLINK("http://dx.doi.org/10.1017/S0032247416000772","http://dx.doi.org/10.1017/S0032247416000772")</f>
        <v>http://dx.doi.org/10.1017/S0032247416000772</v>
      </c>
      <c r="BG625" t="s">
        <v>74</v>
      </c>
      <c r="BH625" t="s">
        <v>74</v>
      </c>
      <c r="BI625">
        <v>2</v>
      </c>
      <c r="BJ625" t="s">
        <v>3104</v>
      </c>
      <c r="BK625" t="s">
        <v>101</v>
      </c>
      <c r="BL625" t="s">
        <v>178</v>
      </c>
      <c r="BM625" t="s">
        <v>3105</v>
      </c>
      <c r="BN625" t="s">
        <v>74</v>
      </c>
      <c r="BO625" t="s">
        <v>74</v>
      </c>
      <c r="BP625" t="s">
        <v>74</v>
      </c>
      <c r="BQ625" t="s">
        <v>74</v>
      </c>
      <c r="BR625" t="s">
        <v>105</v>
      </c>
      <c r="BS625" t="s">
        <v>11813</v>
      </c>
      <c r="BT625" t="str">
        <f>HYPERLINK("https%3A%2F%2Fwww.webofscience.com%2Fwos%2Fwoscc%2Ffull-record%2FWOS:000394588900011","View Full Record in Web of Science")</f>
        <v>View Full Record in Web of Science</v>
      </c>
    </row>
    <row r="626" spans="1:72" x14ac:dyDescent="0.15">
      <c r="A626" t="s">
        <v>72</v>
      </c>
      <c r="B626" t="s">
        <v>11814</v>
      </c>
      <c r="C626" t="s">
        <v>74</v>
      </c>
      <c r="D626" t="s">
        <v>74</v>
      </c>
      <c r="E626" t="s">
        <v>74</v>
      </c>
      <c r="F626" t="s">
        <v>11815</v>
      </c>
      <c r="G626" t="s">
        <v>74</v>
      </c>
      <c r="H626" t="s">
        <v>74</v>
      </c>
      <c r="I626" t="s">
        <v>11816</v>
      </c>
      <c r="J626" t="s">
        <v>8065</v>
      </c>
      <c r="K626" t="s">
        <v>74</v>
      </c>
      <c r="L626" t="s">
        <v>74</v>
      </c>
      <c r="M626" t="s">
        <v>78</v>
      </c>
      <c r="N626" t="s">
        <v>79</v>
      </c>
      <c r="O626" t="s">
        <v>74</v>
      </c>
      <c r="P626" t="s">
        <v>74</v>
      </c>
      <c r="Q626" t="s">
        <v>74</v>
      </c>
      <c r="R626" t="s">
        <v>74</v>
      </c>
      <c r="S626" t="s">
        <v>74</v>
      </c>
      <c r="T626" t="s">
        <v>11817</v>
      </c>
      <c r="U626" t="s">
        <v>11818</v>
      </c>
      <c r="V626" t="s">
        <v>11819</v>
      </c>
      <c r="W626" t="s">
        <v>11820</v>
      </c>
      <c r="X626" t="s">
        <v>11821</v>
      </c>
      <c r="Y626" t="s">
        <v>11822</v>
      </c>
      <c r="Z626" t="s">
        <v>11823</v>
      </c>
      <c r="AA626" t="s">
        <v>11824</v>
      </c>
      <c r="AB626" t="s">
        <v>11825</v>
      </c>
      <c r="AC626" t="s">
        <v>11826</v>
      </c>
      <c r="AD626" t="s">
        <v>2045</v>
      </c>
      <c r="AE626" t="s">
        <v>11827</v>
      </c>
      <c r="AF626" t="s">
        <v>74</v>
      </c>
      <c r="AG626">
        <v>31</v>
      </c>
      <c r="AH626">
        <v>8</v>
      </c>
      <c r="AI626">
        <v>11</v>
      </c>
      <c r="AJ626">
        <v>1</v>
      </c>
      <c r="AK626">
        <v>2</v>
      </c>
      <c r="AL626" t="s">
        <v>11828</v>
      </c>
      <c r="AM626" t="s">
        <v>11829</v>
      </c>
      <c r="AN626" t="s">
        <v>11830</v>
      </c>
      <c r="AO626" t="s">
        <v>8077</v>
      </c>
      <c r="AP626" t="s">
        <v>8078</v>
      </c>
      <c r="AQ626" t="s">
        <v>74</v>
      </c>
      <c r="AR626" t="s">
        <v>11831</v>
      </c>
      <c r="AS626" t="s">
        <v>8080</v>
      </c>
      <c r="AT626" t="s">
        <v>74</v>
      </c>
      <c r="AU626">
        <v>2017</v>
      </c>
      <c r="AV626">
        <v>36</v>
      </c>
      <c r="AW626" t="s">
        <v>74</v>
      </c>
      <c r="AX626" t="s">
        <v>74</v>
      </c>
      <c r="AY626" t="s">
        <v>74</v>
      </c>
      <c r="AZ626" t="s">
        <v>74</v>
      </c>
      <c r="BA626" t="s">
        <v>74</v>
      </c>
      <c r="BB626" t="s">
        <v>74</v>
      </c>
      <c r="BC626" t="s">
        <v>74</v>
      </c>
      <c r="BD626">
        <v>1374126</v>
      </c>
      <c r="BE626" t="s">
        <v>11832</v>
      </c>
      <c r="BF626" t="str">
        <f>HYPERLINK("http://dx.doi.org/10.1080/17518369.2017.1374126","http://dx.doi.org/10.1080/17518369.2017.1374126")</f>
        <v>http://dx.doi.org/10.1080/17518369.2017.1374126</v>
      </c>
      <c r="BG626" t="s">
        <v>74</v>
      </c>
      <c r="BH626" t="s">
        <v>74</v>
      </c>
      <c r="BI626">
        <v>4</v>
      </c>
      <c r="BJ626" t="s">
        <v>8082</v>
      </c>
      <c r="BK626" t="s">
        <v>101</v>
      </c>
      <c r="BL626" t="s">
        <v>8083</v>
      </c>
      <c r="BM626" t="s">
        <v>11833</v>
      </c>
      <c r="BN626" t="s">
        <v>74</v>
      </c>
      <c r="BO626" t="s">
        <v>941</v>
      </c>
      <c r="BP626" t="s">
        <v>74</v>
      </c>
      <c r="BQ626" t="s">
        <v>74</v>
      </c>
      <c r="BR626" t="s">
        <v>105</v>
      </c>
      <c r="BS626" t="s">
        <v>11834</v>
      </c>
      <c r="BT626" t="str">
        <f>HYPERLINK("https%3A%2F%2Fwww.webofscience.com%2Fwos%2Fwoscc%2Ffull-record%2FWOS:000412405800001","View Full Record in Web of Science")</f>
        <v>View Full Record in Web of Science</v>
      </c>
    </row>
    <row r="627" spans="1:72" x14ac:dyDescent="0.15">
      <c r="A627" t="s">
        <v>2331</v>
      </c>
      <c r="B627" t="s">
        <v>3675</v>
      </c>
      <c r="C627" t="s">
        <v>3675</v>
      </c>
      <c r="D627" t="s">
        <v>74</v>
      </c>
      <c r="E627" t="s">
        <v>74</v>
      </c>
      <c r="F627" t="s">
        <v>3676</v>
      </c>
      <c r="G627" t="s">
        <v>3675</v>
      </c>
      <c r="H627" t="s">
        <v>74</v>
      </c>
      <c r="I627" t="s">
        <v>11835</v>
      </c>
      <c r="J627" t="s">
        <v>3678</v>
      </c>
      <c r="K627" t="s">
        <v>74</v>
      </c>
      <c r="L627" t="s">
        <v>74</v>
      </c>
      <c r="M627" t="s">
        <v>78</v>
      </c>
      <c r="N627" t="s">
        <v>9896</v>
      </c>
      <c r="O627" t="s">
        <v>74</v>
      </c>
      <c r="P627" t="s">
        <v>74</v>
      </c>
      <c r="Q627" t="s">
        <v>74</v>
      </c>
      <c r="R627" t="s">
        <v>74</v>
      </c>
      <c r="S627" t="s">
        <v>74</v>
      </c>
      <c r="T627" t="s">
        <v>74</v>
      </c>
      <c r="U627" t="s">
        <v>74</v>
      </c>
      <c r="V627" t="s">
        <v>74</v>
      </c>
      <c r="W627" t="s">
        <v>3679</v>
      </c>
      <c r="X627" t="s">
        <v>3680</v>
      </c>
      <c r="Y627" t="s">
        <v>3681</v>
      </c>
      <c r="Z627" t="s">
        <v>74</v>
      </c>
      <c r="AA627" t="s">
        <v>74</v>
      </c>
      <c r="AB627" t="s">
        <v>74</v>
      </c>
      <c r="AC627" t="s">
        <v>74</v>
      </c>
      <c r="AD627" t="s">
        <v>74</v>
      </c>
      <c r="AE627" t="s">
        <v>74</v>
      </c>
      <c r="AF627" t="s">
        <v>74</v>
      </c>
      <c r="AG627">
        <v>0</v>
      </c>
      <c r="AH627">
        <v>4</v>
      </c>
      <c r="AI627">
        <v>4</v>
      </c>
      <c r="AJ627">
        <v>0</v>
      </c>
      <c r="AK627">
        <v>0</v>
      </c>
      <c r="AL627" t="s">
        <v>1610</v>
      </c>
      <c r="AM627" t="s">
        <v>187</v>
      </c>
      <c r="AN627" t="s">
        <v>3682</v>
      </c>
      <c r="AO627" t="s">
        <v>74</v>
      </c>
      <c r="AP627" t="s">
        <v>74</v>
      </c>
      <c r="AQ627" t="s">
        <v>3683</v>
      </c>
      <c r="AR627" t="s">
        <v>74</v>
      </c>
      <c r="AS627" t="s">
        <v>74</v>
      </c>
      <c r="AT627" t="s">
        <v>74</v>
      </c>
      <c r="AU627">
        <v>2017</v>
      </c>
      <c r="AV627" t="s">
        <v>74</v>
      </c>
      <c r="AW627" t="s">
        <v>74</v>
      </c>
      <c r="AX627" t="s">
        <v>74</v>
      </c>
      <c r="AY627" t="s">
        <v>74</v>
      </c>
      <c r="AZ627" t="s">
        <v>74</v>
      </c>
      <c r="BA627" t="s">
        <v>74</v>
      </c>
      <c r="BB627">
        <v>1</v>
      </c>
      <c r="BC627">
        <v>5</v>
      </c>
      <c r="BD627" t="s">
        <v>74</v>
      </c>
      <c r="BE627" t="s">
        <v>74</v>
      </c>
      <c r="BF627" t="s">
        <v>74</v>
      </c>
      <c r="BG627" t="s">
        <v>3684</v>
      </c>
      <c r="BH627" t="s">
        <v>74</v>
      </c>
      <c r="BI627">
        <v>5</v>
      </c>
      <c r="BJ627" t="s">
        <v>3685</v>
      </c>
      <c r="BK627" t="s">
        <v>2084</v>
      </c>
      <c r="BL627" t="s">
        <v>3686</v>
      </c>
      <c r="BM627" t="s">
        <v>3687</v>
      </c>
      <c r="BN627" t="s">
        <v>74</v>
      </c>
      <c r="BO627" t="s">
        <v>74</v>
      </c>
      <c r="BP627" t="s">
        <v>74</v>
      </c>
      <c r="BQ627" t="s">
        <v>74</v>
      </c>
      <c r="BR627" t="s">
        <v>105</v>
      </c>
      <c r="BS627" t="s">
        <v>11836</v>
      </c>
      <c r="BT627" t="str">
        <f>HYPERLINK("https%3A%2F%2Fwww.webofscience.com%2Fwos%2Fwoscc%2Ffull-record%2FWOS:000434941300002","View Full Record in Web of Science")</f>
        <v>View Full Record in Web of Science</v>
      </c>
    </row>
    <row r="628" spans="1:72" x14ac:dyDescent="0.15">
      <c r="A628" t="s">
        <v>2331</v>
      </c>
      <c r="B628" t="s">
        <v>3675</v>
      </c>
      <c r="C628" t="s">
        <v>3675</v>
      </c>
      <c r="D628" t="s">
        <v>74</v>
      </c>
      <c r="E628" t="s">
        <v>74</v>
      </c>
      <c r="F628" t="s">
        <v>3676</v>
      </c>
      <c r="G628" t="s">
        <v>3675</v>
      </c>
      <c r="H628" t="s">
        <v>74</v>
      </c>
      <c r="I628" t="s">
        <v>11837</v>
      </c>
      <c r="J628" t="s">
        <v>3678</v>
      </c>
      <c r="K628" t="s">
        <v>74</v>
      </c>
      <c r="L628" t="s">
        <v>74</v>
      </c>
      <c r="M628" t="s">
        <v>78</v>
      </c>
      <c r="N628" t="s">
        <v>9896</v>
      </c>
      <c r="O628" t="s">
        <v>74</v>
      </c>
      <c r="P628" t="s">
        <v>74</v>
      </c>
      <c r="Q628" t="s">
        <v>74</v>
      </c>
      <c r="R628" t="s">
        <v>74</v>
      </c>
      <c r="S628" t="s">
        <v>74</v>
      </c>
      <c r="T628" t="s">
        <v>74</v>
      </c>
      <c r="U628" t="s">
        <v>11838</v>
      </c>
      <c r="V628" t="s">
        <v>74</v>
      </c>
      <c r="W628" t="s">
        <v>3679</v>
      </c>
      <c r="X628" t="s">
        <v>3680</v>
      </c>
      <c r="Y628" t="s">
        <v>3681</v>
      </c>
      <c r="Z628" t="s">
        <v>74</v>
      </c>
      <c r="AA628" t="s">
        <v>74</v>
      </c>
      <c r="AB628" t="s">
        <v>74</v>
      </c>
      <c r="AC628" t="s">
        <v>74</v>
      </c>
      <c r="AD628" t="s">
        <v>74</v>
      </c>
      <c r="AE628" t="s">
        <v>74</v>
      </c>
      <c r="AF628" t="s">
        <v>74</v>
      </c>
      <c r="AG628">
        <v>1830</v>
      </c>
      <c r="AH628">
        <v>0</v>
      </c>
      <c r="AI628">
        <v>0</v>
      </c>
      <c r="AJ628">
        <v>0</v>
      </c>
      <c r="AK628">
        <v>15</v>
      </c>
      <c r="AL628" t="s">
        <v>1610</v>
      </c>
      <c r="AM628" t="s">
        <v>187</v>
      </c>
      <c r="AN628" t="s">
        <v>3682</v>
      </c>
      <c r="AO628" t="s">
        <v>74</v>
      </c>
      <c r="AP628" t="s">
        <v>74</v>
      </c>
      <c r="AQ628" t="s">
        <v>3683</v>
      </c>
      <c r="AR628" t="s">
        <v>74</v>
      </c>
      <c r="AS628" t="s">
        <v>74</v>
      </c>
      <c r="AT628" t="s">
        <v>74</v>
      </c>
      <c r="AU628">
        <v>2017</v>
      </c>
      <c r="AV628" t="s">
        <v>74</v>
      </c>
      <c r="AW628" t="s">
        <v>74</v>
      </c>
      <c r="AX628" t="s">
        <v>74</v>
      </c>
      <c r="AY628" t="s">
        <v>74</v>
      </c>
      <c r="AZ628" t="s">
        <v>74</v>
      </c>
      <c r="BA628" t="s">
        <v>74</v>
      </c>
      <c r="BB628" t="s">
        <v>9899</v>
      </c>
      <c r="BC628" t="s">
        <v>1676</v>
      </c>
      <c r="BD628" t="s">
        <v>74</v>
      </c>
      <c r="BE628" t="s">
        <v>74</v>
      </c>
      <c r="BF628" t="s">
        <v>74</v>
      </c>
      <c r="BG628" t="s">
        <v>3684</v>
      </c>
      <c r="BH628" t="s">
        <v>74</v>
      </c>
      <c r="BI628">
        <v>61</v>
      </c>
      <c r="BJ628" t="s">
        <v>3685</v>
      </c>
      <c r="BK628" t="s">
        <v>2084</v>
      </c>
      <c r="BL628" t="s">
        <v>3686</v>
      </c>
      <c r="BM628" t="s">
        <v>3687</v>
      </c>
      <c r="BN628" t="s">
        <v>74</v>
      </c>
      <c r="BO628" t="s">
        <v>74</v>
      </c>
      <c r="BP628" t="s">
        <v>74</v>
      </c>
      <c r="BQ628" t="s">
        <v>74</v>
      </c>
      <c r="BR628" t="s">
        <v>105</v>
      </c>
      <c r="BS628" t="s">
        <v>11839</v>
      </c>
      <c r="BT628" t="str">
        <f>HYPERLINK("https%3A%2F%2Fwww.webofscience.com%2Fwos%2Fwoscc%2Ffull-record%2FWOS:000434941300001","View Full Record in Web of Science")</f>
        <v>View Full Record in Web of Science</v>
      </c>
    </row>
    <row r="629" spans="1:72" x14ac:dyDescent="0.15">
      <c r="A629" t="s">
        <v>72</v>
      </c>
      <c r="B629" t="s">
        <v>11840</v>
      </c>
      <c r="C629" t="s">
        <v>74</v>
      </c>
      <c r="D629" t="s">
        <v>74</v>
      </c>
      <c r="E629" t="s">
        <v>74</v>
      </c>
      <c r="F629" t="s">
        <v>11841</v>
      </c>
      <c r="G629" t="s">
        <v>74</v>
      </c>
      <c r="H629" t="s">
        <v>74</v>
      </c>
      <c r="I629" t="s">
        <v>11842</v>
      </c>
      <c r="J629" t="s">
        <v>7956</v>
      </c>
      <c r="K629" t="s">
        <v>74</v>
      </c>
      <c r="L629" t="s">
        <v>74</v>
      </c>
      <c r="M629" t="s">
        <v>78</v>
      </c>
      <c r="N629" t="s">
        <v>79</v>
      </c>
      <c r="O629" t="s">
        <v>74</v>
      </c>
      <c r="P629" t="s">
        <v>74</v>
      </c>
      <c r="Q629" t="s">
        <v>74</v>
      </c>
      <c r="R629" t="s">
        <v>74</v>
      </c>
      <c r="S629" t="s">
        <v>74</v>
      </c>
      <c r="T629" t="s">
        <v>11843</v>
      </c>
      <c r="U629" t="s">
        <v>11844</v>
      </c>
      <c r="V629" t="s">
        <v>11845</v>
      </c>
      <c r="W629" t="s">
        <v>11846</v>
      </c>
      <c r="X629" t="s">
        <v>11847</v>
      </c>
      <c r="Y629" t="s">
        <v>11848</v>
      </c>
      <c r="Z629" t="s">
        <v>11849</v>
      </c>
      <c r="AA629" t="s">
        <v>11850</v>
      </c>
      <c r="AB629" t="s">
        <v>11851</v>
      </c>
      <c r="AC629" t="s">
        <v>11852</v>
      </c>
      <c r="AD629" t="s">
        <v>11853</v>
      </c>
      <c r="AE629" t="s">
        <v>11854</v>
      </c>
      <c r="AF629" t="s">
        <v>74</v>
      </c>
      <c r="AG629">
        <v>45</v>
      </c>
      <c r="AH629">
        <v>103</v>
      </c>
      <c r="AI629">
        <v>111</v>
      </c>
      <c r="AJ629">
        <v>1</v>
      </c>
      <c r="AK629">
        <v>36</v>
      </c>
      <c r="AL629" t="s">
        <v>2377</v>
      </c>
      <c r="AM629" t="s">
        <v>2378</v>
      </c>
      <c r="AN629" t="s">
        <v>2379</v>
      </c>
      <c r="AO629" t="s">
        <v>7969</v>
      </c>
      <c r="AP629" t="s">
        <v>7970</v>
      </c>
      <c r="AQ629" t="s">
        <v>74</v>
      </c>
      <c r="AR629" t="s">
        <v>7971</v>
      </c>
      <c r="AS629" t="s">
        <v>7972</v>
      </c>
      <c r="AT629" t="s">
        <v>2136</v>
      </c>
      <c r="AU629">
        <v>2017</v>
      </c>
      <c r="AV629">
        <v>143</v>
      </c>
      <c r="AW629">
        <v>702</v>
      </c>
      <c r="AX629" t="s">
        <v>2081</v>
      </c>
      <c r="AY629" t="s">
        <v>7973</v>
      </c>
      <c r="AZ629" t="s">
        <v>7973</v>
      </c>
      <c r="BA629" t="s">
        <v>74</v>
      </c>
      <c r="BB629">
        <v>101</v>
      </c>
      <c r="BC629">
        <v>119</v>
      </c>
      <c r="BD629" t="s">
        <v>74</v>
      </c>
      <c r="BE629" t="s">
        <v>11855</v>
      </c>
      <c r="BF629" t="str">
        <f>HYPERLINK("http://dx.doi.org/10.1002/qj.2949","http://dx.doi.org/10.1002/qj.2949")</f>
        <v>http://dx.doi.org/10.1002/qj.2949</v>
      </c>
      <c r="BG629" t="s">
        <v>74</v>
      </c>
      <c r="BH629" t="s">
        <v>74</v>
      </c>
      <c r="BI629">
        <v>19</v>
      </c>
      <c r="BJ629" t="s">
        <v>747</v>
      </c>
      <c r="BK629" t="s">
        <v>101</v>
      </c>
      <c r="BL629" t="s">
        <v>747</v>
      </c>
      <c r="BM629" t="s">
        <v>7975</v>
      </c>
      <c r="BN629" t="s">
        <v>74</v>
      </c>
      <c r="BO629" t="s">
        <v>1591</v>
      </c>
      <c r="BP629" t="s">
        <v>74</v>
      </c>
      <c r="BQ629" t="s">
        <v>74</v>
      </c>
      <c r="BR629" t="s">
        <v>105</v>
      </c>
      <c r="BS629" t="s">
        <v>11856</v>
      </c>
      <c r="BT629" t="str">
        <f>HYPERLINK("https%3A%2F%2Fwww.webofscience.com%2Fwos%2Fwoscc%2Ffull-record%2FWOS:000394990800007","View Full Record in Web of Science")</f>
        <v>View Full Record in Web of Science</v>
      </c>
    </row>
    <row r="630" spans="1:72" x14ac:dyDescent="0.15">
      <c r="A630" t="s">
        <v>72</v>
      </c>
      <c r="B630" t="s">
        <v>11857</v>
      </c>
      <c r="C630" t="s">
        <v>74</v>
      </c>
      <c r="D630" t="s">
        <v>74</v>
      </c>
      <c r="E630" t="s">
        <v>74</v>
      </c>
      <c r="F630" t="s">
        <v>11858</v>
      </c>
      <c r="G630" t="s">
        <v>74</v>
      </c>
      <c r="H630" t="s">
        <v>74</v>
      </c>
      <c r="I630" t="s">
        <v>11859</v>
      </c>
      <c r="J630" t="s">
        <v>7956</v>
      </c>
      <c r="K630" t="s">
        <v>74</v>
      </c>
      <c r="L630" t="s">
        <v>74</v>
      </c>
      <c r="M630" t="s">
        <v>78</v>
      </c>
      <c r="N630" t="s">
        <v>79</v>
      </c>
      <c r="O630" t="s">
        <v>74</v>
      </c>
      <c r="P630" t="s">
        <v>74</v>
      </c>
      <c r="Q630" t="s">
        <v>74</v>
      </c>
      <c r="R630" t="s">
        <v>74</v>
      </c>
      <c r="S630" t="s">
        <v>74</v>
      </c>
      <c r="T630" t="s">
        <v>11860</v>
      </c>
      <c r="U630" t="s">
        <v>11861</v>
      </c>
      <c r="V630" t="s">
        <v>11862</v>
      </c>
      <c r="W630" t="s">
        <v>11863</v>
      </c>
      <c r="X630" t="s">
        <v>11864</v>
      </c>
      <c r="Y630" t="s">
        <v>11865</v>
      </c>
      <c r="Z630" t="s">
        <v>11866</v>
      </c>
      <c r="AA630" t="s">
        <v>11867</v>
      </c>
      <c r="AB630" t="s">
        <v>11868</v>
      </c>
      <c r="AC630" t="s">
        <v>11869</v>
      </c>
      <c r="AD630" t="s">
        <v>11870</v>
      </c>
      <c r="AE630" t="s">
        <v>11871</v>
      </c>
      <c r="AF630" t="s">
        <v>74</v>
      </c>
      <c r="AG630">
        <v>48</v>
      </c>
      <c r="AH630">
        <v>13</v>
      </c>
      <c r="AI630">
        <v>13</v>
      </c>
      <c r="AJ630">
        <v>1</v>
      </c>
      <c r="AK630">
        <v>9</v>
      </c>
      <c r="AL630" t="s">
        <v>2377</v>
      </c>
      <c r="AM630" t="s">
        <v>2378</v>
      </c>
      <c r="AN630" t="s">
        <v>2379</v>
      </c>
      <c r="AO630" t="s">
        <v>7969</v>
      </c>
      <c r="AP630" t="s">
        <v>7970</v>
      </c>
      <c r="AQ630" t="s">
        <v>74</v>
      </c>
      <c r="AR630" t="s">
        <v>7971</v>
      </c>
      <c r="AS630" t="s">
        <v>7972</v>
      </c>
      <c r="AT630" t="s">
        <v>2136</v>
      </c>
      <c r="AU630">
        <v>2017</v>
      </c>
      <c r="AV630">
        <v>143</v>
      </c>
      <c r="AW630">
        <v>703</v>
      </c>
      <c r="AX630" t="s">
        <v>2331</v>
      </c>
      <c r="AY630" t="s">
        <v>74</v>
      </c>
      <c r="AZ630" t="s">
        <v>74</v>
      </c>
      <c r="BA630" t="s">
        <v>74</v>
      </c>
      <c r="BB630">
        <v>966</v>
      </c>
      <c r="BC630">
        <v>973</v>
      </c>
      <c r="BD630" t="s">
        <v>74</v>
      </c>
      <c r="BE630" t="s">
        <v>11872</v>
      </c>
      <c r="BF630" t="str">
        <f>HYPERLINK("http://dx.doi.org/10.1002/qj.2980","http://dx.doi.org/10.1002/qj.2980")</f>
        <v>http://dx.doi.org/10.1002/qj.2980</v>
      </c>
      <c r="BG630" t="s">
        <v>74</v>
      </c>
      <c r="BH630" t="s">
        <v>74</v>
      </c>
      <c r="BI630">
        <v>8</v>
      </c>
      <c r="BJ630" t="s">
        <v>747</v>
      </c>
      <c r="BK630" t="s">
        <v>101</v>
      </c>
      <c r="BL630" t="s">
        <v>747</v>
      </c>
      <c r="BM630" t="s">
        <v>11873</v>
      </c>
      <c r="BN630" t="s">
        <v>74</v>
      </c>
      <c r="BO630" t="s">
        <v>1223</v>
      </c>
      <c r="BP630" t="s">
        <v>74</v>
      </c>
      <c r="BQ630" t="s">
        <v>74</v>
      </c>
      <c r="BR630" t="s">
        <v>105</v>
      </c>
      <c r="BS630" t="s">
        <v>11874</v>
      </c>
      <c r="BT630" t="str">
        <f>HYPERLINK("https%3A%2F%2Fwww.webofscience.com%2Fwos%2Fwoscc%2Ffull-record%2FWOS:000396560600030","View Full Record in Web of Science")</f>
        <v>View Full Record in Web of Science</v>
      </c>
    </row>
    <row r="631" spans="1:72" x14ac:dyDescent="0.15">
      <c r="A631" t="s">
        <v>2331</v>
      </c>
      <c r="B631" t="s">
        <v>11875</v>
      </c>
      <c r="C631" t="s">
        <v>11875</v>
      </c>
      <c r="D631" t="s">
        <v>74</v>
      </c>
      <c r="E631" t="s">
        <v>74</v>
      </c>
      <c r="F631" t="s">
        <v>11876</v>
      </c>
      <c r="G631" t="s">
        <v>11875</v>
      </c>
      <c r="H631" t="s">
        <v>74</v>
      </c>
      <c r="I631" t="s">
        <v>11877</v>
      </c>
      <c r="J631" t="s">
        <v>11878</v>
      </c>
      <c r="K631" t="s">
        <v>74</v>
      </c>
      <c r="L631" t="s">
        <v>74</v>
      </c>
      <c r="M631" t="s">
        <v>78</v>
      </c>
      <c r="N631" t="s">
        <v>9896</v>
      </c>
      <c r="O631" t="s">
        <v>74</v>
      </c>
      <c r="P631" t="s">
        <v>74</v>
      </c>
      <c r="Q631" t="s">
        <v>74</v>
      </c>
      <c r="R631" t="s">
        <v>74</v>
      </c>
      <c r="S631" t="s">
        <v>74</v>
      </c>
      <c r="T631" t="s">
        <v>74</v>
      </c>
      <c r="U631" t="s">
        <v>11879</v>
      </c>
      <c r="V631" t="s">
        <v>74</v>
      </c>
      <c r="W631" t="s">
        <v>74</v>
      </c>
      <c r="X631" t="s">
        <v>74</v>
      </c>
      <c r="Y631" t="s">
        <v>74</v>
      </c>
      <c r="Z631" t="s">
        <v>74</v>
      </c>
      <c r="AA631" t="s">
        <v>74</v>
      </c>
      <c r="AB631" t="s">
        <v>74</v>
      </c>
      <c r="AC631" t="s">
        <v>74</v>
      </c>
      <c r="AD631" t="s">
        <v>74</v>
      </c>
      <c r="AE631" t="s">
        <v>74</v>
      </c>
      <c r="AF631" t="s">
        <v>74</v>
      </c>
      <c r="AG631">
        <v>996</v>
      </c>
      <c r="AH631">
        <v>0</v>
      </c>
      <c r="AI631">
        <v>0</v>
      </c>
      <c r="AJ631">
        <v>0</v>
      </c>
      <c r="AK631">
        <v>5</v>
      </c>
      <c r="AL631" t="s">
        <v>11880</v>
      </c>
      <c r="AM631" t="s">
        <v>11881</v>
      </c>
      <c r="AN631" t="s">
        <v>11882</v>
      </c>
      <c r="AO631" t="s">
        <v>74</v>
      </c>
      <c r="AP631" t="s">
        <v>74</v>
      </c>
      <c r="AQ631" t="s">
        <v>11883</v>
      </c>
      <c r="AR631" t="s">
        <v>74</v>
      </c>
      <c r="AS631" t="s">
        <v>74</v>
      </c>
      <c r="AT631" t="s">
        <v>74</v>
      </c>
      <c r="AU631">
        <v>2017</v>
      </c>
      <c r="AV631" t="s">
        <v>74</v>
      </c>
      <c r="AW631" t="s">
        <v>74</v>
      </c>
      <c r="AX631" t="s">
        <v>74</v>
      </c>
      <c r="AY631" t="s">
        <v>74</v>
      </c>
      <c r="AZ631" t="s">
        <v>74</v>
      </c>
      <c r="BA631" t="s">
        <v>74</v>
      </c>
      <c r="BB631" t="s">
        <v>11884</v>
      </c>
      <c r="BC631" t="s">
        <v>1676</v>
      </c>
      <c r="BD631" t="s">
        <v>74</v>
      </c>
      <c r="BE631" t="s">
        <v>74</v>
      </c>
      <c r="BF631" t="s">
        <v>74</v>
      </c>
      <c r="BG631" t="s">
        <v>74</v>
      </c>
      <c r="BH631" t="s">
        <v>74</v>
      </c>
      <c r="BI631">
        <v>50</v>
      </c>
      <c r="BJ631" t="s">
        <v>11885</v>
      </c>
      <c r="BK631" t="s">
        <v>2084</v>
      </c>
      <c r="BL631" t="s">
        <v>11885</v>
      </c>
      <c r="BM631" t="s">
        <v>11886</v>
      </c>
      <c r="BN631" t="s">
        <v>74</v>
      </c>
      <c r="BO631" t="s">
        <v>74</v>
      </c>
      <c r="BP631" t="s">
        <v>74</v>
      </c>
      <c r="BQ631" t="s">
        <v>74</v>
      </c>
      <c r="BR631" t="s">
        <v>105</v>
      </c>
      <c r="BS631" t="s">
        <v>11887</v>
      </c>
      <c r="BT631" t="str">
        <f>HYPERLINK("https%3A%2F%2Fwww.webofscience.com%2Fwos%2Fwoscc%2Ffull-record%2FWOS:000467684100001","View Full Record in Web of Science")</f>
        <v>View Full Record in Web of Science</v>
      </c>
    </row>
    <row r="632" spans="1:72" x14ac:dyDescent="0.15">
      <c r="A632" t="s">
        <v>72</v>
      </c>
      <c r="B632" t="s">
        <v>11888</v>
      </c>
      <c r="C632" t="s">
        <v>74</v>
      </c>
      <c r="D632" t="s">
        <v>74</v>
      </c>
      <c r="E632" t="s">
        <v>74</v>
      </c>
      <c r="F632" t="s">
        <v>11889</v>
      </c>
      <c r="G632" t="s">
        <v>74</v>
      </c>
      <c r="H632" t="s">
        <v>74</v>
      </c>
      <c r="I632" t="s">
        <v>11890</v>
      </c>
      <c r="J632" t="s">
        <v>3135</v>
      </c>
      <c r="K632" t="s">
        <v>74</v>
      </c>
      <c r="L632" t="s">
        <v>74</v>
      </c>
      <c r="M632" t="s">
        <v>78</v>
      </c>
      <c r="N632" t="s">
        <v>79</v>
      </c>
      <c r="O632" t="s">
        <v>74</v>
      </c>
      <c r="P632" t="s">
        <v>74</v>
      </c>
      <c r="Q632" t="s">
        <v>74</v>
      </c>
      <c r="R632" t="s">
        <v>74</v>
      </c>
      <c r="S632" t="s">
        <v>74</v>
      </c>
      <c r="T632" t="s">
        <v>11891</v>
      </c>
      <c r="U632" t="s">
        <v>11892</v>
      </c>
      <c r="V632" t="s">
        <v>11893</v>
      </c>
      <c r="W632" t="s">
        <v>11894</v>
      </c>
      <c r="X632" t="s">
        <v>5039</v>
      </c>
      <c r="Y632" t="s">
        <v>11895</v>
      </c>
      <c r="Z632" t="s">
        <v>11896</v>
      </c>
      <c r="AA632" t="s">
        <v>74</v>
      </c>
      <c r="AB632" t="s">
        <v>74</v>
      </c>
      <c r="AC632" t="s">
        <v>11897</v>
      </c>
      <c r="AD632" t="s">
        <v>11898</v>
      </c>
      <c r="AE632" t="s">
        <v>11899</v>
      </c>
      <c r="AF632" t="s">
        <v>74</v>
      </c>
      <c r="AG632">
        <v>28</v>
      </c>
      <c r="AH632">
        <v>12</v>
      </c>
      <c r="AI632">
        <v>12</v>
      </c>
      <c r="AJ632">
        <v>1</v>
      </c>
      <c r="AK632">
        <v>8</v>
      </c>
      <c r="AL632" t="s">
        <v>2377</v>
      </c>
      <c r="AM632" t="s">
        <v>2378</v>
      </c>
      <c r="AN632" t="s">
        <v>2379</v>
      </c>
      <c r="AO632" t="s">
        <v>3147</v>
      </c>
      <c r="AP632" t="s">
        <v>3148</v>
      </c>
      <c r="AQ632" t="s">
        <v>74</v>
      </c>
      <c r="AR632" t="s">
        <v>3149</v>
      </c>
      <c r="AS632" t="s">
        <v>3150</v>
      </c>
      <c r="AT632" t="s">
        <v>2136</v>
      </c>
      <c r="AU632">
        <v>2017</v>
      </c>
      <c r="AV632">
        <v>25</v>
      </c>
      <c r="AW632">
        <v>1</v>
      </c>
      <c r="AX632" t="s">
        <v>74</v>
      </c>
      <c r="AY632" t="s">
        <v>74</v>
      </c>
      <c r="AZ632" t="s">
        <v>74</v>
      </c>
      <c r="BA632" t="s">
        <v>74</v>
      </c>
      <c r="BB632">
        <v>129</v>
      </c>
      <c r="BC632">
        <v>134</v>
      </c>
      <c r="BD632" t="s">
        <v>74</v>
      </c>
      <c r="BE632" t="s">
        <v>11900</v>
      </c>
      <c r="BF632" t="str">
        <f>HYPERLINK("http://dx.doi.org/10.1111/rec.12383","http://dx.doi.org/10.1111/rec.12383")</f>
        <v>http://dx.doi.org/10.1111/rec.12383</v>
      </c>
      <c r="BG632" t="s">
        <v>74</v>
      </c>
      <c r="BH632" t="s">
        <v>74</v>
      </c>
      <c r="BI632">
        <v>6</v>
      </c>
      <c r="BJ632" t="s">
        <v>1739</v>
      </c>
      <c r="BK632" t="s">
        <v>101</v>
      </c>
      <c r="BL632" t="s">
        <v>178</v>
      </c>
      <c r="BM632" t="s">
        <v>3152</v>
      </c>
      <c r="BN632" t="s">
        <v>74</v>
      </c>
      <c r="BO632" t="s">
        <v>74</v>
      </c>
      <c r="BP632" t="s">
        <v>74</v>
      </c>
      <c r="BQ632" t="s">
        <v>74</v>
      </c>
      <c r="BR632" t="s">
        <v>105</v>
      </c>
      <c r="BS632" t="s">
        <v>11901</v>
      </c>
      <c r="BT632" t="str">
        <f>HYPERLINK("https%3A%2F%2Fwww.webofscience.com%2Fwos%2Fwoscc%2Ffull-record%2FWOS:000396475900016","View Full Record in Web of Science")</f>
        <v>View Full Record in Web of Science</v>
      </c>
    </row>
    <row r="633" spans="1:72" x14ac:dyDescent="0.15">
      <c r="A633" t="s">
        <v>72</v>
      </c>
      <c r="B633" t="s">
        <v>11902</v>
      </c>
      <c r="C633" t="s">
        <v>74</v>
      </c>
      <c r="D633" t="s">
        <v>74</v>
      </c>
      <c r="E633" t="s">
        <v>74</v>
      </c>
      <c r="F633" t="s">
        <v>11903</v>
      </c>
      <c r="G633" t="s">
        <v>74</v>
      </c>
      <c r="H633" t="s">
        <v>74</v>
      </c>
      <c r="I633" t="s">
        <v>11904</v>
      </c>
      <c r="J633" t="s">
        <v>129</v>
      </c>
      <c r="K633" t="s">
        <v>74</v>
      </c>
      <c r="L633" t="s">
        <v>74</v>
      </c>
      <c r="M633" t="s">
        <v>78</v>
      </c>
      <c r="N633" t="s">
        <v>79</v>
      </c>
      <c r="O633" t="s">
        <v>74</v>
      </c>
      <c r="P633" t="s">
        <v>74</v>
      </c>
      <c r="Q633" t="s">
        <v>74</v>
      </c>
      <c r="R633" t="s">
        <v>74</v>
      </c>
      <c r="S633" t="s">
        <v>74</v>
      </c>
      <c r="T633" t="s">
        <v>74</v>
      </c>
      <c r="U633" t="s">
        <v>11905</v>
      </c>
      <c r="V633" t="s">
        <v>11906</v>
      </c>
      <c r="W633" t="s">
        <v>11907</v>
      </c>
      <c r="X633" t="s">
        <v>11908</v>
      </c>
      <c r="Y633" t="s">
        <v>11909</v>
      </c>
      <c r="Z633" t="s">
        <v>11910</v>
      </c>
      <c r="AA633" t="s">
        <v>11911</v>
      </c>
      <c r="AB633" t="s">
        <v>11912</v>
      </c>
      <c r="AC633" t="s">
        <v>11913</v>
      </c>
      <c r="AD633" t="s">
        <v>11914</v>
      </c>
      <c r="AE633" t="s">
        <v>11915</v>
      </c>
      <c r="AF633" t="s">
        <v>74</v>
      </c>
      <c r="AG633">
        <v>44</v>
      </c>
      <c r="AH633">
        <v>57</v>
      </c>
      <c r="AI633">
        <v>64</v>
      </c>
      <c r="AJ633">
        <v>2</v>
      </c>
      <c r="AK633">
        <v>31</v>
      </c>
      <c r="AL633" t="s">
        <v>141</v>
      </c>
      <c r="AM633" t="s">
        <v>142</v>
      </c>
      <c r="AN633" t="s">
        <v>143</v>
      </c>
      <c r="AO633" t="s">
        <v>144</v>
      </c>
      <c r="AP633" t="s">
        <v>74</v>
      </c>
      <c r="AQ633" t="s">
        <v>74</v>
      </c>
      <c r="AR633" t="s">
        <v>145</v>
      </c>
      <c r="AS633" t="s">
        <v>146</v>
      </c>
      <c r="AT633" t="s">
        <v>2136</v>
      </c>
      <c r="AU633">
        <v>2017</v>
      </c>
      <c r="AV633">
        <v>3</v>
      </c>
      <c r="AW633">
        <v>1</v>
      </c>
      <c r="AX633" t="s">
        <v>74</v>
      </c>
      <c r="AY633" t="s">
        <v>74</v>
      </c>
      <c r="AZ633" t="s">
        <v>74</v>
      </c>
      <c r="BA633" t="s">
        <v>74</v>
      </c>
      <c r="BB633" t="s">
        <v>74</v>
      </c>
      <c r="BC633" t="s">
        <v>74</v>
      </c>
      <c r="BD633" t="s">
        <v>11916</v>
      </c>
      <c r="BE633" t="s">
        <v>11917</v>
      </c>
      <c r="BF633" t="str">
        <f>HYPERLINK("http://dx.doi.org/10.1126/sciadv.1601426","http://dx.doi.org/10.1126/sciadv.1601426")</f>
        <v>http://dx.doi.org/10.1126/sciadv.1601426</v>
      </c>
      <c r="BG633" t="s">
        <v>74</v>
      </c>
      <c r="BH633" t="s">
        <v>74</v>
      </c>
      <c r="BI633">
        <v>9</v>
      </c>
      <c r="BJ633" t="s">
        <v>100</v>
      </c>
      <c r="BK633" t="s">
        <v>101</v>
      </c>
      <c r="BL633" t="s">
        <v>102</v>
      </c>
      <c r="BM633" t="s">
        <v>11918</v>
      </c>
      <c r="BN633">
        <v>28138548</v>
      </c>
      <c r="BO633" t="s">
        <v>3339</v>
      </c>
      <c r="BP633" t="s">
        <v>74</v>
      </c>
      <c r="BQ633" t="s">
        <v>74</v>
      </c>
      <c r="BR633" t="s">
        <v>105</v>
      </c>
      <c r="BS633" t="s">
        <v>11919</v>
      </c>
      <c r="BT633" t="str">
        <f>HYPERLINK("https%3A%2F%2Fwww.webofscience.com%2Fwos%2Fwoscc%2Ffull-record%2FWOS:000393789900015","View Full Record in Web of Science")</f>
        <v>View Full Record in Web of Science</v>
      </c>
    </row>
    <row r="634" spans="1:72" x14ac:dyDescent="0.15">
      <c r="A634" t="s">
        <v>72</v>
      </c>
      <c r="B634" t="s">
        <v>11920</v>
      </c>
      <c r="C634" t="s">
        <v>74</v>
      </c>
      <c r="D634" t="s">
        <v>74</v>
      </c>
      <c r="E634" t="s">
        <v>74</v>
      </c>
      <c r="F634" t="s">
        <v>11921</v>
      </c>
      <c r="G634" t="s">
        <v>74</v>
      </c>
      <c r="H634" t="s">
        <v>74</v>
      </c>
      <c r="I634" t="s">
        <v>11922</v>
      </c>
      <c r="J634" t="s">
        <v>155</v>
      </c>
      <c r="K634" t="s">
        <v>74</v>
      </c>
      <c r="L634" t="s">
        <v>74</v>
      </c>
      <c r="M634" t="s">
        <v>78</v>
      </c>
      <c r="N634" t="s">
        <v>79</v>
      </c>
      <c r="O634" t="s">
        <v>74</v>
      </c>
      <c r="P634" t="s">
        <v>74</v>
      </c>
      <c r="Q634" t="s">
        <v>74</v>
      </c>
      <c r="R634" t="s">
        <v>74</v>
      </c>
      <c r="S634" t="s">
        <v>74</v>
      </c>
      <c r="T634" t="s">
        <v>11923</v>
      </c>
      <c r="U634" t="s">
        <v>11924</v>
      </c>
      <c r="V634" t="s">
        <v>11925</v>
      </c>
      <c r="W634" t="s">
        <v>11926</v>
      </c>
      <c r="X634" t="s">
        <v>11927</v>
      </c>
      <c r="Y634" t="s">
        <v>11928</v>
      </c>
      <c r="Z634" t="s">
        <v>11929</v>
      </c>
      <c r="AA634" t="s">
        <v>11930</v>
      </c>
      <c r="AB634" t="s">
        <v>11931</v>
      </c>
      <c r="AC634" t="s">
        <v>11932</v>
      </c>
      <c r="AD634" t="s">
        <v>11933</v>
      </c>
      <c r="AE634" t="s">
        <v>11934</v>
      </c>
      <c r="AF634" t="s">
        <v>74</v>
      </c>
      <c r="AG634">
        <v>130</v>
      </c>
      <c r="AH634">
        <v>21</v>
      </c>
      <c r="AI634">
        <v>21</v>
      </c>
      <c r="AJ634">
        <v>3</v>
      </c>
      <c r="AK634">
        <v>84</v>
      </c>
      <c r="AL634" t="s">
        <v>168</v>
      </c>
      <c r="AM634" t="s">
        <v>169</v>
      </c>
      <c r="AN634" t="s">
        <v>170</v>
      </c>
      <c r="AO634" t="s">
        <v>171</v>
      </c>
      <c r="AP634" t="s">
        <v>172</v>
      </c>
      <c r="AQ634" t="s">
        <v>74</v>
      </c>
      <c r="AR634" t="s">
        <v>173</v>
      </c>
      <c r="AS634" t="s">
        <v>174</v>
      </c>
      <c r="AT634" t="s">
        <v>2162</v>
      </c>
      <c r="AU634">
        <v>2017</v>
      </c>
      <c r="AV634">
        <v>574</v>
      </c>
      <c r="AW634" t="s">
        <v>74</v>
      </c>
      <c r="AX634" t="s">
        <v>74</v>
      </c>
      <c r="AY634" t="s">
        <v>74</v>
      </c>
      <c r="AZ634" t="s">
        <v>74</v>
      </c>
      <c r="BA634" t="s">
        <v>74</v>
      </c>
      <c r="BB634">
        <v>443</v>
      </c>
      <c r="BC634">
        <v>454</v>
      </c>
      <c r="BD634" t="s">
        <v>74</v>
      </c>
      <c r="BE634" t="s">
        <v>11935</v>
      </c>
      <c r="BF634" t="str">
        <f>HYPERLINK("http://dx.doi.org/10.1016/j.scitotenv.2016.09.091","http://dx.doi.org/10.1016/j.scitotenv.2016.09.091")</f>
        <v>http://dx.doi.org/10.1016/j.scitotenv.2016.09.091</v>
      </c>
      <c r="BG634" t="s">
        <v>74</v>
      </c>
      <c r="BH634" t="s">
        <v>74</v>
      </c>
      <c r="BI634">
        <v>12</v>
      </c>
      <c r="BJ634" t="s">
        <v>177</v>
      </c>
      <c r="BK634" t="s">
        <v>245</v>
      </c>
      <c r="BL634" t="s">
        <v>178</v>
      </c>
      <c r="BM634" t="s">
        <v>11936</v>
      </c>
      <c r="BN634">
        <v>27644022</v>
      </c>
      <c r="BO634" t="s">
        <v>74</v>
      </c>
      <c r="BP634" t="s">
        <v>74</v>
      </c>
      <c r="BQ634" t="s">
        <v>74</v>
      </c>
      <c r="BR634" t="s">
        <v>105</v>
      </c>
      <c r="BS634" t="s">
        <v>11937</v>
      </c>
      <c r="BT634" t="str">
        <f>HYPERLINK("https%3A%2F%2Fwww.webofscience.com%2Fwos%2Fwoscc%2Ffull-record%2FWOS:000389090100043","View Full Record in Web of Science")</f>
        <v>View Full Record in Web of Science</v>
      </c>
    </row>
    <row r="635" spans="1:72" x14ac:dyDescent="0.15">
      <c r="A635" t="s">
        <v>72</v>
      </c>
      <c r="B635" t="s">
        <v>11938</v>
      </c>
      <c r="C635" t="s">
        <v>74</v>
      </c>
      <c r="D635" t="s">
        <v>74</v>
      </c>
      <c r="E635" t="s">
        <v>74</v>
      </c>
      <c r="F635" t="s">
        <v>11939</v>
      </c>
      <c r="G635" t="s">
        <v>74</v>
      </c>
      <c r="H635" t="s">
        <v>74</v>
      </c>
      <c r="I635" t="s">
        <v>11940</v>
      </c>
      <c r="J635" t="s">
        <v>3248</v>
      </c>
      <c r="K635" t="s">
        <v>74</v>
      </c>
      <c r="L635" t="s">
        <v>74</v>
      </c>
      <c r="M635" t="s">
        <v>78</v>
      </c>
      <c r="N635" t="s">
        <v>79</v>
      </c>
      <c r="O635" t="s">
        <v>74</v>
      </c>
      <c r="P635" t="s">
        <v>74</v>
      </c>
      <c r="Q635" t="s">
        <v>74</v>
      </c>
      <c r="R635" t="s">
        <v>74</v>
      </c>
      <c r="S635" t="s">
        <v>74</v>
      </c>
      <c r="T635" t="s">
        <v>74</v>
      </c>
      <c r="U635" t="s">
        <v>11941</v>
      </c>
      <c r="V635" t="s">
        <v>11942</v>
      </c>
      <c r="W635" t="s">
        <v>11943</v>
      </c>
      <c r="X635" t="s">
        <v>11944</v>
      </c>
      <c r="Y635" t="s">
        <v>11945</v>
      </c>
      <c r="Z635" t="s">
        <v>11946</v>
      </c>
      <c r="AA635" t="s">
        <v>11947</v>
      </c>
      <c r="AB635" t="s">
        <v>11948</v>
      </c>
      <c r="AC635" t="s">
        <v>11949</v>
      </c>
      <c r="AD635" t="s">
        <v>5233</v>
      </c>
      <c r="AE635" t="s">
        <v>74</v>
      </c>
      <c r="AF635" t="s">
        <v>74</v>
      </c>
      <c r="AG635">
        <v>31</v>
      </c>
      <c r="AH635">
        <v>5</v>
      </c>
      <c r="AI635">
        <v>6</v>
      </c>
      <c r="AJ635">
        <v>0</v>
      </c>
      <c r="AK635">
        <v>3</v>
      </c>
      <c r="AL635" t="s">
        <v>3260</v>
      </c>
      <c r="AM635" t="s">
        <v>3261</v>
      </c>
      <c r="AN635" t="s">
        <v>3262</v>
      </c>
      <c r="AO635" t="s">
        <v>3263</v>
      </c>
      <c r="AP635" t="s">
        <v>74</v>
      </c>
      <c r="AQ635" t="s">
        <v>74</v>
      </c>
      <c r="AR635" t="s">
        <v>3248</v>
      </c>
      <c r="AS635" t="s">
        <v>3248</v>
      </c>
      <c r="AT635" t="s">
        <v>74</v>
      </c>
      <c r="AU635">
        <v>2017</v>
      </c>
      <c r="AV635" t="s">
        <v>11950</v>
      </c>
      <c r="AW635" t="s">
        <v>74</v>
      </c>
      <c r="AX635" t="s">
        <v>74</v>
      </c>
      <c r="AY635" t="s">
        <v>74</v>
      </c>
      <c r="AZ635" t="s">
        <v>74</v>
      </c>
      <c r="BA635" t="s">
        <v>74</v>
      </c>
      <c r="BB635">
        <v>19</v>
      </c>
      <c r="BC635">
        <v>23</v>
      </c>
      <c r="BD635" t="s">
        <v>74</v>
      </c>
      <c r="BE635" t="s">
        <v>11951</v>
      </c>
      <c r="BF635" t="str">
        <f>HYPERLINK("http://dx.doi.org/10.2151/sola.13A-004","http://dx.doi.org/10.2151/sola.13A-004")</f>
        <v>http://dx.doi.org/10.2151/sola.13A-004</v>
      </c>
      <c r="BG635" t="s">
        <v>74</v>
      </c>
      <c r="BH635" t="s">
        <v>74</v>
      </c>
      <c r="BI635">
        <v>5</v>
      </c>
      <c r="BJ635" t="s">
        <v>747</v>
      </c>
      <c r="BK635" t="s">
        <v>101</v>
      </c>
      <c r="BL635" t="s">
        <v>747</v>
      </c>
      <c r="BM635" t="s">
        <v>11952</v>
      </c>
      <c r="BN635" t="s">
        <v>74</v>
      </c>
      <c r="BO635" t="s">
        <v>725</v>
      </c>
      <c r="BP635" t="s">
        <v>74</v>
      </c>
      <c r="BQ635" t="s">
        <v>74</v>
      </c>
      <c r="BR635" t="s">
        <v>105</v>
      </c>
      <c r="BS635" t="s">
        <v>11953</v>
      </c>
      <c r="BT635" t="str">
        <f>HYPERLINK("https%3A%2F%2Fwww.webofscience.com%2Fwos%2Fwoscc%2Ffull-record%2FWOS:000431184600003","View Full Record in Web of Science")</f>
        <v>View Full Record in Web of Science</v>
      </c>
    </row>
    <row r="636" spans="1:72" x14ac:dyDescent="0.15">
      <c r="A636" t="s">
        <v>72</v>
      </c>
      <c r="B636" t="s">
        <v>11954</v>
      </c>
      <c r="C636" t="s">
        <v>74</v>
      </c>
      <c r="D636" t="s">
        <v>74</v>
      </c>
      <c r="E636" t="s">
        <v>74</v>
      </c>
      <c r="F636" t="s">
        <v>11955</v>
      </c>
      <c r="G636" t="s">
        <v>74</v>
      </c>
      <c r="H636" t="s">
        <v>74</v>
      </c>
      <c r="I636" t="s">
        <v>11956</v>
      </c>
      <c r="J636" t="s">
        <v>11957</v>
      </c>
      <c r="K636" t="s">
        <v>74</v>
      </c>
      <c r="L636" t="s">
        <v>74</v>
      </c>
      <c r="M636" t="s">
        <v>78</v>
      </c>
      <c r="N636" t="s">
        <v>79</v>
      </c>
      <c r="O636" t="s">
        <v>74</v>
      </c>
      <c r="P636" t="s">
        <v>74</v>
      </c>
      <c r="Q636" t="s">
        <v>74</v>
      </c>
      <c r="R636" t="s">
        <v>74</v>
      </c>
      <c r="S636" t="s">
        <v>74</v>
      </c>
      <c r="T636" t="s">
        <v>74</v>
      </c>
      <c r="U636" t="s">
        <v>11958</v>
      </c>
      <c r="V636" t="s">
        <v>11959</v>
      </c>
      <c r="W636" t="s">
        <v>11960</v>
      </c>
      <c r="X636" t="s">
        <v>11961</v>
      </c>
      <c r="Y636" t="s">
        <v>11962</v>
      </c>
      <c r="Z636" t="s">
        <v>11963</v>
      </c>
      <c r="AA636" t="s">
        <v>11964</v>
      </c>
      <c r="AB636" t="s">
        <v>11965</v>
      </c>
      <c r="AC636" t="s">
        <v>11966</v>
      </c>
      <c r="AD636" t="s">
        <v>11967</v>
      </c>
      <c r="AE636" t="s">
        <v>11968</v>
      </c>
      <c r="AF636" t="s">
        <v>74</v>
      </c>
      <c r="AG636">
        <v>76</v>
      </c>
      <c r="AH636">
        <v>91</v>
      </c>
      <c r="AI636">
        <v>93</v>
      </c>
      <c r="AJ636">
        <v>1</v>
      </c>
      <c r="AK636">
        <v>38</v>
      </c>
      <c r="AL636" t="s">
        <v>661</v>
      </c>
      <c r="AM636" t="s">
        <v>142</v>
      </c>
      <c r="AN636" t="s">
        <v>662</v>
      </c>
      <c r="AO636" t="s">
        <v>74</v>
      </c>
      <c r="AP636" t="s">
        <v>11969</v>
      </c>
      <c r="AQ636" t="s">
        <v>74</v>
      </c>
      <c r="AR636" t="s">
        <v>11970</v>
      </c>
      <c r="AS636" t="s">
        <v>11971</v>
      </c>
      <c r="AT636" t="s">
        <v>2136</v>
      </c>
      <c r="AU636">
        <v>2017</v>
      </c>
      <c r="AV636">
        <v>15</v>
      </c>
      <c r="AW636">
        <v>1</v>
      </c>
      <c r="AX636" t="s">
        <v>74</v>
      </c>
      <c r="AY636" t="s">
        <v>74</v>
      </c>
      <c r="AZ636" t="s">
        <v>74</v>
      </c>
      <c r="BA636" t="s">
        <v>74</v>
      </c>
      <c r="BB636">
        <v>65</v>
      </c>
      <c r="BC636">
        <v>83</v>
      </c>
      <c r="BD636" t="s">
        <v>74</v>
      </c>
      <c r="BE636" t="s">
        <v>11972</v>
      </c>
      <c r="BF636" t="str">
        <f>HYPERLINK("http://dx.doi.org/10.1002/2016SW001491","http://dx.doi.org/10.1002/2016SW001491")</f>
        <v>http://dx.doi.org/10.1002/2016SW001491</v>
      </c>
      <c r="BG636" t="s">
        <v>74</v>
      </c>
      <c r="BH636" t="s">
        <v>74</v>
      </c>
      <c r="BI636">
        <v>19</v>
      </c>
      <c r="BJ636" t="s">
        <v>11973</v>
      </c>
      <c r="BK636" t="s">
        <v>245</v>
      </c>
      <c r="BL636" t="s">
        <v>11973</v>
      </c>
      <c r="BM636" t="s">
        <v>11974</v>
      </c>
      <c r="BN636" t="s">
        <v>74</v>
      </c>
      <c r="BO636" t="s">
        <v>8472</v>
      </c>
      <c r="BP636" t="s">
        <v>74</v>
      </c>
      <c r="BQ636" t="s">
        <v>74</v>
      </c>
      <c r="BR636" t="s">
        <v>105</v>
      </c>
      <c r="BS636" t="s">
        <v>11975</v>
      </c>
      <c r="BT636" t="str">
        <f>HYPERLINK("https%3A%2F%2Fwww.webofscience.com%2Fwos%2Fwoscc%2Ffull-record%2FWOS:000394580400008","View Full Record in Web of Science")</f>
        <v>View Full Record in Web of Science</v>
      </c>
    </row>
    <row r="637" spans="1:72" x14ac:dyDescent="0.15">
      <c r="A637" t="s">
        <v>72</v>
      </c>
      <c r="B637" t="s">
        <v>11976</v>
      </c>
      <c r="C637" t="s">
        <v>74</v>
      </c>
      <c r="D637" t="s">
        <v>74</v>
      </c>
      <c r="E637" t="s">
        <v>74</v>
      </c>
      <c r="F637" t="s">
        <v>11977</v>
      </c>
      <c r="G637" t="s">
        <v>74</v>
      </c>
      <c r="H637" t="s">
        <v>74</v>
      </c>
      <c r="I637" t="s">
        <v>11978</v>
      </c>
      <c r="J637" t="s">
        <v>11979</v>
      </c>
      <c r="K637" t="s">
        <v>74</v>
      </c>
      <c r="L637" t="s">
        <v>74</v>
      </c>
      <c r="M637" t="s">
        <v>11980</v>
      </c>
      <c r="N637" t="s">
        <v>185</v>
      </c>
      <c r="O637" t="s">
        <v>74</v>
      </c>
      <c r="P637" t="s">
        <v>74</v>
      </c>
      <c r="Q637" t="s">
        <v>74</v>
      </c>
      <c r="R637" t="s">
        <v>74</v>
      </c>
      <c r="S637" t="s">
        <v>74</v>
      </c>
      <c r="T637" t="s">
        <v>74</v>
      </c>
      <c r="U637" t="s">
        <v>74</v>
      </c>
      <c r="V637" t="s">
        <v>74</v>
      </c>
      <c r="W637" t="s">
        <v>11981</v>
      </c>
      <c r="X637" t="s">
        <v>74</v>
      </c>
      <c r="Y637" t="s">
        <v>11982</v>
      </c>
      <c r="Z637" t="s">
        <v>11983</v>
      </c>
      <c r="AA637" t="s">
        <v>74</v>
      </c>
      <c r="AB637" t="s">
        <v>74</v>
      </c>
      <c r="AC637" t="s">
        <v>74</v>
      </c>
      <c r="AD637" t="s">
        <v>74</v>
      </c>
      <c r="AE637" t="s">
        <v>74</v>
      </c>
      <c r="AF637" t="s">
        <v>74</v>
      </c>
      <c r="AG637">
        <v>5</v>
      </c>
      <c r="AH637">
        <v>1</v>
      </c>
      <c r="AI637">
        <v>1</v>
      </c>
      <c r="AJ637">
        <v>0</v>
      </c>
      <c r="AK637">
        <v>6</v>
      </c>
      <c r="AL637" t="s">
        <v>11984</v>
      </c>
      <c r="AM637" t="s">
        <v>583</v>
      </c>
      <c r="AN637" t="s">
        <v>11985</v>
      </c>
      <c r="AO637" t="s">
        <v>11986</v>
      </c>
      <c r="AP637" t="s">
        <v>11987</v>
      </c>
      <c r="AQ637" t="s">
        <v>74</v>
      </c>
      <c r="AR637" t="s">
        <v>11979</v>
      </c>
      <c r="AS637" t="s">
        <v>11988</v>
      </c>
      <c r="AT637" t="s">
        <v>2136</v>
      </c>
      <c r="AU637">
        <v>2017</v>
      </c>
      <c r="AV637">
        <v>86</v>
      </c>
      <c r="AW637">
        <v>1</v>
      </c>
      <c r="AX637" t="s">
        <v>74</v>
      </c>
      <c r="AY637" t="s">
        <v>74</v>
      </c>
      <c r="AZ637" t="s">
        <v>74</v>
      </c>
      <c r="BA637" t="s">
        <v>74</v>
      </c>
      <c r="BB637">
        <v>65</v>
      </c>
      <c r="BC637">
        <v>72</v>
      </c>
      <c r="BD637" t="s">
        <v>74</v>
      </c>
      <c r="BE637" t="s">
        <v>11989</v>
      </c>
      <c r="BF637" t="str">
        <f>HYPERLINK("http://dx.doi.org/10.1002/stab.201710449","http://dx.doi.org/10.1002/stab.201710449")</f>
        <v>http://dx.doi.org/10.1002/stab.201710449</v>
      </c>
      <c r="BG637" t="s">
        <v>74</v>
      </c>
      <c r="BH637" t="s">
        <v>74</v>
      </c>
      <c r="BI637">
        <v>8</v>
      </c>
      <c r="BJ637" t="s">
        <v>11990</v>
      </c>
      <c r="BK637" t="s">
        <v>101</v>
      </c>
      <c r="BL637" t="s">
        <v>11991</v>
      </c>
      <c r="BM637" t="s">
        <v>11992</v>
      </c>
      <c r="BN637" t="s">
        <v>74</v>
      </c>
      <c r="BO637" t="s">
        <v>74</v>
      </c>
      <c r="BP637" t="s">
        <v>74</v>
      </c>
      <c r="BQ637" t="s">
        <v>74</v>
      </c>
      <c r="BR637" t="s">
        <v>105</v>
      </c>
      <c r="BS637" t="s">
        <v>11993</v>
      </c>
      <c r="BT637" t="str">
        <f>HYPERLINK("https%3A%2F%2Fwww.webofscience.com%2Fwos%2Fwoscc%2Ffull-record%2FWOS:000394592100009","View Full Record in Web of Science")</f>
        <v>View Full Record in Web of Science</v>
      </c>
    </row>
    <row r="638" spans="1:72" x14ac:dyDescent="0.15">
      <c r="A638" t="s">
        <v>72</v>
      </c>
      <c r="B638" t="s">
        <v>11994</v>
      </c>
      <c r="C638" t="s">
        <v>74</v>
      </c>
      <c r="D638" t="s">
        <v>74</v>
      </c>
      <c r="E638" t="s">
        <v>74</v>
      </c>
      <c r="F638" t="s">
        <v>11995</v>
      </c>
      <c r="G638" t="s">
        <v>74</v>
      </c>
      <c r="H638" t="s">
        <v>74</v>
      </c>
      <c r="I638" t="s">
        <v>11996</v>
      </c>
      <c r="J638" t="s">
        <v>11997</v>
      </c>
      <c r="K638" t="s">
        <v>74</v>
      </c>
      <c r="L638" t="s">
        <v>74</v>
      </c>
      <c r="M638" t="s">
        <v>2706</v>
      </c>
      <c r="N638" t="s">
        <v>79</v>
      </c>
      <c r="O638" t="s">
        <v>74</v>
      </c>
      <c r="P638" t="s">
        <v>74</v>
      </c>
      <c r="Q638" t="s">
        <v>74</v>
      </c>
      <c r="R638" t="s">
        <v>74</v>
      </c>
      <c r="S638" t="s">
        <v>74</v>
      </c>
      <c r="T638" t="s">
        <v>11998</v>
      </c>
      <c r="U638" t="s">
        <v>74</v>
      </c>
      <c r="V638" t="s">
        <v>11999</v>
      </c>
      <c r="W638" t="s">
        <v>12000</v>
      </c>
      <c r="X638" t="s">
        <v>12001</v>
      </c>
      <c r="Y638" t="s">
        <v>12002</v>
      </c>
      <c r="Z638" t="s">
        <v>12003</v>
      </c>
      <c r="AA638" t="s">
        <v>12004</v>
      </c>
      <c r="AB638" t="s">
        <v>12005</v>
      </c>
      <c r="AC638" t="s">
        <v>74</v>
      </c>
      <c r="AD638" t="s">
        <v>74</v>
      </c>
      <c r="AE638" t="s">
        <v>74</v>
      </c>
      <c r="AF638" t="s">
        <v>74</v>
      </c>
      <c r="AG638">
        <v>7</v>
      </c>
      <c r="AH638">
        <v>3</v>
      </c>
      <c r="AI638">
        <v>3</v>
      </c>
      <c r="AJ638">
        <v>0</v>
      </c>
      <c r="AK638">
        <v>5</v>
      </c>
      <c r="AL638" t="s">
        <v>12006</v>
      </c>
      <c r="AM638" t="s">
        <v>2048</v>
      </c>
      <c r="AN638" t="s">
        <v>12007</v>
      </c>
      <c r="AO638" t="s">
        <v>12008</v>
      </c>
      <c r="AP638" t="s">
        <v>12009</v>
      </c>
      <c r="AQ638" t="s">
        <v>74</v>
      </c>
      <c r="AR638" t="s">
        <v>12010</v>
      </c>
      <c r="AS638" t="s">
        <v>12011</v>
      </c>
      <c r="AT638" t="s">
        <v>74</v>
      </c>
      <c r="AU638">
        <v>2017</v>
      </c>
      <c r="AV638" t="s">
        <v>74</v>
      </c>
      <c r="AW638">
        <v>2</v>
      </c>
      <c r="AX638" t="s">
        <v>74</v>
      </c>
      <c r="AY638" t="s">
        <v>74</v>
      </c>
      <c r="AZ638" t="s">
        <v>74</v>
      </c>
      <c r="BA638" t="s">
        <v>74</v>
      </c>
      <c r="BB638">
        <v>49</v>
      </c>
      <c r="BC638">
        <v>53</v>
      </c>
      <c r="BD638" t="s">
        <v>74</v>
      </c>
      <c r="BE638" t="s">
        <v>74</v>
      </c>
      <c r="BF638" t="s">
        <v>74</v>
      </c>
      <c r="BG638" t="s">
        <v>74</v>
      </c>
      <c r="BH638" t="s">
        <v>74</v>
      </c>
      <c r="BI638">
        <v>5</v>
      </c>
      <c r="BJ638" t="s">
        <v>1739</v>
      </c>
      <c r="BK638" t="s">
        <v>2057</v>
      </c>
      <c r="BL638" t="s">
        <v>178</v>
      </c>
      <c r="BM638" t="s">
        <v>12012</v>
      </c>
      <c r="BN638" t="s">
        <v>74</v>
      </c>
      <c r="BO638" t="s">
        <v>74</v>
      </c>
      <c r="BP638" t="s">
        <v>74</v>
      </c>
      <c r="BQ638" t="s">
        <v>74</v>
      </c>
      <c r="BR638" t="s">
        <v>105</v>
      </c>
      <c r="BS638" t="s">
        <v>12013</v>
      </c>
      <c r="BT638" t="str">
        <f>HYPERLINK("https%3A%2F%2Fwww.webofscience.com%2Fwos%2Fwoscc%2Ffull-record%2FWOS:000468547000009","View Full Record in Web of Science")</f>
        <v>View Full Record in Web of Science</v>
      </c>
    </row>
    <row r="639" spans="1:72" x14ac:dyDescent="0.15">
      <c r="A639" t="s">
        <v>72</v>
      </c>
      <c r="B639" t="s">
        <v>12014</v>
      </c>
      <c r="C639" t="s">
        <v>74</v>
      </c>
      <c r="D639" t="s">
        <v>74</v>
      </c>
      <c r="E639" t="s">
        <v>74</v>
      </c>
      <c r="F639" t="s">
        <v>12015</v>
      </c>
      <c r="G639" t="s">
        <v>74</v>
      </c>
      <c r="H639" t="s">
        <v>74</v>
      </c>
      <c r="I639" t="s">
        <v>12016</v>
      </c>
      <c r="J639" t="s">
        <v>12017</v>
      </c>
      <c r="K639" t="s">
        <v>74</v>
      </c>
      <c r="L639" t="s">
        <v>74</v>
      </c>
      <c r="M639" t="s">
        <v>78</v>
      </c>
      <c r="N639" t="s">
        <v>2034</v>
      </c>
      <c r="O639" t="s">
        <v>74</v>
      </c>
      <c r="P639" t="s">
        <v>74</v>
      </c>
      <c r="Q639" t="s">
        <v>74</v>
      </c>
      <c r="R639" t="s">
        <v>74</v>
      </c>
      <c r="S639" t="s">
        <v>74</v>
      </c>
      <c r="T639" t="s">
        <v>74</v>
      </c>
      <c r="U639" t="s">
        <v>12018</v>
      </c>
      <c r="V639" t="s">
        <v>12019</v>
      </c>
      <c r="W639" t="s">
        <v>12020</v>
      </c>
      <c r="X639" t="s">
        <v>12021</v>
      </c>
      <c r="Y639" t="s">
        <v>12022</v>
      </c>
      <c r="Z639" t="s">
        <v>12023</v>
      </c>
      <c r="AA639" t="s">
        <v>12024</v>
      </c>
      <c r="AB639" t="s">
        <v>12025</v>
      </c>
      <c r="AC639" t="s">
        <v>12026</v>
      </c>
      <c r="AD639" t="s">
        <v>12027</v>
      </c>
      <c r="AE639" t="s">
        <v>12028</v>
      </c>
      <c r="AF639" t="s">
        <v>74</v>
      </c>
      <c r="AG639">
        <v>62</v>
      </c>
      <c r="AH639">
        <v>83</v>
      </c>
      <c r="AI639">
        <v>94</v>
      </c>
      <c r="AJ639">
        <v>1</v>
      </c>
      <c r="AK639">
        <v>371</v>
      </c>
      <c r="AL639" t="s">
        <v>12029</v>
      </c>
      <c r="AM639" t="s">
        <v>93</v>
      </c>
      <c r="AN639" t="s">
        <v>12030</v>
      </c>
      <c r="AO639" t="s">
        <v>12031</v>
      </c>
      <c r="AP639" t="s">
        <v>12032</v>
      </c>
      <c r="AQ639" t="s">
        <v>74</v>
      </c>
      <c r="AR639" t="s">
        <v>12033</v>
      </c>
      <c r="AS639" t="s">
        <v>12034</v>
      </c>
      <c r="AT639" t="s">
        <v>2136</v>
      </c>
      <c r="AU639">
        <v>2017</v>
      </c>
      <c r="AV639">
        <v>32</v>
      </c>
      <c r="AW639">
        <v>1</v>
      </c>
      <c r="AX639" t="s">
        <v>74</v>
      </c>
      <c r="AY639" t="s">
        <v>74</v>
      </c>
      <c r="AZ639" t="s">
        <v>74</v>
      </c>
      <c r="BA639" t="s">
        <v>74</v>
      </c>
      <c r="BB639">
        <v>31</v>
      </c>
      <c r="BC639">
        <v>40</v>
      </c>
      <c r="BD639" t="s">
        <v>74</v>
      </c>
      <c r="BE639" t="s">
        <v>12035</v>
      </c>
      <c r="BF639" t="str">
        <f>HYPERLINK("http://dx.doi.org/10.1016/j.tree.2016.11.005","http://dx.doi.org/10.1016/j.tree.2016.11.005")</f>
        <v>http://dx.doi.org/10.1016/j.tree.2016.11.005</v>
      </c>
      <c r="BG639" t="s">
        <v>74</v>
      </c>
      <c r="BH639" t="s">
        <v>74</v>
      </c>
      <c r="BI639">
        <v>10</v>
      </c>
      <c r="BJ639" t="s">
        <v>12036</v>
      </c>
      <c r="BK639" t="s">
        <v>101</v>
      </c>
      <c r="BL639" t="s">
        <v>12037</v>
      </c>
      <c r="BM639" t="s">
        <v>12038</v>
      </c>
      <c r="BN639">
        <v>27955953</v>
      </c>
      <c r="BO639" t="s">
        <v>11194</v>
      </c>
      <c r="BP639" t="s">
        <v>74</v>
      </c>
      <c r="BQ639" t="s">
        <v>74</v>
      </c>
      <c r="BR639" t="s">
        <v>105</v>
      </c>
      <c r="BS639" t="s">
        <v>12039</v>
      </c>
      <c r="BT639" t="str">
        <f>HYPERLINK("https%3A%2F%2Fwww.webofscience.com%2Fwos%2Fwoscc%2Ffull-record%2FWOS:000392352200008","View Full Record in Web of Science")</f>
        <v>View Full Record in Web of Science</v>
      </c>
    </row>
    <row r="640" spans="1:72" x14ac:dyDescent="0.15">
      <c r="A640" t="s">
        <v>72</v>
      </c>
      <c r="B640" t="s">
        <v>12040</v>
      </c>
      <c r="C640" t="s">
        <v>74</v>
      </c>
      <c r="D640" t="s">
        <v>74</v>
      </c>
      <c r="E640" t="s">
        <v>74</v>
      </c>
      <c r="F640" t="s">
        <v>12041</v>
      </c>
      <c r="G640" t="s">
        <v>74</v>
      </c>
      <c r="H640" t="s">
        <v>74</v>
      </c>
      <c r="I640" t="s">
        <v>12042</v>
      </c>
      <c r="J640" t="s">
        <v>1187</v>
      </c>
      <c r="K640" t="s">
        <v>74</v>
      </c>
      <c r="L640" t="s">
        <v>74</v>
      </c>
      <c r="M640" t="s">
        <v>78</v>
      </c>
      <c r="N640" t="s">
        <v>79</v>
      </c>
      <c r="O640" t="s">
        <v>74</v>
      </c>
      <c r="P640" t="s">
        <v>74</v>
      </c>
      <c r="Q640" t="s">
        <v>74</v>
      </c>
      <c r="R640" t="s">
        <v>74</v>
      </c>
      <c r="S640" t="s">
        <v>74</v>
      </c>
      <c r="T640" t="s">
        <v>12043</v>
      </c>
      <c r="U640" t="s">
        <v>12044</v>
      </c>
      <c r="V640" t="s">
        <v>12045</v>
      </c>
      <c r="W640" t="s">
        <v>12046</v>
      </c>
      <c r="X640" t="s">
        <v>12047</v>
      </c>
      <c r="Y640" t="s">
        <v>12048</v>
      </c>
      <c r="Z640" t="s">
        <v>12049</v>
      </c>
      <c r="AA640" t="s">
        <v>12050</v>
      </c>
      <c r="AB640" t="s">
        <v>12051</v>
      </c>
      <c r="AC640" t="s">
        <v>12052</v>
      </c>
      <c r="AD640" t="s">
        <v>12053</v>
      </c>
      <c r="AE640" t="s">
        <v>12054</v>
      </c>
      <c r="AF640" t="s">
        <v>74</v>
      </c>
      <c r="AG640">
        <v>67</v>
      </c>
      <c r="AH640">
        <v>4</v>
      </c>
      <c r="AI640">
        <v>5</v>
      </c>
      <c r="AJ640">
        <v>0</v>
      </c>
      <c r="AK640">
        <v>26</v>
      </c>
      <c r="AL640" t="s">
        <v>264</v>
      </c>
      <c r="AM640" t="s">
        <v>169</v>
      </c>
      <c r="AN640" t="s">
        <v>265</v>
      </c>
      <c r="AO640" t="s">
        <v>1200</v>
      </c>
      <c r="AP640" t="s">
        <v>1201</v>
      </c>
      <c r="AQ640" t="s">
        <v>74</v>
      </c>
      <c r="AR640" t="s">
        <v>1202</v>
      </c>
      <c r="AS640" t="s">
        <v>1203</v>
      </c>
      <c r="AT640" t="s">
        <v>2162</v>
      </c>
      <c r="AU640">
        <v>2017</v>
      </c>
      <c r="AV640">
        <v>457</v>
      </c>
      <c r="AW640" t="s">
        <v>74</v>
      </c>
      <c r="AX640" t="s">
        <v>74</v>
      </c>
      <c r="AY640" t="s">
        <v>74</v>
      </c>
      <c r="AZ640" t="s">
        <v>74</v>
      </c>
      <c r="BA640" t="s">
        <v>74</v>
      </c>
      <c r="BB640">
        <v>87</v>
      </c>
      <c r="BC640">
        <v>99</v>
      </c>
      <c r="BD640" t="s">
        <v>74</v>
      </c>
      <c r="BE640" t="s">
        <v>12055</v>
      </c>
      <c r="BF640" t="str">
        <f>HYPERLINK("http://dx.doi.org/10.1016/j.epsl.2016.09.028","http://dx.doi.org/10.1016/j.epsl.2016.09.028")</f>
        <v>http://dx.doi.org/10.1016/j.epsl.2016.09.028</v>
      </c>
      <c r="BG640" t="s">
        <v>74</v>
      </c>
      <c r="BH640" t="s">
        <v>74</v>
      </c>
      <c r="BI640">
        <v>13</v>
      </c>
      <c r="BJ640" t="s">
        <v>299</v>
      </c>
      <c r="BK640" t="s">
        <v>101</v>
      </c>
      <c r="BL640" t="s">
        <v>299</v>
      </c>
      <c r="BM640" t="s">
        <v>2234</v>
      </c>
      <c r="BN640" t="s">
        <v>74</v>
      </c>
      <c r="BO640" t="s">
        <v>74</v>
      </c>
      <c r="BP640" t="s">
        <v>74</v>
      </c>
      <c r="BQ640" t="s">
        <v>74</v>
      </c>
      <c r="BR640" t="s">
        <v>105</v>
      </c>
      <c r="BS640" t="s">
        <v>12056</v>
      </c>
      <c r="BT640" t="str">
        <f>HYPERLINK("https%3A%2F%2Fwww.webofscience.com%2Fwos%2Fwoscc%2Ffull-record%2FWOS:000389398000008","View Full Record in Web of Science")</f>
        <v>View Full Record in Web of Science</v>
      </c>
    </row>
    <row r="641" spans="1:72" x14ac:dyDescent="0.15">
      <c r="A641" t="s">
        <v>72</v>
      </c>
      <c r="B641" t="s">
        <v>12057</v>
      </c>
      <c r="C641" t="s">
        <v>74</v>
      </c>
      <c r="D641" t="s">
        <v>74</v>
      </c>
      <c r="E641" t="s">
        <v>74</v>
      </c>
      <c r="F641" t="s">
        <v>12058</v>
      </c>
      <c r="G641" t="s">
        <v>74</v>
      </c>
      <c r="H641" t="s">
        <v>74</v>
      </c>
      <c r="I641" t="s">
        <v>12059</v>
      </c>
      <c r="J641" t="s">
        <v>12060</v>
      </c>
      <c r="K641" t="s">
        <v>74</v>
      </c>
      <c r="L641" t="s">
        <v>74</v>
      </c>
      <c r="M641" t="s">
        <v>78</v>
      </c>
      <c r="N641" t="s">
        <v>79</v>
      </c>
      <c r="O641" t="s">
        <v>74</v>
      </c>
      <c r="P641" t="s">
        <v>74</v>
      </c>
      <c r="Q641" t="s">
        <v>74</v>
      </c>
      <c r="R641" t="s">
        <v>74</v>
      </c>
      <c r="S641" t="s">
        <v>74</v>
      </c>
      <c r="T641" t="s">
        <v>12061</v>
      </c>
      <c r="U641" t="s">
        <v>12062</v>
      </c>
      <c r="V641" t="s">
        <v>12063</v>
      </c>
      <c r="W641" t="s">
        <v>12064</v>
      </c>
      <c r="X641" t="s">
        <v>12065</v>
      </c>
      <c r="Y641" t="s">
        <v>12066</v>
      </c>
      <c r="Z641" t="s">
        <v>12067</v>
      </c>
      <c r="AA641" t="s">
        <v>12068</v>
      </c>
      <c r="AB641" t="s">
        <v>12069</v>
      </c>
      <c r="AC641" t="s">
        <v>12070</v>
      </c>
      <c r="AD641" t="s">
        <v>12071</v>
      </c>
      <c r="AE641" t="s">
        <v>12072</v>
      </c>
      <c r="AF641" t="s">
        <v>74</v>
      </c>
      <c r="AG641">
        <v>55</v>
      </c>
      <c r="AH641">
        <v>10</v>
      </c>
      <c r="AI641">
        <v>11</v>
      </c>
      <c r="AJ641">
        <v>0</v>
      </c>
      <c r="AK641">
        <v>33</v>
      </c>
      <c r="AL641" t="s">
        <v>8606</v>
      </c>
      <c r="AM641" t="s">
        <v>187</v>
      </c>
      <c r="AN641" t="s">
        <v>8607</v>
      </c>
      <c r="AO641" t="s">
        <v>12073</v>
      </c>
      <c r="AP641" t="s">
        <v>12074</v>
      </c>
      <c r="AQ641" t="s">
        <v>74</v>
      </c>
      <c r="AR641" t="s">
        <v>12075</v>
      </c>
      <c r="AS641" t="s">
        <v>12076</v>
      </c>
      <c r="AT641" t="s">
        <v>2162</v>
      </c>
      <c r="AU641">
        <v>2017</v>
      </c>
      <c r="AV641">
        <v>183</v>
      </c>
      <c r="AW641" t="s">
        <v>74</v>
      </c>
      <c r="AX641" t="s">
        <v>74</v>
      </c>
      <c r="AY641" t="s">
        <v>74</v>
      </c>
      <c r="AZ641" t="s">
        <v>74</v>
      </c>
      <c r="BA641" t="s">
        <v>74</v>
      </c>
      <c r="BB641">
        <v>151</v>
      </c>
      <c r="BC641">
        <v>165</v>
      </c>
      <c r="BD641" t="s">
        <v>74</v>
      </c>
      <c r="BE641" t="s">
        <v>12077</v>
      </c>
      <c r="BF641" t="str">
        <f>HYPERLINK("http://dx.doi.org/10.1016/j.atmosres.2016.08.015","http://dx.doi.org/10.1016/j.atmosres.2016.08.015")</f>
        <v>http://dx.doi.org/10.1016/j.atmosres.2016.08.015</v>
      </c>
      <c r="BG641" t="s">
        <v>74</v>
      </c>
      <c r="BH641" t="s">
        <v>74</v>
      </c>
      <c r="BI641">
        <v>15</v>
      </c>
      <c r="BJ641" t="s">
        <v>747</v>
      </c>
      <c r="BK641" t="s">
        <v>101</v>
      </c>
      <c r="BL641" t="s">
        <v>747</v>
      </c>
      <c r="BM641" t="s">
        <v>12078</v>
      </c>
      <c r="BN641" t="s">
        <v>74</v>
      </c>
      <c r="BO641" t="s">
        <v>74</v>
      </c>
      <c r="BP641" t="s">
        <v>74</v>
      </c>
      <c r="BQ641" t="s">
        <v>74</v>
      </c>
      <c r="BR641" t="s">
        <v>105</v>
      </c>
      <c r="BS641" t="s">
        <v>12079</v>
      </c>
      <c r="BT641" t="str">
        <f>HYPERLINK("https%3A%2F%2Fwww.webofscience.com%2Fwos%2Fwoscc%2Ffull-record%2FWOS:000386861800013","View Full Record in Web of Science")</f>
        <v>View Full Record in Web of Science</v>
      </c>
    </row>
    <row r="642" spans="1:72" x14ac:dyDescent="0.15">
      <c r="A642" t="s">
        <v>72</v>
      </c>
      <c r="B642" t="s">
        <v>12080</v>
      </c>
      <c r="C642" t="s">
        <v>74</v>
      </c>
      <c r="D642" t="s">
        <v>74</v>
      </c>
      <c r="E642" t="s">
        <v>74</v>
      </c>
      <c r="F642" t="s">
        <v>12081</v>
      </c>
      <c r="G642" t="s">
        <v>74</v>
      </c>
      <c r="H642" t="s">
        <v>74</v>
      </c>
      <c r="I642" t="s">
        <v>12082</v>
      </c>
      <c r="J642" t="s">
        <v>12083</v>
      </c>
      <c r="K642" t="s">
        <v>74</v>
      </c>
      <c r="L642" t="s">
        <v>74</v>
      </c>
      <c r="M642" t="s">
        <v>78</v>
      </c>
      <c r="N642" t="s">
        <v>1114</v>
      </c>
      <c r="O642" t="s">
        <v>74</v>
      </c>
      <c r="P642" t="s">
        <v>74</v>
      </c>
      <c r="Q642" t="s">
        <v>74</v>
      </c>
      <c r="R642" t="s">
        <v>74</v>
      </c>
      <c r="S642" t="s">
        <v>74</v>
      </c>
      <c r="T642" t="s">
        <v>74</v>
      </c>
      <c r="U642" t="s">
        <v>74</v>
      </c>
      <c r="V642" t="s">
        <v>74</v>
      </c>
      <c r="W642" t="s">
        <v>74</v>
      </c>
      <c r="X642" t="s">
        <v>74</v>
      </c>
      <c r="Y642" t="s">
        <v>74</v>
      </c>
      <c r="Z642" t="s">
        <v>74</v>
      </c>
      <c r="AA642" t="s">
        <v>74</v>
      </c>
      <c r="AB642" t="s">
        <v>74</v>
      </c>
      <c r="AC642" t="s">
        <v>74</v>
      </c>
      <c r="AD642" t="s">
        <v>74</v>
      </c>
      <c r="AE642" t="s">
        <v>74</v>
      </c>
      <c r="AF642" t="s">
        <v>74</v>
      </c>
      <c r="AG642">
        <v>0</v>
      </c>
      <c r="AH642">
        <v>0</v>
      </c>
      <c r="AI642">
        <v>0</v>
      </c>
      <c r="AJ642">
        <v>0</v>
      </c>
      <c r="AK642">
        <v>2</v>
      </c>
      <c r="AL642" t="s">
        <v>12084</v>
      </c>
      <c r="AM642" t="s">
        <v>12085</v>
      </c>
      <c r="AN642" t="s">
        <v>12086</v>
      </c>
      <c r="AO642" t="s">
        <v>12087</v>
      </c>
      <c r="AP642" t="s">
        <v>74</v>
      </c>
      <c r="AQ642" t="s">
        <v>74</v>
      </c>
      <c r="AR642" t="s">
        <v>12088</v>
      </c>
      <c r="AS642" t="s">
        <v>12089</v>
      </c>
      <c r="AT642" t="s">
        <v>12090</v>
      </c>
      <c r="AU642">
        <v>2016</v>
      </c>
      <c r="AV642">
        <v>232</v>
      </c>
      <c r="AW642">
        <v>3104</v>
      </c>
      <c r="AX642" t="s">
        <v>74</v>
      </c>
      <c r="AY642" t="s">
        <v>74</v>
      </c>
      <c r="AZ642" t="s">
        <v>74</v>
      </c>
      <c r="BA642" t="s">
        <v>74</v>
      </c>
      <c r="BB642">
        <v>8</v>
      </c>
      <c r="BC642">
        <v>8</v>
      </c>
      <c r="BD642" t="s">
        <v>74</v>
      </c>
      <c r="BE642" t="s">
        <v>12091</v>
      </c>
      <c r="BF642" t="str">
        <f>HYPERLINK("http://dx.doi.org/10.1016/S0262-4079(16)32307-7","http://dx.doi.org/10.1016/S0262-4079(16)32307-7")</f>
        <v>http://dx.doi.org/10.1016/S0262-4079(16)32307-7</v>
      </c>
      <c r="BG642" t="s">
        <v>74</v>
      </c>
      <c r="BH642" t="s">
        <v>74</v>
      </c>
      <c r="BI642">
        <v>1</v>
      </c>
      <c r="BJ642" t="s">
        <v>100</v>
      </c>
      <c r="BK642" t="s">
        <v>101</v>
      </c>
      <c r="BL642" t="s">
        <v>102</v>
      </c>
      <c r="BM642" t="s">
        <v>12092</v>
      </c>
      <c r="BN642" t="s">
        <v>74</v>
      </c>
      <c r="BO642" t="s">
        <v>74</v>
      </c>
      <c r="BP642" t="s">
        <v>74</v>
      </c>
      <c r="BQ642" t="s">
        <v>74</v>
      </c>
      <c r="BR642" t="s">
        <v>105</v>
      </c>
      <c r="BS642" t="s">
        <v>12093</v>
      </c>
      <c r="BT642" t="str">
        <f>HYPERLINK("https%3A%2F%2Fwww.webofscience.com%2Fwos%2Fwoscc%2Ffull-record%2FWOS:000389871100006","View Full Record in Web of Science")</f>
        <v>View Full Record in Web of Science</v>
      </c>
    </row>
    <row r="643" spans="1:72" x14ac:dyDescent="0.15">
      <c r="A643" t="s">
        <v>72</v>
      </c>
      <c r="B643" t="s">
        <v>12094</v>
      </c>
      <c r="C643" t="s">
        <v>74</v>
      </c>
      <c r="D643" t="s">
        <v>74</v>
      </c>
      <c r="E643" t="s">
        <v>74</v>
      </c>
      <c r="F643" t="s">
        <v>12095</v>
      </c>
      <c r="G643" t="s">
        <v>74</v>
      </c>
      <c r="H643" t="s">
        <v>74</v>
      </c>
      <c r="I643" t="s">
        <v>12096</v>
      </c>
      <c r="J643" t="s">
        <v>12097</v>
      </c>
      <c r="K643" t="s">
        <v>74</v>
      </c>
      <c r="L643" t="s">
        <v>74</v>
      </c>
      <c r="M643" t="s">
        <v>78</v>
      </c>
      <c r="N643" t="s">
        <v>79</v>
      </c>
      <c r="O643" t="s">
        <v>74</v>
      </c>
      <c r="P643" t="s">
        <v>74</v>
      </c>
      <c r="Q643" t="s">
        <v>74</v>
      </c>
      <c r="R643" t="s">
        <v>74</v>
      </c>
      <c r="S643" t="s">
        <v>74</v>
      </c>
      <c r="T643" t="s">
        <v>12098</v>
      </c>
      <c r="U643" t="s">
        <v>12099</v>
      </c>
      <c r="V643" t="s">
        <v>12100</v>
      </c>
      <c r="W643" t="s">
        <v>12101</v>
      </c>
      <c r="X643" t="s">
        <v>12102</v>
      </c>
      <c r="Y643" t="s">
        <v>12103</v>
      </c>
      <c r="Z643" t="s">
        <v>12104</v>
      </c>
      <c r="AA643" t="s">
        <v>12105</v>
      </c>
      <c r="AB643" t="s">
        <v>12106</v>
      </c>
      <c r="AC643" t="s">
        <v>12107</v>
      </c>
      <c r="AD643" t="s">
        <v>12107</v>
      </c>
      <c r="AE643" t="s">
        <v>12108</v>
      </c>
      <c r="AF643" t="s">
        <v>74</v>
      </c>
      <c r="AG643">
        <v>55</v>
      </c>
      <c r="AH643">
        <v>6</v>
      </c>
      <c r="AI643">
        <v>6</v>
      </c>
      <c r="AJ643">
        <v>0</v>
      </c>
      <c r="AK643">
        <v>17</v>
      </c>
      <c r="AL643" t="s">
        <v>5554</v>
      </c>
      <c r="AM643" t="s">
        <v>5555</v>
      </c>
      <c r="AN643" t="s">
        <v>5556</v>
      </c>
      <c r="AO643" t="s">
        <v>12109</v>
      </c>
      <c r="AP643" t="s">
        <v>12110</v>
      </c>
      <c r="AQ643" t="s">
        <v>74</v>
      </c>
      <c r="AR643" t="s">
        <v>12111</v>
      </c>
      <c r="AS643" t="s">
        <v>12112</v>
      </c>
      <c r="AT643" t="s">
        <v>12113</v>
      </c>
      <c r="AU643">
        <v>2016</v>
      </c>
      <c r="AV643">
        <v>562</v>
      </c>
      <c r="AW643" t="s">
        <v>74</v>
      </c>
      <c r="AX643" t="s">
        <v>74</v>
      </c>
      <c r="AY643" t="s">
        <v>74</v>
      </c>
      <c r="AZ643" t="s">
        <v>74</v>
      </c>
      <c r="BA643" t="s">
        <v>74</v>
      </c>
      <c r="BB643">
        <v>181</v>
      </c>
      <c r="BC643">
        <v>192</v>
      </c>
      <c r="BD643" t="s">
        <v>74</v>
      </c>
      <c r="BE643" t="s">
        <v>12114</v>
      </c>
      <c r="BF643" t="str">
        <f>HYPERLINK("http://dx.doi.org/10.3354/meps11947","http://dx.doi.org/10.3354/meps11947")</f>
        <v>http://dx.doi.org/10.3354/meps11947</v>
      </c>
      <c r="BG643" t="s">
        <v>74</v>
      </c>
      <c r="BH643" t="s">
        <v>74</v>
      </c>
      <c r="BI643">
        <v>12</v>
      </c>
      <c r="BJ643" t="s">
        <v>12115</v>
      </c>
      <c r="BK643" t="s">
        <v>101</v>
      </c>
      <c r="BL643" t="s">
        <v>12116</v>
      </c>
      <c r="BM643" t="s">
        <v>12117</v>
      </c>
      <c r="BN643" t="s">
        <v>74</v>
      </c>
      <c r="BO643" t="s">
        <v>4355</v>
      </c>
      <c r="BP643" t="s">
        <v>74</v>
      </c>
      <c r="BQ643" t="s">
        <v>74</v>
      </c>
      <c r="BR643" t="s">
        <v>105</v>
      </c>
      <c r="BS643" t="s">
        <v>12118</v>
      </c>
      <c r="BT643" t="str">
        <f>HYPERLINK("https%3A%2F%2Fwww.webofscience.com%2Fwos%2Fwoscc%2Ffull-record%2FWOS:000394183600014","View Full Record in Web of Science")</f>
        <v>View Full Record in Web of Science</v>
      </c>
    </row>
    <row r="644" spans="1:72" x14ac:dyDescent="0.15">
      <c r="A644" t="s">
        <v>72</v>
      </c>
      <c r="B644" t="s">
        <v>12119</v>
      </c>
      <c r="C644" t="s">
        <v>74</v>
      </c>
      <c r="D644" t="s">
        <v>74</v>
      </c>
      <c r="E644" t="s">
        <v>74</v>
      </c>
      <c r="F644" t="s">
        <v>12120</v>
      </c>
      <c r="G644" t="s">
        <v>74</v>
      </c>
      <c r="H644" t="s">
        <v>74</v>
      </c>
      <c r="I644" t="s">
        <v>12121</v>
      </c>
      <c r="J644" t="s">
        <v>649</v>
      </c>
      <c r="K644" t="s">
        <v>74</v>
      </c>
      <c r="L644" t="s">
        <v>74</v>
      </c>
      <c r="M644" t="s">
        <v>78</v>
      </c>
      <c r="N644" t="s">
        <v>79</v>
      </c>
      <c r="O644" t="s">
        <v>74</v>
      </c>
      <c r="P644" t="s">
        <v>74</v>
      </c>
      <c r="Q644" t="s">
        <v>74</v>
      </c>
      <c r="R644" t="s">
        <v>74</v>
      </c>
      <c r="S644" t="s">
        <v>74</v>
      </c>
      <c r="T644" t="s">
        <v>74</v>
      </c>
      <c r="U644" t="s">
        <v>12122</v>
      </c>
      <c r="V644" t="s">
        <v>12123</v>
      </c>
      <c r="W644" t="s">
        <v>12124</v>
      </c>
      <c r="X644" t="s">
        <v>12125</v>
      </c>
      <c r="Y644" t="s">
        <v>12126</v>
      </c>
      <c r="Z644" t="s">
        <v>12127</v>
      </c>
      <c r="AA644" t="s">
        <v>12128</v>
      </c>
      <c r="AB644" t="s">
        <v>12129</v>
      </c>
      <c r="AC644" t="s">
        <v>12130</v>
      </c>
      <c r="AD644" t="s">
        <v>12131</v>
      </c>
      <c r="AE644" t="s">
        <v>12132</v>
      </c>
      <c r="AF644" t="s">
        <v>74</v>
      </c>
      <c r="AG644">
        <v>49</v>
      </c>
      <c r="AH644">
        <v>35</v>
      </c>
      <c r="AI644">
        <v>39</v>
      </c>
      <c r="AJ644">
        <v>2</v>
      </c>
      <c r="AK644">
        <v>40</v>
      </c>
      <c r="AL644" t="s">
        <v>661</v>
      </c>
      <c r="AM644" t="s">
        <v>142</v>
      </c>
      <c r="AN644" t="s">
        <v>662</v>
      </c>
      <c r="AO644" t="s">
        <v>663</v>
      </c>
      <c r="AP644" t="s">
        <v>664</v>
      </c>
      <c r="AQ644" t="s">
        <v>74</v>
      </c>
      <c r="AR644" t="s">
        <v>665</v>
      </c>
      <c r="AS644" t="s">
        <v>666</v>
      </c>
      <c r="AT644" t="s">
        <v>12133</v>
      </c>
      <c r="AU644">
        <v>2016</v>
      </c>
      <c r="AV644">
        <v>43</v>
      </c>
      <c r="AW644">
        <v>24</v>
      </c>
      <c r="AX644" t="s">
        <v>74</v>
      </c>
      <c r="AY644" t="s">
        <v>74</v>
      </c>
      <c r="AZ644" t="s">
        <v>74</v>
      </c>
      <c r="BA644" t="s">
        <v>74</v>
      </c>
      <c r="BB644">
        <v>12493</v>
      </c>
      <c r="BC644">
        <v>12501</v>
      </c>
      <c r="BD644" t="s">
        <v>74</v>
      </c>
      <c r="BE644" t="s">
        <v>12134</v>
      </c>
      <c r="BF644" t="str">
        <f>HYPERLINK("http://dx.doi.org/10.1002/2016GL071232","http://dx.doi.org/10.1002/2016GL071232")</f>
        <v>http://dx.doi.org/10.1002/2016GL071232</v>
      </c>
      <c r="BG644" t="s">
        <v>74</v>
      </c>
      <c r="BH644" t="s">
        <v>74</v>
      </c>
      <c r="BI644">
        <v>9</v>
      </c>
      <c r="BJ644" t="s">
        <v>669</v>
      </c>
      <c r="BK644" t="s">
        <v>101</v>
      </c>
      <c r="BL644" t="s">
        <v>670</v>
      </c>
      <c r="BM644" t="s">
        <v>12135</v>
      </c>
      <c r="BN644" t="s">
        <v>74</v>
      </c>
      <c r="BO644" t="s">
        <v>2028</v>
      </c>
      <c r="BP644" t="s">
        <v>74</v>
      </c>
      <c r="BQ644" t="s">
        <v>74</v>
      </c>
      <c r="BR644" t="s">
        <v>105</v>
      </c>
      <c r="BS644" t="s">
        <v>12136</v>
      </c>
      <c r="BT644" t="str">
        <f>HYPERLINK("https%3A%2F%2Fwww.webofscience.com%2Fwos%2Fwoscc%2Ffull-record%2FWOS:000392741900023","View Full Record in Web of Science")</f>
        <v>View Full Record in Web of Science</v>
      </c>
    </row>
    <row r="645" spans="1:72" x14ac:dyDescent="0.15">
      <c r="A645" t="s">
        <v>72</v>
      </c>
      <c r="B645" t="s">
        <v>12137</v>
      </c>
      <c r="C645" t="s">
        <v>74</v>
      </c>
      <c r="D645" t="s">
        <v>74</v>
      </c>
      <c r="E645" t="s">
        <v>74</v>
      </c>
      <c r="F645" t="s">
        <v>12138</v>
      </c>
      <c r="G645" t="s">
        <v>74</v>
      </c>
      <c r="H645" t="s">
        <v>74</v>
      </c>
      <c r="I645" t="s">
        <v>12139</v>
      </c>
      <c r="J645" t="s">
        <v>649</v>
      </c>
      <c r="K645" t="s">
        <v>74</v>
      </c>
      <c r="L645" t="s">
        <v>74</v>
      </c>
      <c r="M645" t="s">
        <v>78</v>
      </c>
      <c r="N645" t="s">
        <v>79</v>
      </c>
      <c r="O645" t="s">
        <v>74</v>
      </c>
      <c r="P645" t="s">
        <v>74</v>
      </c>
      <c r="Q645" t="s">
        <v>74</v>
      </c>
      <c r="R645" t="s">
        <v>74</v>
      </c>
      <c r="S645" t="s">
        <v>74</v>
      </c>
      <c r="T645" t="s">
        <v>74</v>
      </c>
      <c r="U645" t="s">
        <v>12140</v>
      </c>
      <c r="V645" t="s">
        <v>12141</v>
      </c>
      <c r="W645" t="s">
        <v>12142</v>
      </c>
      <c r="X645" t="s">
        <v>12143</v>
      </c>
      <c r="Y645" t="s">
        <v>12144</v>
      </c>
      <c r="Z645" t="s">
        <v>12145</v>
      </c>
      <c r="AA645" t="s">
        <v>74</v>
      </c>
      <c r="AB645" t="s">
        <v>74</v>
      </c>
      <c r="AC645" t="s">
        <v>12146</v>
      </c>
      <c r="AD645" t="s">
        <v>12147</v>
      </c>
      <c r="AE645" t="s">
        <v>12148</v>
      </c>
      <c r="AF645" t="s">
        <v>74</v>
      </c>
      <c r="AG645">
        <v>31</v>
      </c>
      <c r="AH645">
        <v>26</v>
      </c>
      <c r="AI645">
        <v>27</v>
      </c>
      <c r="AJ645">
        <v>1</v>
      </c>
      <c r="AK645">
        <v>16</v>
      </c>
      <c r="AL645" t="s">
        <v>661</v>
      </c>
      <c r="AM645" t="s">
        <v>142</v>
      </c>
      <c r="AN645" t="s">
        <v>662</v>
      </c>
      <c r="AO645" t="s">
        <v>663</v>
      </c>
      <c r="AP645" t="s">
        <v>664</v>
      </c>
      <c r="AQ645" t="s">
        <v>74</v>
      </c>
      <c r="AR645" t="s">
        <v>665</v>
      </c>
      <c r="AS645" t="s">
        <v>666</v>
      </c>
      <c r="AT645" t="s">
        <v>12133</v>
      </c>
      <c r="AU645">
        <v>2016</v>
      </c>
      <c r="AV645">
        <v>43</v>
      </c>
      <c r="AW645">
        <v>24</v>
      </c>
      <c r="AX645" t="s">
        <v>74</v>
      </c>
      <c r="AY645" t="s">
        <v>74</v>
      </c>
      <c r="AZ645" t="s">
        <v>74</v>
      </c>
      <c r="BA645" t="s">
        <v>74</v>
      </c>
      <c r="BB645">
        <v>12520</v>
      </c>
      <c r="BC645">
        <v>12527</v>
      </c>
      <c r="BD645" t="s">
        <v>74</v>
      </c>
      <c r="BE645" t="s">
        <v>12149</v>
      </c>
      <c r="BF645" t="str">
        <f>HYPERLINK("http://dx.doi.org/10.1002/2016GL071602","http://dx.doi.org/10.1002/2016GL071602")</f>
        <v>http://dx.doi.org/10.1002/2016GL071602</v>
      </c>
      <c r="BG645" t="s">
        <v>74</v>
      </c>
      <c r="BH645" t="s">
        <v>74</v>
      </c>
      <c r="BI645">
        <v>8</v>
      </c>
      <c r="BJ645" t="s">
        <v>669</v>
      </c>
      <c r="BK645" t="s">
        <v>101</v>
      </c>
      <c r="BL645" t="s">
        <v>670</v>
      </c>
      <c r="BM645" t="s">
        <v>12135</v>
      </c>
      <c r="BN645" t="s">
        <v>74</v>
      </c>
      <c r="BO645" t="s">
        <v>11696</v>
      </c>
      <c r="BP645" t="s">
        <v>74</v>
      </c>
      <c r="BQ645" t="s">
        <v>74</v>
      </c>
      <c r="BR645" t="s">
        <v>105</v>
      </c>
      <c r="BS645" t="s">
        <v>12150</v>
      </c>
      <c r="BT645" t="str">
        <f>HYPERLINK("https%3A%2F%2Fwww.webofscience.com%2Fwos%2Fwoscc%2Ffull-record%2FWOS:000392741900026","View Full Record in Web of Science")</f>
        <v>View Full Record in Web of Science</v>
      </c>
    </row>
    <row r="646" spans="1:72" x14ac:dyDescent="0.15">
      <c r="A646" t="s">
        <v>72</v>
      </c>
      <c r="B646" t="s">
        <v>12151</v>
      </c>
      <c r="C646" t="s">
        <v>74</v>
      </c>
      <c r="D646" t="s">
        <v>74</v>
      </c>
      <c r="E646" t="s">
        <v>74</v>
      </c>
      <c r="F646" t="s">
        <v>12152</v>
      </c>
      <c r="G646" t="s">
        <v>74</v>
      </c>
      <c r="H646" t="s">
        <v>74</v>
      </c>
      <c r="I646" t="s">
        <v>12153</v>
      </c>
      <c r="J646" t="s">
        <v>769</v>
      </c>
      <c r="K646" t="s">
        <v>74</v>
      </c>
      <c r="L646" t="s">
        <v>74</v>
      </c>
      <c r="M646" t="s">
        <v>78</v>
      </c>
      <c r="N646" t="s">
        <v>79</v>
      </c>
      <c r="O646" t="s">
        <v>74</v>
      </c>
      <c r="P646" t="s">
        <v>74</v>
      </c>
      <c r="Q646" t="s">
        <v>74</v>
      </c>
      <c r="R646" t="s">
        <v>74</v>
      </c>
      <c r="S646" t="s">
        <v>74</v>
      </c>
      <c r="T646" t="s">
        <v>74</v>
      </c>
      <c r="U646" t="s">
        <v>12154</v>
      </c>
      <c r="V646" t="s">
        <v>12155</v>
      </c>
      <c r="W646" t="s">
        <v>12156</v>
      </c>
      <c r="X646" t="s">
        <v>2805</v>
      </c>
      <c r="Y646" t="s">
        <v>12157</v>
      </c>
      <c r="Z646" t="s">
        <v>12158</v>
      </c>
      <c r="AA646" t="s">
        <v>12159</v>
      </c>
      <c r="AB646" t="s">
        <v>12160</v>
      </c>
      <c r="AC646" t="s">
        <v>12161</v>
      </c>
      <c r="AD646" t="s">
        <v>12161</v>
      </c>
      <c r="AE646" t="s">
        <v>12162</v>
      </c>
      <c r="AF646" t="s">
        <v>74</v>
      </c>
      <c r="AG646">
        <v>62</v>
      </c>
      <c r="AH646">
        <v>32</v>
      </c>
      <c r="AI646">
        <v>32</v>
      </c>
      <c r="AJ646">
        <v>0</v>
      </c>
      <c r="AK646">
        <v>49</v>
      </c>
      <c r="AL646" t="s">
        <v>781</v>
      </c>
      <c r="AM646" t="s">
        <v>782</v>
      </c>
      <c r="AN646" t="s">
        <v>783</v>
      </c>
      <c r="AO646" t="s">
        <v>784</v>
      </c>
      <c r="AP646" t="s">
        <v>74</v>
      </c>
      <c r="AQ646" t="s">
        <v>74</v>
      </c>
      <c r="AR646" t="s">
        <v>769</v>
      </c>
      <c r="AS646" t="s">
        <v>785</v>
      </c>
      <c r="AT646" t="s">
        <v>12133</v>
      </c>
      <c r="AU646">
        <v>2016</v>
      </c>
      <c r="AV646">
        <v>11</v>
      </c>
      <c r="AW646">
        <v>12</v>
      </c>
      <c r="AX646" t="s">
        <v>74</v>
      </c>
      <c r="AY646" t="s">
        <v>74</v>
      </c>
      <c r="AZ646" t="s">
        <v>74</v>
      </c>
      <c r="BA646" t="s">
        <v>74</v>
      </c>
      <c r="BB646" t="s">
        <v>74</v>
      </c>
      <c r="BC646" t="s">
        <v>74</v>
      </c>
      <c r="BD646" t="s">
        <v>12163</v>
      </c>
      <c r="BE646" t="s">
        <v>12164</v>
      </c>
      <c r="BF646" t="str">
        <f>HYPERLINK("http://dx.doi.org/10.1371/journal.pone.0168333","http://dx.doi.org/10.1371/journal.pone.0168333")</f>
        <v>http://dx.doi.org/10.1371/journal.pone.0168333</v>
      </c>
      <c r="BG646" t="s">
        <v>74</v>
      </c>
      <c r="BH646" t="s">
        <v>74</v>
      </c>
      <c r="BI646">
        <v>15</v>
      </c>
      <c r="BJ646" t="s">
        <v>100</v>
      </c>
      <c r="BK646" t="s">
        <v>101</v>
      </c>
      <c r="BL646" t="s">
        <v>102</v>
      </c>
      <c r="BM646" t="s">
        <v>12165</v>
      </c>
      <c r="BN646">
        <v>28030596</v>
      </c>
      <c r="BO646" t="s">
        <v>8542</v>
      </c>
      <c r="BP646" t="s">
        <v>74</v>
      </c>
      <c r="BQ646" t="s">
        <v>74</v>
      </c>
      <c r="BR646" t="s">
        <v>105</v>
      </c>
      <c r="BS646" t="s">
        <v>12166</v>
      </c>
      <c r="BT646" t="str">
        <f>HYPERLINK("https%3A%2F%2Fwww.webofscience.com%2Fwos%2Fwoscc%2Ffull-record%2FWOS:000391222000044","View Full Record in Web of Science")</f>
        <v>View Full Record in Web of Science</v>
      </c>
    </row>
    <row r="647" spans="1:72" x14ac:dyDescent="0.15">
      <c r="A647" t="s">
        <v>72</v>
      </c>
      <c r="B647" t="s">
        <v>12167</v>
      </c>
      <c r="C647" t="s">
        <v>74</v>
      </c>
      <c r="D647" t="s">
        <v>74</v>
      </c>
      <c r="E647" t="s">
        <v>74</v>
      </c>
      <c r="F647" t="s">
        <v>12168</v>
      </c>
      <c r="G647" t="s">
        <v>74</v>
      </c>
      <c r="H647" t="s">
        <v>74</v>
      </c>
      <c r="I647" t="s">
        <v>12169</v>
      </c>
      <c r="J647" t="s">
        <v>12170</v>
      </c>
      <c r="K647" t="s">
        <v>74</v>
      </c>
      <c r="L647" t="s">
        <v>74</v>
      </c>
      <c r="M647" t="s">
        <v>78</v>
      </c>
      <c r="N647" t="s">
        <v>79</v>
      </c>
      <c r="O647" t="s">
        <v>74</v>
      </c>
      <c r="P647" t="s">
        <v>74</v>
      </c>
      <c r="Q647" t="s">
        <v>74</v>
      </c>
      <c r="R647" t="s">
        <v>74</v>
      </c>
      <c r="S647" t="s">
        <v>74</v>
      </c>
      <c r="T647" t="s">
        <v>12171</v>
      </c>
      <c r="U647" t="s">
        <v>12172</v>
      </c>
      <c r="V647" t="s">
        <v>12173</v>
      </c>
      <c r="W647" t="s">
        <v>12174</v>
      </c>
      <c r="X647" t="s">
        <v>12175</v>
      </c>
      <c r="Y647" t="s">
        <v>12176</v>
      </c>
      <c r="Z647" t="s">
        <v>12177</v>
      </c>
      <c r="AA647" t="s">
        <v>12178</v>
      </c>
      <c r="AB647" t="s">
        <v>12179</v>
      </c>
      <c r="AC647" t="s">
        <v>12180</v>
      </c>
      <c r="AD647" t="s">
        <v>12181</v>
      </c>
      <c r="AE647" t="s">
        <v>12182</v>
      </c>
      <c r="AF647" t="s">
        <v>74</v>
      </c>
      <c r="AG647">
        <v>45</v>
      </c>
      <c r="AH647">
        <v>24</v>
      </c>
      <c r="AI647">
        <v>26</v>
      </c>
      <c r="AJ647">
        <v>0</v>
      </c>
      <c r="AK647">
        <v>42</v>
      </c>
      <c r="AL647" t="s">
        <v>168</v>
      </c>
      <c r="AM647" t="s">
        <v>169</v>
      </c>
      <c r="AN647" t="s">
        <v>170</v>
      </c>
      <c r="AO647" t="s">
        <v>12183</v>
      </c>
      <c r="AP647" t="s">
        <v>12184</v>
      </c>
      <c r="AQ647" t="s">
        <v>74</v>
      </c>
      <c r="AR647" t="s">
        <v>12185</v>
      </c>
      <c r="AS647" t="s">
        <v>12186</v>
      </c>
      <c r="AT647" t="s">
        <v>12187</v>
      </c>
      <c r="AU647">
        <v>2016</v>
      </c>
      <c r="AV647">
        <v>33</v>
      </c>
      <c r="AW647">
        <v>6</v>
      </c>
      <c r="AX647" t="s">
        <v>74</v>
      </c>
      <c r="AY647" t="s">
        <v>74</v>
      </c>
      <c r="AZ647" t="s">
        <v>74</v>
      </c>
      <c r="BA647" t="s">
        <v>74</v>
      </c>
      <c r="BB647">
        <v>807</v>
      </c>
      <c r="BC647">
        <v>814</v>
      </c>
      <c r="BD647" t="s">
        <v>74</v>
      </c>
      <c r="BE647" t="s">
        <v>12188</v>
      </c>
      <c r="BF647" t="str">
        <f>HYPERLINK("http://dx.doi.org/10.1016/j.nbt.2016.07.016","http://dx.doi.org/10.1016/j.nbt.2016.07.016")</f>
        <v>http://dx.doi.org/10.1016/j.nbt.2016.07.016</v>
      </c>
      <c r="BG647" t="s">
        <v>74</v>
      </c>
      <c r="BH647" t="s">
        <v>74</v>
      </c>
      <c r="BI647">
        <v>8</v>
      </c>
      <c r="BJ647" t="s">
        <v>12189</v>
      </c>
      <c r="BK647" t="s">
        <v>101</v>
      </c>
      <c r="BL647" t="s">
        <v>12190</v>
      </c>
      <c r="BM647" t="s">
        <v>12191</v>
      </c>
      <c r="BN647">
        <v>27474110</v>
      </c>
      <c r="BO647" t="s">
        <v>506</v>
      </c>
      <c r="BP647" t="s">
        <v>74</v>
      </c>
      <c r="BQ647" t="s">
        <v>74</v>
      </c>
      <c r="BR647" t="s">
        <v>105</v>
      </c>
      <c r="BS647" t="s">
        <v>12192</v>
      </c>
      <c r="BT647" t="str">
        <f>HYPERLINK("https%3A%2F%2Fwww.webofscience.com%2Fwos%2Fwoscc%2Ffull-record%2FWOS:000386782600007","View Full Record in Web of Science")</f>
        <v>View Full Record in Web of Science</v>
      </c>
    </row>
    <row r="648" spans="1:72" x14ac:dyDescent="0.15">
      <c r="A648" t="s">
        <v>72</v>
      </c>
      <c r="B648" t="s">
        <v>12193</v>
      </c>
      <c r="C648" t="s">
        <v>74</v>
      </c>
      <c r="D648" t="s">
        <v>74</v>
      </c>
      <c r="E648" t="s">
        <v>74</v>
      </c>
      <c r="F648" t="s">
        <v>12194</v>
      </c>
      <c r="G648" t="s">
        <v>74</v>
      </c>
      <c r="H648" t="s">
        <v>74</v>
      </c>
      <c r="I648" t="s">
        <v>12195</v>
      </c>
      <c r="J648" t="s">
        <v>1044</v>
      </c>
      <c r="K648" t="s">
        <v>74</v>
      </c>
      <c r="L648" t="s">
        <v>74</v>
      </c>
      <c r="M648" t="s">
        <v>78</v>
      </c>
      <c r="N648" t="s">
        <v>79</v>
      </c>
      <c r="O648" t="s">
        <v>74</v>
      </c>
      <c r="P648" t="s">
        <v>74</v>
      </c>
      <c r="Q648" t="s">
        <v>74</v>
      </c>
      <c r="R648" t="s">
        <v>74</v>
      </c>
      <c r="S648" t="s">
        <v>74</v>
      </c>
      <c r="T648" t="s">
        <v>74</v>
      </c>
      <c r="U648" t="s">
        <v>12196</v>
      </c>
      <c r="V648" t="s">
        <v>12197</v>
      </c>
      <c r="W648" t="s">
        <v>12198</v>
      </c>
      <c r="X648" t="s">
        <v>12199</v>
      </c>
      <c r="Y648" t="s">
        <v>12200</v>
      </c>
      <c r="Z648" t="s">
        <v>12201</v>
      </c>
      <c r="AA648" t="s">
        <v>12202</v>
      </c>
      <c r="AB648" t="s">
        <v>12203</v>
      </c>
      <c r="AC648" t="s">
        <v>12204</v>
      </c>
      <c r="AD648" t="s">
        <v>12205</v>
      </c>
      <c r="AE648" t="s">
        <v>12206</v>
      </c>
      <c r="AF648" t="s">
        <v>74</v>
      </c>
      <c r="AG648">
        <v>158</v>
      </c>
      <c r="AH648">
        <v>32</v>
      </c>
      <c r="AI648">
        <v>33</v>
      </c>
      <c r="AJ648">
        <v>0</v>
      </c>
      <c r="AK648">
        <v>54</v>
      </c>
      <c r="AL648" t="s">
        <v>608</v>
      </c>
      <c r="AM648" t="s">
        <v>609</v>
      </c>
      <c r="AN648" t="s">
        <v>610</v>
      </c>
      <c r="AO648" t="s">
        <v>1056</v>
      </c>
      <c r="AP648" t="s">
        <v>1057</v>
      </c>
      <c r="AQ648" t="s">
        <v>74</v>
      </c>
      <c r="AR648" t="s">
        <v>1058</v>
      </c>
      <c r="AS648" t="s">
        <v>1059</v>
      </c>
      <c r="AT648" t="s">
        <v>12207</v>
      </c>
      <c r="AU648">
        <v>2016</v>
      </c>
      <c r="AV648">
        <v>12</v>
      </c>
      <c r="AW648">
        <v>12</v>
      </c>
      <c r="AX648" t="s">
        <v>74</v>
      </c>
      <c r="AY648" t="s">
        <v>74</v>
      </c>
      <c r="AZ648" t="s">
        <v>74</v>
      </c>
      <c r="BA648" t="s">
        <v>74</v>
      </c>
      <c r="BB648">
        <v>2271</v>
      </c>
      <c r="BC648">
        <v>2295</v>
      </c>
      <c r="BD648" t="s">
        <v>74</v>
      </c>
      <c r="BE648" t="s">
        <v>12208</v>
      </c>
      <c r="BF648" t="str">
        <f>HYPERLINK("http://dx.doi.org/10.5194/cp-12-2271-2016","http://dx.doi.org/10.5194/cp-12-2271-2016")</f>
        <v>http://dx.doi.org/10.5194/cp-12-2271-2016</v>
      </c>
      <c r="BG648" t="s">
        <v>74</v>
      </c>
      <c r="BH648" t="s">
        <v>74</v>
      </c>
      <c r="BI648">
        <v>25</v>
      </c>
      <c r="BJ648" t="s">
        <v>938</v>
      </c>
      <c r="BK648" t="s">
        <v>101</v>
      </c>
      <c r="BL648" t="s">
        <v>939</v>
      </c>
      <c r="BM648" t="s">
        <v>12209</v>
      </c>
      <c r="BN648" t="s">
        <v>74</v>
      </c>
      <c r="BO648" t="s">
        <v>7707</v>
      </c>
      <c r="BP648" t="s">
        <v>74</v>
      </c>
      <c r="BQ648" t="s">
        <v>74</v>
      </c>
      <c r="BR648" t="s">
        <v>105</v>
      </c>
      <c r="BS648" t="s">
        <v>12210</v>
      </c>
      <c r="BT648" t="str">
        <f>HYPERLINK("https%3A%2F%2Fwww.webofscience.com%2Fwos%2Fwoscc%2Ffull-record%2FWOS:000391282700001","View Full Record in Web of Science")</f>
        <v>View Full Record in Web of Science</v>
      </c>
    </row>
    <row r="649" spans="1:72" x14ac:dyDescent="0.15">
      <c r="A649" t="s">
        <v>72</v>
      </c>
      <c r="B649" t="s">
        <v>12211</v>
      </c>
      <c r="C649" t="s">
        <v>74</v>
      </c>
      <c r="D649" t="s">
        <v>74</v>
      </c>
      <c r="E649" t="s">
        <v>74</v>
      </c>
      <c r="F649" t="s">
        <v>12212</v>
      </c>
      <c r="G649" t="s">
        <v>74</v>
      </c>
      <c r="H649" t="s">
        <v>74</v>
      </c>
      <c r="I649" t="s">
        <v>12213</v>
      </c>
      <c r="J649" t="s">
        <v>1044</v>
      </c>
      <c r="K649" t="s">
        <v>74</v>
      </c>
      <c r="L649" t="s">
        <v>74</v>
      </c>
      <c r="M649" t="s">
        <v>78</v>
      </c>
      <c r="N649" t="s">
        <v>79</v>
      </c>
      <c r="O649" t="s">
        <v>74</v>
      </c>
      <c r="P649" t="s">
        <v>74</v>
      </c>
      <c r="Q649" t="s">
        <v>74</v>
      </c>
      <c r="R649" t="s">
        <v>74</v>
      </c>
      <c r="S649" t="s">
        <v>74</v>
      </c>
      <c r="T649" t="s">
        <v>74</v>
      </c>
      <c r="U649" t="s">
        <v>12214</v>
      </c>
      <c r="V649" t="s">
        <v>12215</v>
      </c>
      <c r="W649" t="s">
        <v>12216</v>
      </c>
      <c r="X649" t="s">
        <v>12217</v>
      </c>
      <c r="Y649" t="s">
        <v>12218</v>
      </c>
      <c r="Z649" t="s">
        <v>12219</v>
      </c>
      <c r="AA649" t="s">
        <v>12220</v>
      </c>
      <c r="AB649" t="s">
        <v>12221</v>
      </c>
      <c r="AC649" t="s">
        <v>12222</v>
      </c>
      <c r="AD649" t="s">
        <v>12223</v>
      </c>
      <c r="AE649" t="s">
        <v>12224</v>
      </c>
      <c r="AF649" t="s">
        <v>74</v>
      </c>
      <c r="AG649">
        <v>46</v>
      </c>
      <c r="AH649">
        <v>18</v>
      </c>
      <c r="AI649">
        <v>21</v>
      </c>
      <c r="AJ649">
        <v>0</v>
      </c>
      <c r="AK649">
        <v>16</v>
      </c>
      <c r="AL649" t="s">
        <v>608</v>
      </c>
      <c r="AM649" t="s">
        <v>609</v>
      </c>
      <c r="AN649" t="s">
        <v>610</v>
      </c>
      <c r="AO649" t="s">
        <v>1056</v>
      </c>
      <c r="AP649" t="s">
        <v>1057</v>
      </c>
      <c r="AQ649" t="s">
        <v>74</v>
      </c>
      <c r="AR649" t="s">
        <v>1058</v>
      </c>
      <c r="AS649" t="s">
        <v>1059</v>
      </c>
      <c r="AT649" t="s">
        <v>12225</v>
      </c>
      <c r="AU649">
        <v>2016</v>
      </c>
      <c r="AV649">
        <v>12</v>
      </c>
      <c r="AW649">
        <v>12</v>
      </c>
      <c r="AX649" t="s">
        <v>74</v>
      </c>
      <c r="AY649" t="s">
        <v>74</v>
      </c>
      <c r="AZ649" t="s">
        <v>74</v>
      </c>
      <c r="BA649" t="s">
        <v>74</v>
      </c>
      <c r="BB649">
        <v>2255</v>
      </c>
      <c r="BC649">
        <v>2270</v>
      </c>
      <c r="BD649" t="s">
        <v>74</v>
      </c>
      <c r="BE649" t="s">
        <v>12226</v>
      </c>
      <c r="BF649" t="str">
        <f>HYPERLINK("http://dx.doi.org/10.5194/cp-12-2255-2016","http://dx.doi.org/10.5194/cp-12-2255-2016")</f>
        <v>http://dx.doi.org/10.5194/cp-12-2255-2016</v>
      </c>
      <c r="BG649" t="s">
        <v>74</v>
      </c>
      <c r="BH649" t="s">
        <v>74</v>
      </c>
      <c r="BI649">
        <v>16</v>
      </c>
      <c r="BJ649" t="s">
        <v>938</v>
      </c>
      <c r="BK649" t="s">
        <v>101</v>
      </c>
      <c r="BL649" t="s">
        <v>939</v>
      </c>
      <c r="BM649" t="s">
        <v>12227</v>
      </c>
      <c r="BN649" t="s">
        <v>74</v>
      </c>
      <c r="BO649" t="s">
        <v>725</v>
      </c>
      <c r="BP649" t="s">
        <v>74</v>
      </c>
      <c r="BQ649" t="s">
        <v>74</v>
      </c>
      <c r="BR649" t="s">
        <v>105</v>
      </c>
      <c r="BS649" t="s">
        <v>12228</v>
      </c>
      <c r="BT649" t="str">
        <f>HYPERLINK("https%3A%2F%2Fwww.webofscience.com%2Fwos%2Fwoscc%2Ffull-record%2FWOS:000391282500001","View Full Record in Web of Science")</f>
        <v>View Full Record in Web of Science</v>
      </c>
    </row>
    <row r="650" spans="1:72" x14ac:dyDescent="0.15">
      <c r="A650" t="s">
        <v>72</v>
      </c>
      <c r="B650" t="s">
        <v>12229</v>
      </c>
      <c r="C650" t="s">
        <v>74</v>
      </c>
      <c r="D650" t="s">
        <v>74</v>
      </c>
      <c r="E650" t="s">
        <v>74</v>
      </c>
      <c r="F650" t="s">
        <v>12230</v>
      </c>
      <c r="G650" t="s">
        <v>74</v>
      </c>
      <c r="H650" t="s">
        <v>74</v>
      </c>
      <c r="I650" t="s">
        <v>12231</v>
      </c>
      <c r="J650" t="s">
        <v>12232</v>
      </c>
      <c r="K650" t="s">
        <v>74</v>
      </c>
      <c r="L650" t="s">
        <v>74</v>
      </c>
      <c r="M650" t="s">
        <v>78</v>
      </c>
      <c r="N650" t="s">
        <v>79</v>
      </c>
      <c r="O650" t="s">
        <v>74</v>
      </c>
      <c r="P650" t="s">
        <v>74</v>
      </c>
      <c r="Q650" t="s">
        <v>74</v>
      </c>
      <c r="R650" t="s">
        <v>74</v>
      </c>
      <c r="S650" t="s">
        <v>74</v>
      </c>
      <c r="T650" t="s">
        <v>74</v>
      </c>
      <c r="U650" t="s">
        <v>12233</v>
      </c>
      <c r="V650" t="s">
        <v>12234</v>
      </c>
      <c r="W650" t="s">
        <v>12235</v>
      </c>
      <c r="X650" t="s">
        <v>12236</v>
      </c>
      <c r="Y650" t="s">
        <v>12237</v>
      </c>
      <c r="Z650" t="s">
        <v>12238</v>
      </c>
      <c r="AA650" t="s">
        <v>12239</v>
      </c>
      <c r="AB650" t="s">
        <v>12240</v>
      </c>
      <c r="AC650" t="s">
        <v>12241</v>
      </c>
      <c r="AD650" t="s">
        <v>12242</v>
      </c>
      <c r="AE650" t="s">
        <v>12243</v>
      </c>
      <c r="AF650" t="s">
        <v>74</v>
      </c>
      <c r="AG650">
        <v>132</v>
      </c>
      <c r="AH650">
        <v>150</v>
      </c>
      <c r="AI650">
        <v>162</v>
      </c>
      <c r="AJ650">
        <v>2</v>
      </c>
      <c r="AK650">
        <v>38</v>
      </c>
      <c r="AL650" t="s">
        <v>608</v>
      </c>
      <c r="AM650" t="s">
        <v>609</v>
      </c>
      <c r="AN650" t="s">
        <v>610</v>
      </c>
      <c r="AO650" t="s">
        <v>12244</v>
      </c>
      <c r="AP650" t="s">
        <v>12245</v>
      </c>
      <c r="AQ650" t="s">
        <v>74</v>
      </c>
      <c r="AR650" t="s">
        <v>12246</v>
      </c>
      <c r="AS650" t="s">
        <v>12247</v>
      </c>
      <c r="AT650" t="s">
        <v>12225</v>
      </c>
      <c r="AU650">
        <v>2016</v>
      </c>
      <c r="AV650">
        <v>9</v>
      </c>
      <c r="AW650">
        <v>12</v>
      </c>
      <c r="AX650" t="s">
        <v>74</v>
      </c>
      <c r="AY650" t="s">
        <v>74</v>
      </c>
      <c r="AZ650" t="s">
        <v>74</v>
      </c>
      <c r="BA650" t="s">
        <v>74</v>
      </c>
      <c r="BB650">
        <v>4521</v>
      </c>
      <c r="BC650">
        <v>4545</v>
      </c>
      <c r="BD650" t="s">
        <v>74</v>
      </c>
      <c r="BE650" t="s">
        <v>12248</v>
      </c>
      <c r="BF650" t="str">
        <f>HYPERLINK("http://dx.doi.org/10.5194/gmd-9-4521-2016","http://dx.doi.org/10.5194/gmd-9-4521-2016")</f>
        <v>http://dx.doi.org/10.5194/gmd-9-4521-2016</v>
      </c>
      <c r="BG650" t="s">
        <v>74</v>
      </c>
      <c r="BH650" t="s">
        <v>74</v>
      </c>
      <c r="BI650">
        <v>25</v>
      </c>
      <c r="BJ650" t="s">
        <v>669</v>
      </c>
      <c r="BK650" t="s">
        <v>101</v>
      </c>
      <c r="BL650" t="s">
        <v>670</v>
      </c>
      <c r="BM650" t="s">
        <v>12249</v>
      </c>
      <c r="BN650">
        <v>29697697</v>
      </c>
      <c r="BO650" t="s">
        <v>12250</v>
      </c>
      <c r="BP650" t="s">
        <v>74</v>
      </c>
      <c r="BQ650" t="s">
        <v>74</v>
      </c>
      <c r="BR650" t="s">
        <v>105</v>
      </c>
      <c r="BS650" t="s">
        <v>12251</v>
      </c>
      <c r="BT650" t="str">
        <f>HYPERLINK("https%3A%2F%2Fwww.webofscience.com%2Fwos%2Fwoscc%2Ffull-record%2FWOS:000391579600002","View Full Record in Web of Science")</f>
        <v>View Full Record in Web of Science</v>
      </c>
    </row>
    <row r="651" spans="1:72" x14ac:dyDescent="0.15">
      <c r="A651" t="s">
        <v>72</v>
      </c>
      <c r="B651" t="s">
        <v>12252</v>
      </c>
      <c r="C651" t="s">
        <v>74</v>
      </c>
      <c r="D651" t="s">
        <v>74</v>
      </c>
      <c r="E651" t="s">
        <v>74</v>
      </c>
      <c r="F651" t="s">
        <v>12253</v>
      </c>
      <c r="G651" t="s">
        <v>74</v>
      </c>
      <c r="H651" t="s">
        <v>74</v>
      </c>
      <c r="I651" t="s">
        <v>12254</v>
      </c>
      <c r="J651" t="s">
        <v>769</v>
      </c>
      <c r="K651" t="s">
        <v>74</v>
      </c>
      <c r="L651" t="s">
        <v>74</v>
      </c>
      <c r="M651" t="s">
        <v>78</v>
      </c>
      <c r="N651" t="s">
        <v>79</v>
      </c>
      <c r="O651" t="s">
        <v>74</v>
      </c>
      <c r="P651" t="s">
        <v>74</v>
      </c>
      <c r="Q651" t="s">
        <v>74</v>
      </c>
      <c r="R651" t="s">
        <v>74</v>
      </c>
      <c r="S651" t="s">
        <v>74</v>
      </c>
      <c r="T651" t="s">
        <v>74</v>
      </c>
      <c r="U651" t="s">
        <v>12255</v>
      </c>
      <c r="V651" t="s">
        <v>12256</v>
      </c>
      <c r="W651" t="s">
        <v>12257</v>
      </c>
      <c r="X651" t="s">
        <v>12258</v>
      </c>
      <c r="Y651" t="s">
        <v>12259</v>
      </c>
      <c r="Z651" t="s">
        <v>12260</v>
      </c>
      <c r="AA651" t="s">
        <v>12261</v>
      </c>
      <c r="AB651" t="s">
        <v>12262</v>
      </c>
      <c r="AC651" t="s">
        <v>12263</v>
      </c>
      <c r="AD651" t="s">
        <v>12264</v>
      </c>
      <c r="AE651" t="s">
        <v>12265</v>
      </c>
      <c r="AF651" t="s">
        <v>74</v>
      </c>
      <c r="AG651">
        <v>46</v>
      </c>
      <c r="AH651">
        <v>42</v>
      </c>
      <c r="AI651">
        <v>44</v>
      </c>
      <c r="AJ651">
        <v>0</v>
      </c>
      <c r="AK651">
        <v>16</v>
      </c>
      <c r="AL651" t="s">
        <v>781</v>
      </c>
      <c r="AM651" t="s">
        <v>782</v>
      </c>
      <c r="AN651" t="s">
        <v>783</v>
      </c>
      <c r="AO651" t="s">
        <v>784</v>
      </c>
      <c r="AP651" t="s">
        <v>74</v>
      </c>
      <c r="AQ651" t="s">
        <v>74</v>
      </c>
      <c r="AR651" t="s">
        <v>769</v>
      </c>
      <c r="AS651" t="s">
        <v>785</v>
      </c>
      <c r="AT651" t="s">
        <v>12225</v>
      </c>
      <c r="AU651">
        <v>2016</v>
      </c>
      <c r="AV651">
        <v>11</v>
      </c>
      <c r="AW651">
        <v>12</v>
      </c>
      <c r="AX651" t="s">
        <v>74</v>
      </c>
      <c r="AY651" t="s">
        <v>74</v>
      </c>
      <c r="AZ651" t="s">
        <v>74</v>
      </c>
      <c r="BA651" t="s">
        <v>74</v>
      </c>
      <c r="BB651" t="s">
        <v>74</v>
      </c>
      <c r="BC651" t="s">
        <v>74</v>
      </c>
      <c r="BD651" t="s">
        <v>12266</v>
      </c>
      <c r="BE651" t="s">
        <v>12267</v>
      </c>
      <c r="BF651" t="str">
        <f>HYPERLINK("http://dx.doi.org/10.1371/journal.pone.0167128","http://dx.doi.org/10.1371/journal.pone.0167128")</f>
        <v>http://dx.doi.org/10.1371/journal.pone.0167128</v>
      </c>
      <c r="BG651" t="s">
        <v>74</v>
      </c>
      <c r="BH651" t="s">
        <v>74</v>
      </c>
      <c r="BI651">
        <v>18</v>
      </c>
      <c r="BJ651" t="s">
        <v>100</v>
      </c>
      <c r="BK651" t="s">
        <v>101</v>
      </c>
      <c r="BL651" t="s">
        <v>102</v>
      </c>
      <c r="BM651" t="s">
        <v>12268</v>
      </c>
      <c r="BN651">
        <v>28002453</v>
      </c>
      <c r="BO651" t="s">
        <v>10531</v>
      </c>
      <c r="BP651" t="s">
        <v>74</v>
      </c>
      <c r="BQ651" t="s">
        <v>74</v>
      </c>
      <c r="BR651" t="s">
        <v>105</v>
      </c>
      <c r="BS651" t="s">
        <v>12269</v>
      </c>
      <c r="BT651" t="str">
        <f>HYPERLINK("https%3A%2F%2Fwww.webofscience.com%2Fwos%2Fwoscc%2Ffull-record%2FWOS:000392853100007","View Full Record in Web of Science")</f>
        <v>View Full Record in Web of Science</v>
      </c>
    </row>
    <row r="652" spans="1:72" x14ac:dyDescent="0.15">
      <c r="A652" t="s">
        <v>72</v>
      </c>
      <c r="B652" t="s">
        <v>12270</v>
      </c>
      <c r="C652" t="s">
        <v>74</v>
      </c>
      <c r="D652" t="s">
        <v>74</v>
      </c>
      <c r="E652" t="s">
        <v>74</v>
      </c>
      <c r="F652" t="s">
        <v>12271</v>
      </c>
      <c r="G652" t="s">
        <v>74</v>
      </c>
      <c r="H652" t="s">
        <v>74</v>
      </c>
      <c r="I652" t="s">
        <v>12272</v>
      </c>
      <c r="J652" t="s">
        <v>964</v>
      </c>
      <c r="K652" t="s">
        <v>74</v>
      </c>
      <c r="L652" t="s">
        <v>74</v>
      </c>
      <c r="M652" t="s">
        <v>78</v>
      </c>
      <c r="N652" t="s">
        <v>79</v>
      </c>
      <c r="O652" t="s">
        <v>74</v>
      </c>
      <c r="P652" t="s">
        <v>74</v>
      </c>
      <c r="Q652" t="s">
        <v>74</v>
      </c>
      <c r="R652" t="s">
        <v>74</v>
      </c>
      <c r="S652" t="s">
        <v>74</v>
      </c>
      <c r="T652" t="s">
        <v>74</v>
      </c>
      <c r="U652" t="s">
        <v>12273</v>
      </c>
      <c r="V652" t="s">
        <v>12274</v>
      </c>
      <c r="W652" t="s">
        <v>12275</v>
      </c>
      <c r="X652" t="s">
        <v>12276</v>
      </c>
      <c r="Y652" t="s">
        <v>12277</v>
      </c>
      <c r="Z652" t="s">
        <v>12278</v>
      </c>
      <c r="AA652" t="s">
        <v>12279</v>
      </c>
      <c r="AB652" t="s">
        <v>12280</v>
      </c>
      <c r="AC652" t="s">
        <v>12281</v>
      </c>
      <c r="AD652" t="s">
        <v>12281</v>
      </c>
      <c r="AE652" t="s">
        <v>12282</v>
      </c>
      <c r="AF652" t="s">
        <v>74</v>
      </c>
      <c r="AG652">
        <v>31</v>
      </c>
      <c r="AH652">
        <v>7</v>
      </c>
      <c r="AI652">
        <v>7</v>
      </c>
      <c r="AJ652">
        <v>0</v>
      </c>
      <c r="AK652">
        <v>34</v>
      </c>
      <c r="AL652" t="s">
        <v>608</v>
      </c>
      <c r="AM652" t="s">
        <v>609</v>
      </c>
      <c r="AN652" t="s">
        <v>610</v>
      </c>
      <c r="AO652" t="s">
        <v>975</v>
      </c>
      <c r="AP652" t="s">
        <v>976</v>
      </c>
      <c r="AQ652" t="s">
        <v>74</v>
      </c>
      <c r="AR652" t="s">
        <v>977</v>
      </c>
      <c r="AS652" t="s">
        <v>978</v>
      </c>
      <c r="AT652" t="s">
        <v>12283</v>
      </c>
      <c r="AU652">
        <v>2016</v>
      </c>
      <c r="AV652">
        <v>16</v>
      </c>
      <c r="AW652">
        <v>24</v>
      </c>
      <c r="AX652" t="s">
        <v>74</v>
      </c>
      <c r="AY652" t="s">
        <v>74</v>
      </c>
      <c r="AZ652" t="s">
        <v>74</v>
      </c>
      <c r="BA652" t="s">
        <v>74</v>
      </c>
      <c r="BB652">
        <v>15619</v>
      </c>
      <c r="BC652">
        <v>15627</v>
      </c>
      <c r="BD652" t="s">
        <v>74</v>
      </c>
      <c r="BE652" t="s">
        <v>12284</v>
      </c>
      <c r="BF652" t="str">
        <f>HYPERLINK("http://dx.doi.org/10.5194/acp-16-15619-2016","http://dx.doi.org/10.5194/acp-16-15619-2016")</f>
        <v>http://dx.doi.org/10.5194/acp-16-15619-2016</v>
      </c>
      <c r="BG652" t="s">
        <v>74</v>
      </c>
      <c r="BH652" t="s">
        <v>74</v>
      </c>
      <c r="BI652">
        <v>9</v>
      </c>
      <c r="BJ652" t="s">
        <v>981</v>
      </c>
      <c r="BK652" t="s">
        <v>101</v>
      </c>
      <c r="BL652" t="s">
        <v>982</v>
      </c>
      <c r="BM652" t="s">
        <v>12285</v>
      </c>
      <c r="BN652" t="s">
        <v>74</v>
      </c>
      <c r="BO652" t="s">
        <v>150</v>
      </c>
      <c r="BP652" t="s">
        <v>74</v>
      </c>
      <c r="BQ652" t="s">
        <v>74</v>
      </c>
      <c r="BR652" t="s">
        <v>105</v>
      </c>
      <c r="BS652" t="s">
        <v>12286</v>
      </c>
      <c r="BT652" t="str">
        <f>HYPERLINK("https%3A%2F%2Fwww.webofscience.com%2Fwos%2Fwoscc%2Ffull-record%2FWOS:000391555300001","View Full Record in Web of Science")</f>
        <v>View Full Record in Web of Science</v>
      </c>
    </row>
    <row r="653" spans="1:72" x14ac:dyDescent="0.15">
      <c r="A653" t="s">
        <v>72</v>
      </c>
      <c r="B653" t="s">
        <v>12287</v>
      </c>
      <c r="C653" t="s">
        <v>74</v>
      </c>
      <c r="D653" t="s">
        <v>74</v>
      </c>
      <c r="E653" t="s">
        <v>74</v>
      </c>
      <c r="F653" t="s">
        <v>12288</v>
      </c>
      <c r="G653" t="s">
        <v>74</v>
      </c>
      <c r="H653" t="s">
        <v>74</v>
      </c>
      <c r="I653" t="s">
        <v>12289</v>
      </c>
      <c r="J653" t="s">
        <v>1783</v>
      </c>
      <c r="K653" t="s">
        <v>74</v>
      </c>
      <c r="L653" t="s">
        <v>74</v>
      </c>
      <c r="M653" t="s">
        <v>78</v>
      </c>
      <c r="N653" t="s">
        <v>79</v>
      </c>
      <c r="O653" t="s">
        <v>74</v>
      </c>
      <c r="P653" t="s">
        <v>74</v>
      </c>
      <c r="Q653" t="s">
        <v>74</v>
      </c>
      <c r="R653" t="s">
        <v>74</v>
      </c>
      <c r="S653" t="s">
        <v>74</v>
      </c>
      <c r="T653" t="s">
        <v>12290</v>
      </c>
      <c r="U653" t="s">
        <v>12291</v>
      </c>
      <c r="V653" t="s">
        <v>12292</v>
      </c>
      <c r="W653" t="s">
        <v>12293</v>
      </c>
      <c r="X653" t="s">
        <v>12294</v>
      </c>
      <c r="Y653" t="s">
        <v>12295</v>
      </c>
      <c r="Z653" t="s">
        <v>12296</v>
      </c>
      <c r="AA653" t="s">
        <v>74</v>
      </c>
      <c r="AB653" t="s">
        <v>74</v>
      </c>
      <c r="AC653" t="s">
        <v>74</v>
      </c>
      <c r="AD653" t="s">
        <v>74</v>
      </c>
      <c r="AE653" t="s">
        <v>74</v>
      </c>
      <c r="AF653" t="s">
        <v>74</v>
      </c>
      <c r="AG653">
        <v>44</v>
      </c>
      <c r="AH653">
        <v>10</v>
      </c>
      <c r="AI653">
        <v>10</v>
      </c>
      <c r="AJ653">
        <v>1</v>
      </c>
      <c r="AK653">
        <v>52</v>
      </c>
      <c r="AL653" t="s">
        <v>1796</v>
      </c>
      <c r="AM653" t="s">
        <v>142</v>
      </c>
      <c r="AN653" t="s">
        <v>1797</v>
      </c>
      <c r="AO653" t="s">
        <v>1798</v>
      </c>
      <c r="AP653" t="s">
        <v>74</v>
      </c>
      <c r="AQ653" t="s">
        <v>74</v>
      </c>
      <c r="AR653" t="s">
        <v>1799</v>
      </c>
      <c r="AS653" t="s">
        <v>1800</v>
      </c>
      <c r="AT653" t="s">
        <v>12283</v>
      </c>
      <c r="AU653">
        <v>2016</v>
      </c>
      <c r="AV653">
        <v>113</v>
      </c>
      <c r="AW653">
        <v>51</v>
      </c>
      <c r="AX653" t="s">
        <v>74</v>
      </c>
      <c r="AY653" t="s">
        <v>74</v>
      </c>
      <c r="AZ653" t="s">
        <v>74</v>
      </c>
      <c r="BA653" t="s">
        <v>74</v>
      </c>
      <c r="BB653">
        <v>14523</v>
      </c>
      <c r="BC653">
        <v>14527</v>
      </c>
      <c r="BD653" t="s">
        <v>74</v>
      </c>
      <c r="BE653" t="s">
        <v>12297</v>
      </c>
      <c r="BF653" t="str">
        <f>HYPERLINK("http://dx.doi.org/10.1073/pnas.1604988113","http://dx.doi.org/10.1073/pnas.1604988113")</f>
        <v>http://dx.doi.org/10.1073/pnas.1604988113</v>
      </c>
      <c r="BG653" t="s">
        <v>74</v>
      </c>
      <c r="BH653" t="s">
        <v>74</v>
      </c>
      <c r="BI653">
        <v>5</v>
      </c>
      <c r="BJ653" t="s">
        <v>100</v>
      </c>
      <c r="BK653" t="s">
        <v>245</v>
      </c>
      <c r="BL653" t="s">
        <v>102</v>
      </c>
      <c r="BM653" t="s">
        <v>12298</v>
      </c>
      <c r="BN653">
        <v>27799524</v>
      </c>
      <c r="BO653" t="s">
        <v>11696</v>
      </c>
      <c r="BP653" t="s">
        <v>74</v>
      </c>
      <c r="BQ653" t="s">
        <v>74</v>
      </c>
      <c r="BR653" t="s">
        <v>105</v>
      </c>
      <c r="BS653" t="s">
        <v>12299</v>
      </c>
      <c r="BT653" t="str">
        <f>HYPERLINK("https%3A%2F%2Fwww.webofscience.com%2Fwos%2Fwoscc%2Ffull-record%2FWOS:000390044900029","View Full Record in Web of Science")</f>
        <v>View Full Record in Web of Science</v>
      </c>
    </row>
    <row r="654" spans="1:72" x14ac:dyDescent="0.15">
      <c r="A654" t="s">
        <v>72</v>
      </c>
      <c r="B654" t="s">
        <v>12300</v>
      </c>
      <c r="C654" t="s">
        <v>74</v>
      </c>
      <c r="D654" t="s">
        <v>74</v>
      </c>
      <c r="E654" t="s">
        <v>74</v>
      </c>
      <c r="F654" t="s">
        <v>12301</v>
      </c>
      <c r="G654" t="s">
        <v>74</v>
      </c>
      <c r="H654" t="s">
        <v>12302</v>
      </c>
      <c r="I654" t="s">
        <v>12303</v>
      </c>
      <c r="J654" t="s">
        <v>12304</v>
      </c>
      <c r="K654" t="s">
        <v>74</v>
      </c>
      <c r="L654" t="s">
        <v>74</v>
      </c>
      <c r="M654" t="s">
        <v>78</v>
      </c>
      <c r="N654" t="s">
        <v>79</v>
      </c>
      <c r="O654" t="s">
        <v>74</v>
      </c>
      <c r="P654" t="s">
        <v>74</v>
      </c>
      <c r="Q654" t="s">
        <v>74</v>
      </c>
      <c r="R654" t="s">
        <v>74</v>
      </c>
      <c r="S654" t="s">
        <v>74</v>
      </c>
      <c r="T654" t="s">
        <v>12305</v>
      </c>
      <c r="U654" t="s">
        <v>12306</v>
      </c>
      <c r="V654" t="s">
        <v>12307</v>
      </c>
      <c r="W654" t="s">
        <v>12308</v>
      </c>
      <c r="X654" t="s">
        <v>12309</v>
      </c>
      <c r="Y654" t="s">
        <v>12310</v>
      </c>
      <c r="Z654" t="s">
        <v>12311</v>
      </c>
      <c r="AA654" t="s">
        <v>12312</v>
      </c>
      <c r="AB654" t="s">
        <v>12313</v>
      </c>
      <c r="AC654" t="s">
        <v>12314</v>
      </c>
      <c r="AD654" t="s">
        <v>12315</v>
      </c>
      <c r="AE654" t="s">
        <v>12316</v>
      </c>
      <c r="AF654" t="s">
        <v>74</v>
      </c>
      <c r="AG654">
        <v>75</v>
      </c>
      <c r="AH654">
        <v>60</v>
      </c>
      <c r="AI654">
        <v>78</v>
      </c>
      <c r="AJ654">
        <v>1</v>
      </c>
      <c r="AK654">
        <v>7</v>
      </c>
      <c r="AL654" t="s">
        <v>4304</v>
      </c>
      <c r="AM654" t="s">
        <v>4305</v>
      </c>
      <c r="AN654" t="s">
        <v>9739</v>
      </c>
      <c r="AO654" t="s">
        <v>12317</v>
      </c>
      <c r="AP654" t="s">
        <v>12318</v>
      </c>
      <c r="AQ654" t="s">
        <v>74</v>
      </c>
      <c r="AR654" t="s">
        <v>12319</v>
      </c>
      <c r="AS654" t="s">
        <v>12320</v>
      </c>
      <c r="AT654" t="s">
        <v>12283</v>
      </c>
      <c r="AU654">
        <v>2016</v>
      </c>
      <c r="AV654">
        <v>833</v>
      </c>
      <c r="AW654">
        <v>2</v>
      </c>
      <c r="AX654" t="s">
        <v>74</v>
      </c>
      <c r="AY654" t="s">
        <v>74</v>
      </c>
      <c r="AZ654" t="s">
        <v>74</v>
      </c>
      <c r="BA654" t="s">
        <v>74</v>
      </c>
      <c r="BB654" t="s">
        <v>74</v>
      </c>
      <c r="BC654" t="s">
        <v>74</v>
      </c>
      <c r="BD654">
        <v>228</v>
      </c>
      <c r="BE654" t="s">
        <v>12321</v>
      </c>
      <c r="BF654" t="str">
        <f>HYPERLINK("http://dx.doi.org/10.3847/1538-4357/833/2/228","http://dx.doi.org/10.3847/1538-4357/833/2/228")</f>
        <v>http://dx.doi.org/10.3847/1538-4357/833/2/228</v>
      </c>
      <c r="BG654" t="s">
        <v>74</v>
      </c>
      <c r="BH654" t="s">
        <v>74</v>
      </c>
      <c r="BI654">
        <v>12</v>
      </c>
      <c r="BJ654" t="s">
        <v>2635</v>
      </c>
      <c r="BK654" t="s">
        <v>101</v>
      </c>
      <c r="BL654" t="s">
        <v>2635</v>
      </c>
      <c r="BM654" t="s">
        <v>12322</v>
      </c>
      <c r="BN654" t="s">
        <v>74</v>
      </c>
      <c r="BO654" t="s">
        <v>12323</v>
      </c>
      <c r="BP654" t="s">
        <v>74</v>
      </c>
      <c r="BQ654" t="s">
        <v>74</v>
      </c>
      <c r="BR654" t="s">
        <v>105</v>
      </c>
      <c r="BS654" t="s">
        <v>12324</v>
      </c>
      <c r="BT654" t="str">
        <f>HYPERLINK("https%3A%2F%2Fwww.webofscience.com%2Fwos%2Fwoscc%2Ffull-record%2FWOS:000391169600103","View Full Record in Web of Science")</f>
        <v>View Full Record in Web of Science</v>
      </c>
    </row>
    <row r="655" spans="1:72" x14ac:dyDescent="0.15">
      <c r="A655" t="s">
        <v>72</v>
      </c>
      <c r="B655" t="s">
        <v>12325</v>
      </c>
      <c r="C655" t="s">
        <v>74</v>
      </c>
      <c r="D655" t="s">
        <v>74</v>
      </c>
      <c r="E655" t="s">
        <v>74</v>
      </c>
      <c r="F655" t="s">
        <v>12326</v>
      </c>
      <c r="G655" t="s">
        <v>74</v>
      </c>
      <c r="H655" t="s">
        <v>74</v>
      </c>
      <c r="I655" t="s">
        <v>12327</v>
      </c>
      <c r="J655" t="s">
        <v>12328</v>
      </c>
      <c r="K655" t="s">
        <v>74</v>
      </c>
      <c r="L655" t="s">
        <v>74</v>
      </c>
      <c r="M655" t="s">
        <v>78</v>
      </c>
      <c r="N655" t="s">
        <v>79</v>
      </c>
      <c r="O655" t="s">
        <v>74</v>
      </c>
      <c r="P655" t="s">
        <v>74</v>
      </c>
      <c r="Q655" t="s">
        <v>74</v>
      </c>
      <c r="R655" t="s">
        <v>74</v>
      </c>
      <c r="S655" t="s">
        <v>74</v>
      </c>
      <c r="T655" t="s">
        <v>12329</v>
      </c>
      <c r="U655" t="s">
        <v>12330</v>
      </c>
      <c r="V655" t="s">
        <v>12331</v>
      </c>
      <c r="W655" t="s">
        <v>12332</v>
      </c>
      <c r="X655" t="s">
        <v>12333</v>
      </c>
      <c r="Y655" t="s">
        <v>12334</v>
      </c>
      <c r="Z655" t="s">
        <v>12335</v>
      </c>
      <c r="AA655" t="s">
        <v>74</v>
      </c>
      <c r="AB655" t="s">
        <v>74</v>
      </c>
      <c r="AC655" t="s">
        <v>74</v>
      </c>
      <c r="AD655" t="s">
        <v>74</v>
      </c>
      <c r="AE655" t="s">
        <v>74</v>
      </c>
      <c r="AF655" t="s">
        <v>74</v>
      </c>
      <c r="AG655">
        <v>90</v>
      </c>
      <c r="AH655">
        <v>6</v>
      </c>
      <c r="AI655">
        <v>6</v>
      </c>
      <c r="AJ655">
        <v>1</v>
      </c>
      <c r="AK655">
        <v>2</v>
      </c>
      <c r="AL655" t="s">
        <v>12336</v>
      </c>
      <c r="AM655" t="s">
        <v>4377</v>
      </c>
      <c r="AN655" t="s">
        <v>12337</v>
      </c>
      <c r="AO655" t="s">
        <v>12338</v>
      </c>
      <c r="AP655" t="s">
        <v>74</v>
      </c>
      <c r="AQ655" t="s">
        <v>74</v>
      </c>
      <c r="AR655" t="s">
        <v>12339</v>
      </c>
      <c r="AS655" t="s">
        <v>12340</v>
      </c>
      <c r="AT655" t="s">
        <v>12283</v>
      </c>
      <c r="AU655">
        <v>2016</v>
      </c>
      <c r="AV655">
        <v>252</v>
      </c>
      <c r="AW655" t="s">
        <v>74</v>
      </c>
      <c r="AX655" t="s">
        <v>74</v>
      </c>
      <c r="AY655" t="s">
        <v>74</v>
      </c>
      <c r="AZ655" t="s">
        <v>74</v>
      </c>
      <c r="BA655" t="s">
        <v>74</v>
      </c>
      <c r="BB655">
        <v>1</v>
      </c>
      <c r="BC655">
        <v>30</v>
      </c>
      <c r="BD655" t="s">
        <v>74</v>
      </c>
      <c r="BE655" t="s">
        <v>12341</v>
      </c>
      <c r="BF655" t="str">
        <f>HYPERLINK("http://dx.doi.org/10.5852/ejt.2016.252","http://dx.doi.org/10.5852/ejt.2016.252")</f>
        <v>http://dx.doi.org/10.5852/ejt.2016.252</v>
      </c>
      <c r="BG655" t="s">
        <v>74</v>
      </c>
      <c r="BH655" t="s">
        <v>74</v>
      </c>
      <c r="BI655">
        <v>30</v>
      </c>
      <c r="BJ655" t="s">
        <v>12342</v>
      </c>
      <c r="BK655" t="s">
        <v>101</v>
      </c>
      <c r="BL655" t="s">
        <v>12342</v>
      </c>
      <c r="BM655" t="s">
        <v>12343</v>
      </c>
      <c r="BN655" t="s">
        <v>74</v>
      </c>
      <c r="BO655" t="s">
        <v>892</v>
      </c>
      <c r="BP655" t="s">
        <v>74</v>
      </c>
      <c r="BQ655" t="s">
        <v>74</v>
      </c>
      <c r="BR655" t="s">
        <v>105</v>
      </c>
      <c r="BS655" t="s">
        <v>12344</v>
      </c>
      <c r="BT655" t="str">
        <f>HYPERLINK("https%3A%2F%2Fwww.webofscience.com%2Fwos%2Fwoscc%2Ffull-record%2FWOS:000396004200001","View Full Record in Web of Science")</f>
        <v>View Full Record in Web of Science</v>
      </c>
    </row>
    <row r="656" spans="1:72" x14ac:dyDescent="0.15">
      <c r="A656" t="s">
        <v>72</v>
      </c>
      <c r="B656" t="s">
        <v>12345</v>
      </c>
      <c r="C656" t="s">
        <v>74</v>
      </c>
      <c r="D656" t="s">
        <v>74</v>
      </c>
      <c r="E656" t="s">
        <v>74</v>
      </c>
      <c r="F656" t="s">
        <v>12346</v>
      </c>
      <c r="G656" t="s">
        <v>74</v>
      </c>
      <c r="H656" t="s">
        <v>74</v>
      </c>
      <c r="I656" t="s">
        <v>12347</v>
      </c>
      <c r="J656" t="s">
        <v>12348</v>
      </c>
      <c r="K656" t="s">
        <v>74</v>
      </c>
      <c r="L656" t="s">
        <v>74</v>
      </c>
      <c r="M656" t="s">
        <v>78</v>
      </c>
      <c r="N656" t="s">
        <v>79</v>
      </c>
      <c r="O656" t="s">
        <v>74</v>
      </c>
      <c r="P656" t="s">
        <v>74</v>
      </c>
      <c r="Q656" t="s">
        <v>74</v>
      </c>
      <c r="R656" t="s">
        <v>74</v>
      </c>
      <c r="S656" t="s">
        <v>74</v>
      </c>
      <c r="T656" t="s">
        <v>12349</v>
      </c>
      <c r="U656" t="s">
        <v>12350</v>
      </c>
      <c r="V656" t="s">
        <v>12351</v>
      </c>
      <c r="W656" t="s">
        <v>12352</v>
      </c>
      <c r="X656" t="s">
        <v>12353</v>
      </c>
      <c r="Y656" t="s">
        <v>12354</v>
      </c>
      <c r="Z656" t="s">
        <v>12355</v>
      </c>
      <c r="AA656" t="s">
        <v>12356</v>
      </c>
      <c r="AB656" t="s">
        <v>12357</v>
      </c>
      <c r="AC656" t="s">
        <v>12358</v>
      </c>
      <c r="AD656" t="s">
        <v>12359</v>
      </c>
      <c r="AE656" t="s">
        <v>12360</v>
      </c>
      <c r="AF656" t="s">
        <v>74</v>
      </c>
      <c r="AG656">
        <v>90</v>
      </c>
      <c r="AH656">
        <v>16</v>
      </c>
      <c r="AI656">
        <v>17</v>
      </c>
      <c r="AJ656">
        <v>0</v>
      </c>
      <c r="AK656">
        <v>39</v>
      </c>
      <c r="AL656" t="s">
        <v>1731</v>
      </c>
      <c r="AM656" t="s">
        <v>1732</v>
      </c>
      <c r="AN656" t="s">
        <v>1733</v>
      </c>
      <c r="AO656" t="s">
        <v>74</v>
      </c>
      <c r="AP656" t="s">
        <v>12361</v>
      </c>
      <c r="AQ656" t="s">
        <v>74</v>
      </c>
      <c r="AR656" t="s">
        <v>12362</v>
      </c>
      <c r="AS656" t="s">
        <v>12363</v>
      </c>
      <c r="AT656" t="s">
        <v>12364</v>
      </c>
      <c r="AU656">
        <v>2016</v>
      </c>
      <c r="AV656">
        <v>7</v>
      </c>
      <c r="AW656" t="s">
        <v>74</v>
      </c>
      <c r="AX656" t="s">
        <v>74</v>
      </c>
      <c r="AY656" t="s">
        <v>74</v>
      </c>
      <c r="AZ656" t="s">
        <v>74</v>
      </c>
      <c r="BA656" t="s">
        <v>74</v>
      </c>
      <c r="BB656" t="s">
        <v>74</v>
      </c>
      <c r="BC656" t="s">
        <v>74</v>
      </c>
      <c r="BD656">
        <v>2026</v>
      </c>
      <c r="BE656" t="s">
        <v>12365</v>
      </c>
      <c r="BF656" t="str">
        <f>HYPERLINK("http://dx.doi.org/10.3389/fmicb.2016.02026","http://dx.doi.org/10.3389/fmicb.2016.02026")</f>
        <v>http://dx.doi.org/10.3389/fmicb.2016.02026</v>
      </c>
      <c r="BG656" t="s">
        <v>74</v>
      </c>
      <c r="BH656" t="s">
        <v>74</v>
      </c>
      <c r="BI656">
        <v>17</v>
      </c>
      <c r="BJ656" t="s">
        <v>2026</v>
      </c>
      <c r="BK656" t="s">
        <v>101</v>
      </c>
      <c r="BL656" t="s">
        <v>2026</v>
      </c>
      <c r="BM656" t="s">
        <v>12366</v>
      </c>
      <c r="BN656">
        <v>28066352</v>
      </c>
      <c r="BO656" t="s">
        <v>591</v>
      </c>
      <c r="BP656" t="s">
        <v>74</v>
      </c>
      <c r="BQ656" t="s">
        <v>74</v>
      </c>
      <c r="BR656" t="s">
        <v>105</v>
      </c>
      <c r="BS656" t="s">
        <v>12367</v>
      </c>
      <c r="BT656" t="str">
        <f>HYPERLINK("https%3A%2F%2Fwww.webofscience.com%2Fwos%2Fwoscc%2Ffull-record%2FWOS:000389952900001","View Full Record in Web of Science")</f>
        <v>View Full Record in Web of Science</v>
      </c>
    </row>
    <row r="657" spans="1:72" x14ac:dyDescent="0.15">
      <c r="A657" t="s">
        <v>72</v>
      </c>
      <c r="B657" t="s">
        <v>12368</v>
      </c>
      <c r="C657" t="s">
        <v>74</v>
      </c>
      <c r="D657" t="s">
        <v>74</v>
      </c>
      <c r="E657" t="s">
        <v>74</v>
      </c>
      <c r="F657" t="s">
        <v>12369</v>
      </c>
      <c r="G657" t="s">
        <v>74</v>
      </c>
      <c r="H657" t="s">
        <v>74</v>
      </c>
      <c r="I657" t="s">
        <v>12370</v>
      </c>
      <c r="J657" t="s">
        <v>964</v>
      </c>
      <c r="K657" t="s">
        <v>74</v>
      </c>
      <c r="L657" t="s">
        <v>74</v>
      </c>
      <c r="M657" t="s">
        <v>78</v>
      </c>
      <c r="N657" t="s">
        <v>79</v>
      </c>
      <c r="O657" t="s">
        <v>74</v>
      </c>
      <c r="P657" t="s">
        <v>74</v>
      </c>
      <c r="Q657" t="s">
        <v>74</v>
      </c>
      <c r="R657" t="s">
        <v>74</v>
      </c>
      <c r="S657" t="s">
        <v>74</v>
      </c>
      <c r="T657" t="s">
        <v>74</v>
      </c>
      <c r="U657" t="s">
        <v>12371</v>
      </c>
      <c r="V657" t="s">
        <v>12372</v>
      </c>
      <c r="W657" t="s">
        <v>12373</v>
      </c>
      <c r="X657" t="s">
        <v>12374</v>
      </c>
      <c r="Y657" t="s">
        <v>12375</v>
      </c>
      <c r="Z657" t="s">
        <v>12376</v>
      </c>
      <c r="AA657" t="s">
        <v>12377</v>
      </c>
      <c r="AB657" t="s">
        <v>12378</v>
      </c>
      <c r="AC657" t="s">
        <v>12379</v>
      </c>
      <c r="AD657" t="s">
        <v>12380</v>
      </c>
      <c r="AE657" t="s">
        <v>12381</v>
      </c>
      <c r="AF657" t="s">
        <v>74</v>
      </c>
      <c r="AG657">
        <v>33</v>
      </c>
      <c r="AH657">
        <v>28</v>
      </c>
      <c r="AI657">
        <v>29</v>
      </c>
      <c r="AJ657">
        <v>1</v>
      </c>
      <c r="AK657">
        <v>18</v>
      </c>
      <c r="AL657" t="s">
        <v>608</v>
      </c>
      <c r="AM657" t="s">
        <v>609</v>
      </c>
      <c r="AN657" t="s">
        <v>610</v>
      </c>
      <c r="AO657" t="s">
        <v>975</v>
      </c>
      <c r="AP657" t="s">
        <v>976</v>
      </c>
      <c r="AQ657" t="s">
        <v>74</v>
      </c>
      <c r="AR657" t="s">
        <v>977</v>
      </c>
      <c r="AS657" t="s">
        <v>978</v>
      </c>
      <c r="AT657" t="s">
        <v>12364</v>
      </c>
      <c r="AU657">
        <v>2016</v>
      </c>
      <c r="AV657">
        <v>16</v>
      </c>
      <c r="AW657">
        <v>24</v>
      </c>
      <c r="AX657" t="s">
        <v>74</v>
      </c>
      <c r="AY657" t="s">
        <v>74</v>
      </c>
      <c r="AZ657" t="s">
        <v>74</v>
      </c>
      <c r="BA657" t="s">
        <v>74</v>
      </c>
      <c r="BB657">
        <v>15605</v>
      </c>
      <c r="BC657">
        <v>15617</v>
      </c>
      <c r="BD657" t="s">
        <v>74</v>
      </c>
      <c r="BE657" t="s">
        <v>12382</v>
      </c>
      <c r="BF657" t="str">
        <f>HYPERLINK("http://dx.doi.org/10.5194/acp-16-15605-2016","http://dx.doi.org/10.5194/acp-16-15605-2016")</f>
        <v>http://dx.doi.org/10.5194/acp-16-15605-2016</v>
      </c>
      <c r="BG657" t="s">
        <v>74</v>
      </c>
      <c r="BH657" t="s">
        <v>74</v>
      </c>
      <c r="BI657">
        <v>13</v>
      </c>
      <c r="BJ657" t="s">
        <v>981</v>
      </c>
      <c r="BK657" t="s">
        <v>101</v>
      </c>
      <c r="BL657" t="s">
        <v>982</v>
      </c>
      <c r="BM657" t="s">
        <v>12383</v>
      </c>
      <c r="BN657" t="s">
        <v>74</v>
      </c>
      <c r="BO657" t="s">
        <v>1298</v>
      </c>
      <c r="BP657" t="s">
        <v>74</v>
      </c>
      <c r="BQ657" t="s">
        <v>74</v>
      </c>
      <c r="BR657" t="s">
        <v>105</v>
      </c>
      <c r="BS657" t="s">
        <v>12384</v>
      </c>
      <c r="BT657" t="str">
        <f>HYPERLINK("https%3A%2F%2Fwww.webofscience.com%2Fwos%2Fwoscc%2Ffull-record%2FWOS:000391457300001","View Full Record in Web of Science")</f>
        <v>View Full Record in Web of Science</v>
      </c>
    </row>
    <row r="658" spans="1:72" x14ac:dyDescent="0.15">
      <c r="A658" t="s">
        <v>72</v>
      </c>
      <c r="B658" t="s">
        <v>12385</v>
      </c>
      <c r="C658" t="s">
        <v>74</v>
      </c>
      <c r="D658" t="s">
        <v>74</v>
      </c>
      <c r="E658" t="s">
        <v>74</v>
      </c>
      <c r="F658" t="s">
        <v>12386</v>
      </c>
      <c r="G658" t="s">
        <v>74</v>
      </c>
      <c r="H658" t="s">
        <v>74</v>
      </c>
      <c r="I658" t="s">
        <v>12387</v>
      </c>
      <c r="J658" t="s">
        <v>1044</v>
      </c>
      <c r="K658" t="s">
        <v>74</v>
      </c>
      <c r="L658" t="s">
        <v>74</v>
      </c>
      <c r="M658" t="s">
        <v>78</v>
      </c>
      <c r="N658" t="s">
        <v>79</v>
      </c>
      <c r="O658" t="s">
        <v>74</v>
      </c>
      <c r="P658" t="s">
        <v>74</v>
      </c>
      <c r="Q658" t="s">
        <v>74</v>
      </c>
      <c r="R658" t="s">
        <v>74</v>
      </c>
      <c r="S658" t="s">
        <v>74</v>
      </c>
      <c r="T658" t="s">
        <v>74</v>
      </c>
      <c r="U658" t="s">
        <v>12388</v>
      </c>
      <c r="V658" t="s">
        <v>12389</v>
      </c>
      <c r="W658" t="s">
        <v>12390</v>
      </c>
      <c r="X658" t="s">
        <v>12391</v>
      </c>
      <c r="Y658" t="s">
        <v>12392</v>
      </c>
      <c r="Z658" t="s">
        <v>12393</v>
      </c>
      <c r="AA658" t="s">
        <v>12394</v>
      </c>
      <c r="AB658" t="s">
        <v>12395</v>
      </c>
      <c r="AC658" t="s">
        <v>12396</v>
      </c>
      <c r="AD658" t="s">
        <v>12397</v>
      </c>
      <c r="AE658" t="s">
        <v>12398</v>
      </c>
      <c r="AF658" t="s">
        <v>74</v>
      </c>
      <c r="AG658">
        <v>34</v>
      </c>
      <c r="AH658">
        <v>36</v>
      </c>
      <c r="AI658">
        <v>38</v>
      </c>
      <c r="AJ658">
        <v>0</v>
      </c>
      <c r="AK658">
        <v>6</v>
      </c>
      <c r="AL658" t="s">
        <v>608</v>
      </c>
      <c r="AM658" t="s">
        <v>609</v>
      </c>
      <c r="AN658" t="s">
        <v>610</v>
      </c>
      <c r="AO658" t="s">
        <v>1056</v>
      </c>
      <c r="AP658" t="s">
        <v>1057</v>
      </c>
      <c r="AQ658" t="s">
        <v>74</v>
      </c>
      <c r="AR658" t="s">
        <v>1058</v>
      </c>
      <c r="AS658" t="s">
        <v>1059</v>
      </c>
      <c r="AT658" t="s">
        <v>12364</v>
      </c>
      <c r="AU658">
        <v>2016</v>
      </c>
      <c r="AV658">
        <v>12</v>
      </c>
      <c r="AW658">
        <v>12</v>
      </c>
      <c r="AX658" t="s">
        <v>74</v>
      </c>
      <c r="AY658" t="s">
        <v>74</v>
      </c>
      <c r="AZ658" t="s">
        <v>74</v>
      </c>
      <c r="BA658" t="s">
        <v>74</v>
      </c>
      <c r="BB658">
        <v>2241</v>
      </c>
      <c r="BC658">
        <v>2253</v>
      </c>
      <c r="BD658" t="s">
        <v>74</v>
      </c>
      <c r="BE658" t="s">
        <v>12399</v>
      </c>
      <c r="BF658" t="str">
        <f>HYPERLINK("http://dx.doi.org/10.5194/cp-12-2241-2016","http://dx.doi.org/10.5194/cp-12-2241-2016")</f>
        <v>http://dx.doi.org/10.5194/cp-12-2241-2016</v>
      </c>
      <c r="BG658" t="s">
        <v>74</v>
      </c>
      <c r="BH658" t="s">
        <v>74</v>
      </c>
      <c r="BI658">
        <v>13</v>
      </c>
      <c r="BJ658" t="s">
        <v>938</v>
      </c>
      <c r="BK658" t="s">
        <v>101</v>
      </c>
      <c r="BL658" t="s">
        <v>939</v>
      </c>
      <c r="BM658" t="s">
        <v>12400</v>
      </c>
      <c r="BN658" t="s">
        <v>74</v>
      </c>
      <c r="BO658" t="s">
        <v>6663</v>
      </c>
      <c r="BP658" t="s">
        <v>74</v>
      </c>
      <c r="BQ658" t="s">
        <v>74</v>
      </c>
      <c r="BR658" t="s">
        <v>105</v>
      </c>
      <c r="BS658" t="s">
        <v>12401</v>
      </c>
      <c r="BT658" t="str">
        <f>HYPERLINK("https%3A%2F%2Fwww.webofscience.com%2Fwos%2Fwoscc%2Ffull-record%2FWOS:000391282400002","View Full Record in Web of Science")</f>
        <v>View Full Record in Web of Science</v>
      </c>
    </row>
    <row r="659" spans="1:72" x14ac:dyDescent="0.15">
      <c r="A659" t="s">
        <v>72</v>
      </c>
      <c r="B659" t="s">
        <v>12402</v>
      </c>
      <c r="C659" t="s">
        <v>74</v>
      </c>
      <c r="D659" t="s">
        <v>74</v>
      </c>
      <c r="E659" t="s">
        <v>74</v>
      </c>
      <c r="F659" t="s">
        <v>12403</v>
      </c>
      <c r="G659" t="s">
        <v>74</v>
      </c>
      <c r="H659" t="s">
        <v>74</v>
      </c>
      <c r="I659" t="s">
        <v>12404</v>
      </c>
      <c r="J659" t="s">
        <v>730</v>
      </c>
      <c r="K659" t="s">
        <v>74</v>
      </c>
      <c r="L659" t="s">
        <v>74</v>
      </c>
      <c r="M659" t="s">
        <v>78</v>
      </c>
      <c r="N659" t="s">
        <v>79</v>
      </c>
      <c r="O659" t="s">
        <v>74</v>
      </c>
      <c r="P659" t="s">
        <v>74</v>
      </c>
      <c r="Q659" t="s">
        <v>74</v>
      </c>
      <c r="R659" t="s">
        <v>74</v>
      </c>
      <c r="S659" t="s">
        <v>74</v>
      </c>
      <c r="T659" t="s">
        <v>74</v>
      </c>
      <c r="U659" t="s">
        <v>12405</v>
      </c>
      <c r="V659" t="s">
        <v>12406</v>
      </c>
      <c r="W659" t="s">
        <v>12407</v>
      </c>
      <c r="X659" t="s">
        <v>12408</v>
      </c>
      <c r="Y659" t="s">
        <v>12409</v>
      </c>
      <c r="Z659" t="s">
        <v>12410</v>
      </c>
      <c r="AA659" t="s">
        <v>12411</v>
      </c>
      <c r="AB659" t="s">
        <v>12412</v>
      </c>
      <c r="AC659" t="s">
        <v>12413</v>
      </c>
      <c r="AD659" t="s">
        <v>12414</v>
      </c>
      <c r="AE659" t="s">
        <v>12415</v>
      </c>
      <c r="AF659" t="s">
        <v>74</v>
      </c>
      <c r="AG659">
        <v>78</v>
      </c>
      <c r="AH659">
        <v>13</v>
      </c>
      <c r="AI659">
        <v>14</v>
      </c>
      <c r="AJ659">
        <v>1</v>
      </c>
      <c r="AK659">
        <v>16</v>
      </c>
      <c r="AL659" t="s">
        <v>661</v>
      </c>
      <c r="AM659" t="s">
        <v>142</v>
      </c>
      <c r="AN659" t="s">
        <v>662</v>
      </c>
      <c r="AO659" t="s">
        <v>742</v>
      </c>
      <c r="AP659" t="s">
        <v>743</v>
      </c>
      <c r="AQ659" t="s">
        <v>74</v>
      </c>
      <c r="AR659" t="s">
        <v>744</v>
      </c>
      <c r="AS659" t="s">
        <v>745</v>
      </c>
      <c r="AT659" t="s">
        <v>12416</v>
      </c>
      <c r="AU659">
        <v>2016</v>
      </c>
      <c r="AV659">
        <v>121</v>
      </c>
      <c r="AW659">
        <v>23</v>
      </c>
      <c r="AX659" t="s">
        <v>74</v>
      </c>
      <c r="AY659" t="s">
        <v>74</v>
      </c>
      <c r="AZ659" t="s">
        <v>74</v>
      </c>
      <c r="BA659" t="s">
        <v>74</v>
      </c>
      <c r="BB659">
        <v>13886</v>
      </c>
      <c r="BC659">
        <v>13900</v>
      </c>
      <c r="BD659" t="s">
        <v>74</v>
      </c>
      <c r="BE659" t="s">
        <v>12417</v>
      </c>
      <c r="BF659" t="str">
        <f>HYPERLINK("http://dx.doi.org/10.1002/2016JD025626","http://dx.doi.org/10.1002/2016JD025626")</f>
        <v>http://dx.doi.org/10.1002/2016JD025626</v>
      </c>
      <c r="BG659" t="s">
        <v>74</v>
      </c>
      <c r="BH659" t="s">
        <v>74</v>
      </c>
      <c r="BI659">
        <v>15</v>
      </c>
      <c r="BJ659" t="s">
        <v>747</v>
      </c>
      <c r="BK659" t="s">
        <v>101</v>
      </c>
      <c r="BL659" t="s">
        <v>747</v>
      </c>
      <c r="BM659" t="s">
        <v>12418</v>
      </c>
      <c r="BN659" t="s">
        <v>74</v>
      </c>
      <c r="BO659" t="s">
        <v>672</v>
      </c>
      <c r="BP659" t="s">
        <v>74</v>
      </c>
      <c r="BQ659" t="s">
        <v>74</v>
      </c>
      <c r="BR659" t="s">
        <v>105</v>
      </c>
      <c r="BS659" t="s">
        <v>12419</v>
      </c>
      <c r="BT659" t="str">
        <f>HYPERLINK("https%3A%2F%2Fwww.webofscience.com%2Fwos%2Fwoscc%2Ffull-record%2FWOS:000394520300004","View Full Record in Web of Science")</f>
        <v>View Full Record in Web of Science</v>
      </c>
    </row>
    <row r="660" spans="1:72" x14ac:dyDescent="0.15">
      <c r="A660" t="s">
        <v>72</v>
      </c>
      <c r="B660" t="s">
        <v>12420</v>
      </c>
      <c r="C660" t="s">
        <v>74</v>
      </c>
      <c r="D660" t="s">
        <v>74</v>
      </c>
      <c r="E660" t="s">
        <v>74</v>
      </c>
      <c r="F660" t="s">
        <v>12421</v>
      </c>
      <c r="G660" t="s">
        <v>74</v>
      </c>
      <c r="H660" t="s">
        <v>74</v>
      </c>
      <c r="I660" t="s">
        <v>12422</v>
      </c>
      <c r="J660" t="s">
        <v>649</v>
      </c>
      <c r="K660" t="s">
        <v>74</v>
      </c>
      <c r="L660" t="s">
        <v>74</v>
      </c>
      <c r="M660" t="s">
        <v>78</v>
      </c>
      <c r="N660" t="s">
        <v>79</v>
      </c>
      <c r="O660" t="s">
        <v>74</v>
      </c>
      <c r="P660" t="s">
        <v>74</v>
      </c>
      <c r="Q660" t="s">
        <v>74</v>
      </c>
      <c r="R660" t="s">
        <v>74</v>
      </c>
      <c r="S660" t="s">
        <v>74</v>
      </c>
      <c r="T660" t="s">
        <v>12423</v>
      </c>
      <c r="U660" t="s">
        <v>12424</v>
      </c>
      <c r="V660" t="s">
        <v>12425</v>
      </c>
      <c r="W660" t="s">
        <v>12426</v>
      </c>
      <c r="X660" t="s">
        <v>12427</v>
      </c>
      <c r="Y660" t="s">
        <v>12428</v>
      </c>
      <c r="Z660" t="s">
        <v>12429</v>
      </c>
      <c r="AA660" t="s">
        <v>12430</v>
      </c>
      <c r="AB660" t="s">
        <v>12431</v>
      </c>
      <c r="AC660" t="s">
        <v>74</v>
      </c>
      <c r="AD660" t="s">
        <v>74</v>
      </c>
      <c r="AE660" t="s">
        <v>74</v>
      </c>
      <c r="AF660" t="s">
        <v>74</v>
      </c>
      <c r="AG660">
        <v>38</v>
      </c>
      <c r="AH660">
        <v>15</v>
      </c>
      <c r="AI660">
        <v>15</v>
      </c>
      <c r="AJ660">
        <v>0</v>
      </c>
      <c r="AK660">
        <v>12</v>
      </c>
      <c r="AL660" t="s">
        <v>661</v>
      </c>
      <c r="AM660" t="s">
        <v>142</v>
      </c>
      <c r="AN660" t="s">
        <v>662</v>
      </c>
      <c r="AO660" t="s">
        <v>663</v>
      </c>
      <c r="AP660" t="s">
        <v>664</v>
      </c>
      <c r="AQ660" t="s">
        <v>74</v>
      </c>
      <c r="AR660" t="s">
        <v>665</v>
      </c>
      <c r="AS660" t="s">
        <v>666</v>
      </c>
      <c r="AT660" t="s">
        <v>12416</v>
      </c>
      <c r="AU660">
        <v>2016</v>
      </c>
      <c r="AV660">
        <v>43</v>
      </c>
      <c r="AW660">
        <v>23</v>
      </c>
      <c r="AX660" t="s">
        <v>74</v>
      </c>
      <c r="AY660" t="s">
        <v>74</v>
      </c>
      <c r="AZ660" t="s">
        <v>74</v>
      </c>
      <c r="BA660" t="s">
        <v>74</v>
      </c>
      <c r="BB660">
        <v>12082</v>
      </c>
      <c r="BC660">
        <v>12090</v>
      </c>
      <c r="BD660" t="s">
        <v>74</v>
      </c>
      <c r="BE660" t="s">
        <v>12432</v>
      </c>
      <c r="BF660" t="str">
        <f>HYPERLINK("http://dx.doi.org/10.1002/2016GL071201","http://dx.doi.org/10.1002/2016GL071201")</f>
        <v>http://dx.doi.org/10.1002/2016GL071201</v>
      </c>
      <c r="BG660" t="s">
        <v>74</v>
      </c>
      <c r="BH660" t="s">
        <v>74</v>
      </c>
      <c r="BI660">
        <v>9</v>
      </c>
      <c r="BJ660" t="s">
        <v>669</v>
      </c>
      <c r="BK660" t="s">
        <v>101</v>
      </c>
      <c r="BL660" t="s">
        <v>670</v>
      </c>
      <c r="BM660" t="s">
        <v>12433</v>
      </c>
      <c r="BN660" t="s">
        <v>74</v>
      </c>
      <c r="BO660" t="s">
        <v>506</v>
      </c>
      <c r="BP660" t="s">
        <v>74</v>
      </c>
      <c r="BQ660" t="s">
        <v>74</v>
      </c>
      <c r="BR660" t="s">
        <v>105</v>
      </c>
      <c r="BS660" t="s">
        <v>12434</v>
      </c>
      <c r="BT660" t="str">
        <f>HYPERLINK("https%3A%2F%2Fwww.webofscience.com%2Fwos%2Fwoscc%2Ffull-record%2FWOS:000392515000038","View Full Record in Web of Science")</f>
        <v>View Full Record in Web of Science</v>
      </c>
    </row>
    <row r="661" spans="1:72" x14ac:dyDescent="0.15">
      <c r="A661" t="s">
        <v>72</v>
      </c>
      <c r="B661" t="s">
        <v>12435</v>
      </c>
      <c r="C661" t="s">
        <v>74</v>
      </c>
      <c r="D661" t="s">
        <v>74</v>
      </c>
      <c r="E661" t="s">
        <v>74</v>
      </c>
      <c r="F661" t="s">
        <v>12436</v>
      </c>
      <c r="G661" t="s">
        <v>74</v>
      </c>
      <c r="H661" t="s">
        <v>74</v>
      </c>
      <c r="I661" t="s">
        <v>12437</v>
      </c>
      <c r="J661" t="s">
        <v>649</v>
      </c>
      <c r="K661" t="s">
        <v>74</v>
      </c>
      <c r="L661" t="s">
        <v>74</v>
      </c>
      <c r="M661" t="s">
        <v>78</v>
      </c>
      <c r="N661" t="s">
        <v>79</v>
      </c>
      <c r="O661" t="s">
        <v>74</v>
      </c>
      <c r="P661" t="s">
        <v>74</v>
      </c>
      <c r="Q661" t="s">
        <v>74</v>
      </c>
      <c r="R661" t="s">
        <v>74</v>
      </c>
      <c r="S661" t="s">
        <v>74</v>
      </c>
      <c r="T661" t="s">
        <v>12438</v>
      </c>
      <c r="U661" t="s">
        <v>12439</v>
      </c>
      <c r="V661" t="s">
        <v>12440</v>
      </c>
      <c r="W661" t="s">
        <v>12441</v>
      </c>
      <c r="X661" t="s">
        <v>12442</v>
      </c>
      <c r="Y661" t="s">
        <v>12443</v>
      </c>
      <c r="Z661" t="s">
        <v>1669</v>
      </c>
      <c r="AA661" t="s">
        <v>12444</v>
      </c>
      <c r="AB661" t="s">
        <v>12445</v>
      </c>
      <c r="AC661" t="s">
        <v>12446</v>
      </c>
      <c r="AD661" t="s">
        <v>12447</v>
      </c>
      <c r="AE661" t="s">
        <v>12448</v>
      </c>
      <c r="AF661" t="s">
        <v>74</v>
      </c>
      <c r="AG661">
        <v>40</v>
      </c>
      <c r="AH661">
        <v>112</v>
      </c>
      <c r="AI661">
        <v>124</v>
      </c>
      <c r="AJ661">
        <v>4</v>
      </c>
      <c r="AK661">
        <v>81</v>
      </c>
      <c r="AL661" t="s">
        <v>661</v>
      </c>
      <c r="AM661" t="s">
        <v>142</v>
      </c>
      <c r="AN661" t="s">
        <v>662</v>
      </c>
      <c r="AO661" t="s">
        <v>663</v>
      </c>
      <c r="AP661" t="s">
        <v>664</v>
      </c>
      <c r="AQ661" t="s">
        <v>74</v>
      </c>
      <c r="AR661" t="s">
        <v>665</v>
      </c>
      <c r="AS661" t="s">
        <v>666</v>
      </c>
      <c r="AT661" t="s">
        <v>12416</v>
      </c>
      <c r="AU661">
        <v>2016</v>
      </c>
      <c r="AV661">
        <v>43</v>
      </c>
      <c r="AW661">
        <v>23</v>
      </c>
      <c r="AX661" t="s">
        <v>74</v>
      </c>
      <c r="AY661" t="s">
        <v>74</v>
      </c>
      <c r="AZ661" t="s">
        <v>74</v>
      </c>
      <c r="BA661" t="s">
        <v>74</v>
      </c>
      <c r="BB661">
        <v>12252</v>
      </c>
      <c r="BC661">
        <v>12260</v>
      </c>
      <c r="BD661" t="s">
        <v>74</v>
      </c>
      <c r="BE661" t="s">
        <v>12449</v>
      </c>
      <c r="BF661" t="str">
        <f>HYPERLINK("http://dx.doi.org/10.1002/2016GL070457","http://dx.doi.org/10.1002/2016GL070457")</f>
        <v>http://dx.doi.org/10.1002/2016GL070457</v>
      </c>
      <c r="BG661" t="s">
        <v>74</v>
      </c>
      <c r="BH661" t="s">
        <v>74</v>
      </c>
      <c r="BI661">
        <v>9</v>
      </c>
      <c r="BJ661" t="s">
        <v>669</v>
      </c>
      <c r="BK661" t="s">
        <v>101</v>
      </c>
      <c r="BL661" t="s">
        <v>670</v>
      </c>
      <c r="BM661" t="s">
        <v>12433</v>
      </c>
      <c r="BN661" t="s">
        <v>74</v>
      </c>
      <c r="BO661" t="s">
        <v>12450</v>
      </c>
      <c r="BP661" t="s">
        <v>74</v>
      </c>
      <c r="BQ661" t="s">
        <v>74</v>
      </c>
      <c r="BR661" t="s">
        <v>105</v>
      </c>
      <c r="BS661" t="s">
        <v>12451</v>
      </c>
      <c r="BT661" t="str">
        <f>HYPERLINK("https%3A%2F%2Fwww.webofscience.com%2Fwos%2Fwoscc%2Ffull-record%2FWOS:000392515000020","View Full Record in Web of Science")</f>
        <v>View Full Record in Web of Science</v>
      </c>
    </row>
    <row r="662" spans="1:72" x14ac:dyDescent="0.15">
      <c r="A662" t="s">
        <v>72</v>
      </c>
      <c r="B662" t="s">
        <v>12452</v>
      </c>
      <c r="C662" t="s">
        <v>74</v>
      </c>
      <c r="D662" t="s">
        <v>74</v>
      </c>
      <c r="E662" t="s">
        <v>74</v>
      </c>
      <c r="F662" t="s">
        <v>12453</v>
      </c>
      <c r="G662" t="s">
        <v>74</v>
      </c>
      <c r="H662" t="s">
        <v>74</v>
      </c>
      <c r="I662" t="s">
        <v>12454</v>
      </c>
      <c r="J662" t="s">
        <v>12097</v>
      </c>
      <c r="K662" t="s">
        <v>74</v>
      </c>
      <c r="L662" t="s">
        <v>74</v>
      </c>
      <c r="M662" t="s">
        <v>78</v>
      </c>
      <c r="N662" t="s">
        <v>79</v>
      </c>
      <c r="O662" t="s">
        <v>74</v>
      </c>
      <c r="P662" t="s">
        <v>74</v>
      </c>
      <c r="Q662" t="s">
        <v>74</v>
      </c>
      <c r="R662" t="s">
        <v>74</v>
      </c>
      <c r="S662" t="s">
        <v>74</v>
      </c>
      <c r="T662" t="s">
        <v>12455</v>
      </c>
      <c r="U662" t="s">
        <v>12456</v>
      </c>
      <c r="V662" t="s">
        <v>12457</v>
      </c>
      <c r="W662" t="s">
        <v>12458</v>
      </c>
      <c r="X662" t="s">
        <v>12459</v>
      </c>
      <c r="Y662" t="s">
        <v>12460</v>
      </c>
      <c r="Z662" t="s">
        <v>12461</v>
      </c>
      <c r="AA662" t="s">
        <v>12462</v>
      </c>
      <c r="AB662" t="s">
        <v>12463</v>
      </c>
      <c r="AC662" t="s">
        <v>12464</v>
      </c>
      <c r="AD662" t="s">
        <v>12465</v>
      </c>
      <c r="AE662" t="s">
        <v>12466</v>
      </c>
      <c r="AF662" t="s">
        <v>74</v>
      </c>
      <c r="AG662">
        <v>74</v>
      </c>
      <c r="AH662">
        <v>21</v>
      </c>
      <c r="AI662">
        <v>26</v>
      </c>
      <c r="AJ662">
        <v>3</v>
      </c>
      <c r="AK662">
        <v>48</v>
      </c>
      <c r="AL662" t="s">
        <v>5554</v>
      </c>
      <c r="AM662" t="s">
        <v>5555</v>
      </c>
      <c r="AN662" t="s">
        <v>5556</v>
      </c>
      <c r="AO662" t="s">
        <v>12109</v>
      </c>
      <c r="AP662" t="s">
        <v>12110</v>
      </c>
      <c r="AQ662" t="s">
        <v>74</v>
      </c>
      <c r="AR662" t="s">
        <v>12111</v>
      </c>
      <c r="AS662" t="s">
        <v>12112</v>
      </c>
      <c r="AT662" t="s">
        <v>12467</v>
      </c>
      <c r="AU662">
        <v>2016</v>
      </c>
      <c r="AV662">
        <v>561</v>
      </c>
      <c r="AW662" t="s">
        <v>74</v>
      </c>
      <c r="AX662" t="s">
        <v>74</v>
      </c>
      <c r="AY662" t="s">
        <v>74</v>
      </c>
      <c r="AZ662" t="s">
        <v>74</v>
      </c>
      <c r="BA662" t="s">
        <v>74</v>
      </c>
      <c r="BB662">
        <v>245</v>
      </c>
      <c r="BC662">
        <v>260</v>
      </c>
      <c r="BD662" t="s">
        <v>74</v>
      </c>
      <c r="BE662" t="s">
        <v>12468</v>
      </c>
      <c r="BF662" t="str">
        <f>HYPERLINK("http://dx.doi.org/10.3354/meps11906","http://dx.doi.org/10.3354/meps11906")</f>
        <v>http://dx.doi.org/10.3354/meps11906</v>
      </c>
      <c r="BG662" t="s">
        <v>74</v>
      </c>
      <c r="BH662" t="s">
        <v>74</v>
      </c>
      <c r="BI662">
        <v>16</v>
      </c>
      <c r="BJ662" t="s">
        <v>12115</v>
      </c>
      <c r="BK662" t="s">
        <v>101</v>
      </c>
      <c r="BL662" t="s">
        <v>12116</v>
      </c>
      <c r="BM662" t="s">
        <v>12469</v>
      </c>
      <c r="BN662" t="s">
        <v>74</v>
      </c>
      <c r="BO662" t="s">
        <v>74</v>
      </c>
      <c r="BP662" t="s">
        <v>74</v>
      </c>
      <c r="BQ662" t="s">
        <v>74</v>
      </c>
      <c r="BR662" t="s">
        <v>105</v>
      </c>
      <c r="BS662" t="s">
        <v>12470</v>
      </c>
      <c r="BT662" t="str">
        <f>HYPERLINK("https%3A%2F%2Fwww.webofscience.com%2Fwos%2Fwoscc%2Ffull-record%2FWOS:000391695800018","View Full Record in Web of Science")</f>
        <v>View Full Record in Web of Science</v>
      </c>
    </row>
    <row r="663" spans="1:72" x14ac:dyDescent="0.15">
      <c r="A663" t="s">
        <v>72</v>
      </c>
      <c r="B663" t="s">
        <v>12471</v>
      </c>
      <c r="C663" t="s">
        <v>74</v>
      </c>
      <c r="D663" t="s">
        <v>74</v>
      </c>
      <c r="E663" t="s">
        <v>74</v>
      </c>
      <c r="F663" t="s">
        <v>12472</v>
      </c>
      <c r="G663" t="s">
        <v>74</v>
      </c>
      <c r="H663" t="s">
        <v>74</v>
      </c>
      <c r="I663" t="s">
        <v>12473</v>
      </c>
      <c r="J663" t="s">
        <v>12097</v>
      </c>
      <c r="K663" t="s">
        <v>74</v>
      </c>
      <c r="L663" t="s">
        <v>74</v>
      </c>
      <c r="M663" t="s">
        <v>78</v>
      </c>
      <c r="N663" t="s">
        <v>7075</v>
      </c>
      <c r="O663" t="s">
        <v>74</v>
      </c>
      <c r="P663" t="s">
        <v>74</v>
      </c>
      <c r="Q663" t="s">
        <v>74</v>
      </c>
      <c r="R663" t="s">
        <v>74</v>
      </c>
      <c r="S663" t="s">
        <v>74</v>
      </c>
      <c r="T663" t="s">
        <v>74</v>
      </c>
      <c r="U663" t="s">
        <v>74</v>
      </c>
      <c r="V663" t="s">
        <v>74</v>
      </c>
      <c r="W663" t="s">
        <v>74</v>
      </c>
      <c r="X663" t="s">
        <v>74</v>
      </c>
      <c r="Y663" t="s">
        <v>74</v>
      </c>
      <c r="Z663" t="s">
        <v>12474</v>
      </c>
      <c r="AA663" t="s">
        <v>12475</v>
      </c>
      <c r="AB663" t="s">
        <v>12476</v>
      </c>
      <c r="AC663" t="s">
        <v>74</v>
      </c>
      <c r="AD663" t="s">
        <v>74</v>
      </c>
      <c r="AE663" t="s">
        <v>74</v>
      </c>
      <c r="AF663" t="s">
        <v>74</v>
      </c>
      <c r="AG663">
        <v>1</v>
      </c>
      <c r="AH663">
        <v>5</v>
      </c>
      <c r="AI663">
        <v>5</v>
      </c>
      <c r="AJ663">
        <v>0</v>
      </c>
      <c r="AK663">
        <v>2</v>
      </c>
      <c r="AL663" t="s">
        <v>5554</v>
      </c>
      <c r="AM663" t="s">
        <v>5555</v>
      </c>
      <c r="AN663" t="s">
        <v>5556</v>
      </c>
      <c r="AO663" t="s">
        <v>12109</v>
      </c>
      <c r="AP663" t="s">
        <v>12110</v>
      </c>
      <c r="AQ663" t="s">
        <v>74</v>
      </c>
      <c r="AR663" t="s">
        <v>12111</v>
      </c>
      <c r="AS663" t="s">
        <v>12112</v>
      </c>
      <c r="AT663" t="s">
        <v>12467</v>
      </c>
      <c r="AU663">
        <v>2016</v>
      </c>
      <c r="AV663">
        <v>561</v>
      </c>
      <c r="AW663" t="s">
        <v>74</v>
      </c>
      <c r="AX663" t="s">
        <v>74</v>
      </c>
      <c r="AY663" t="s">
        <v>74</v>
      </c>
      <c r="AZ663" t="s">
        <v>74</v>
      </c>
      <c r="BA663" t="s">
        <v>74</v>
      </c>
      <c r="BB663">
        <v>261</v>
      </c>
      <c r="BC663">
        <v>261</v>
      </c>
      <c r="BD663" t="s">
        <v>74</v>
      </c>
      <c r="BE663" t="s">
        <v>74</v>
      </c>
      <c r="BF663" t="s">
        <v>74</v>
      </c>
      <c r="BG663" t="s">
        <v>74</v>
      </c>
      <c r="BH663" t="s">
        <v>74</v>
      </c>
      <c r="BI663">
        <v>1</v>
      </c>
      <c r="BJ663" t="s">
        <v>12115</v>
      </c>
      <c r="BK663" t="s">
        <v>101</v>
      </c>
      <c r="BL663" t="s">
        <v>12116</v>
      </c>
      <c r="BM663" t="s">
        <v>12469</v>
      </c>
      <c r="BN663" t="s">
        <v>74</v>
      </c>
      <c r="BO663" t="s">
        <v>74</v>
      </c>
      <c r="BP663" t="s">
        <v>74</v>
      </c>
      <c r="BQ663" t="s">
        <v>74</v>
      </c>
      <c r="BR663" t="s">
        <v>105</v>
      </c>
      <c r="BS663" t="s">
        <v>12477</v>
      </c>
      <c r="BT663" t="str">
        <f>HYPERLINK("https%3A%2F%2Fwww.webofscience.com%2Fwos%2Fwoscc%2Ffull-record%2FWOS:000391695800019","View Full Record in Web of Science")</f>
        <v>View Full Record in Web of Science</v>
      </c>
    </row>
    <row r="664" spans="1:72" x14ac:dyDescent="0.15">
      <c r="A664" t="s">
        <v>72</v>
      </c>
      <c r="B664" t="s">
        <v>12478</v>
      </c>
      <c r="C664" t="s">
        <v>74</v>
      </c>
      <c r="D664" t="s">
        <v>74</v>
      </c>
      <c r="E664" t="s">
        <v>74</v>
      </c>
      <c r="F664" t="s">
        <v>12479</v>
      </c>
      <c r="G664" t="s">
        <v>74</v>
      </c>
      <c r="H664" t="s">
        <v>74</v>
      </c>
      <c r="I664" t="s">
        <v>12480</v>
      </c>
      <c r="J664" t="s">
        <v>1044</v>
      </c>
      <c r="K664" t="s">
        <v>74</v>
      </c>
      <c r="L664" t="s">
        <v>74</v>
      </c>
      <c r="M664" t="s">
        <v>78</v>
      </c>
      <c r="N664" t="s">
        <v>79</v>
      </c>
      <c r="O664" t="s">
        <v>74</v>
      </c>
      <c r="P664" t="s">
        <v>74</v>
      </c>
      <c r="Q664" t="s">
        <v>74</v>
      </c>
      <c r="R664" t="s">
        <v>74</v>
      </c>
      <c r="S664" t="s">
        <v>74</v>
      </c>
      <c r="T664" t="s">
        <v>74</v>
      </c>
      <c r="U664" t="s">
        <v>12481</v>
      </c>
      <c r="V664" t="s">
        <v>12482</v>
      </c>
      <c r="W664" t="s">
        <v>12483</v>
      </c>
      <c r="X664" t="s">
        <v>12484</v>
      </c>
      <c r="Y664" t="s">
        <v>12485</v>
      </c>
      <c r="Z664" t="s">
        <v>12486</v>
      </c>
      <c r="AA664" t="s">
        <v>12487</v>
      </c>
      <c r="AB664" t="s">
        <v>12488</v>
      </c>
      <c r="AC664" t="s">
        <v>12489</v>
      </c>
      <c r="AD664" t="s">
        <v>12490</v>
      </c>
      <c r="AE664" t="s">
        <v>12491</v>
      </c>
      <c r="AF664" t="s">
        <v>74</v>
      </c>
      <c r="AG664">
        <v>72</v>
      </c>
      <c r="AH664">
        <v>41</v>
      </c>
      <c r="AI664">
        <v>45</v>
      </c>
      <c r="AJ664">
        <v>0</v>
      </c>
      <c r="AK664">
        <v>46</v>
      </c>
      <c r="AL664" t="s">
        <v>608</v>
      </c>
      <c r="AM664" t="s">
        <v>609</v>
      </c>
      <c r="AN664" t="s">
        <v>610</v>
      </c>
      <c r="AO664" t="s">
        <v>1056</v>
      </c>
      <c r="AP664" t="s">
        <v>1057</v>
      </c>
      <c r="AQ664" t="s">
        <v>74</v>
      </c>
      <c r="AR664" t="s">
        <v>1058</v>
      </c>
      <c r="AS664" t="s">
        <v>1059</v>
      </c>
      <c r="AT664" t="s">
        <v>12467</v>
      </c>
      <c r="AU664">
        <v>2016</v>
      </c>
      <c r="AV664">
        <v>12</v>
      </c>
      <c r="AW664">
        <v>12</v>
      </c>
      <c r="AX664" t="s">
        <v>74</v>
      </c>
      <c r="AY664" t="s">
        <v>74</v>
      </c>
      <c r="AZ664" t="s">
        <v>74</v>
      </c>
      <c r="BA664" t="s">
        <v>74</v>
      </c>
      <c r="BB664">
        <v>2195</v>
      </c>
      <c r="BC664">
        <v>2213</v>
      </c>
      <c r="BD664" t="s">
        <v>74</v>
      </c>
      <c r="BE664" t="s">
        <v>12492</v>
      </c>
      <c r="BF664" t="str">
        <f>HYPERLINK("http://dx.doi.org/10.5194/cp-12-2195-2016","http://dx.doi.org/10.5194/cp-12-2195-2016")</f>
        <v>http://dx.doi.org/10.5194/cp-12-2195-2016</v>
      </c>
      <c r="BG664" t="s">
        <v>74</v>
      </c>
      <c r="BH664" t="s">
        <v>74</v>
      </c>
      <c r="BI664">
        <v>19</v>
      </c>
      <c r="BJ664" t="s">
        <v>938</v>
      </c>
      <c r="BK664" t="s">
        <v>101</v>
      </c>
      <c r="BL664" t="s">
        <v>939</v>
      </c>
      <c r="BM664" t="s">
        <v>12493</v>
      </c>
      <c r="BN664" t="s">
        <v>74</v>
      </c>
      <c r="BO664" t="s">
        <v>150</v>
      </c>
      <c r="BP664" t="s">
        <v>74</v>
      </c>
      <c r="BQ664" t="s">
        <v>74</v>
      </c>
      <c r="BR664" t="s">
        <v>105</v>
      </c>
      <c r="BS664" t="s">
        <v>12494</v>
      </c>
      <c r="BT664" t="str">
        <f>HYPERLINK("https%3A%2F%2Fwww.webofscience.com%2Fwos%2Fwoscc%2Ffull-record%2FWOS:000391282100001","View Full Record in Web of Science")</f>
        <v>View Full Record in Web of Science</v>
      </c>
    </row>
    <row r="665" spans="1:72" x14ac:dyDescent="0.15">
      <c r="A665" t="s">
        <v>72</v>
      </c>
      <c r="B665" t="s">
        <v>12495</v>
      </c>
      <c r="C665" t="s">
        <v>74</v>
      </c>
      <c r="D665" t="s">
        <v>74</v>
      </c>
      <c r="E665" t="s">
        <v>74</v>
      </c>
      <c r="F665" t="s">
        <v>12495</v>
      </c>
      <c r="G665" t="s">
        <v>74</v>
      </c>
      <c r="H665" t="s">
        <v>74</v>
      </c>
      <c r="I665" t="s">
        <v>12496</v>
      </c>
      <c r="J665" t="s">
        <v>1113</v>
      </c>
      <c r="K665" t="s">
        <v>74</v>
      </c>
      <c r="L665" t="s">
        <v>74</v>
      </c>
      <c r="M665" t="s">
        <v>78</v>
      </c>
      <c r="N665" t="s">
        <v>1114</v>
      </c>
      <c r="O665" t="s">
        <v>74</v>
      </c>
      <c r="P665" t="s">
        <v>74</v>
      </c>
      <c r="Q665" t="s">
        <v>74</v>
      </c>
      <c r="R665" t="s">
        <v>74</v>
      </c>
      <c r="S665" t="s">
        <v>74</v>
      </c>
      <c r="T665" t="s">
        <v>74</v>
      </c>
      <c r="U665" t="s">
        <v>74</v>
      </c>
      <c r="V665" t="s">
        <v>74</v>
      </c>
      <c r="W665" t="s">
        <v>74</v>
      </c>
      <c r="X665" t="s">
        <v>74</v>
      </c>
      <c r="Y665" t="s">
        <v>74</v>
      </c>
      <c r="Z665" t="s">
        <v>74</v>
      </c>
      <c r="AA665" t="s">
        <v>74</v>
      </c>
      <c r="AB665" t="s">
        <v>74</v>
      </c>
      <c r="AC665" t="s">
        <v>74</v>
      </c>
      <c r="AD665" t="s">
        <v>74</v>
      </c>
      <c r="AE665" t="s">
        <v>74</v>
      </c>
      <c r="AF665" t="s">
        <v>74</v>
      </c>
      <c r="AG665">
        <v>0</v>
      </c>
      <c r="AH665">
        <v>0</v>
      </c>
      <c r="AI665">
        <v>0</v>
      </c>
      <c r="AJ665">
        <v>0</v>
      </c>
      <c r="AK665">
        <v>0</v>
      </c>
      <c r="AL665" t="s">
        <v>291</v>
      </c>
      <c r="AM665" t="s">
        <v>292</v>
      </c>
      <c r="AN665" t="s">
        <v>293</v>
      </c>
      <c r="AO665" t="s">
        <v>1118</v>
      </c>
      <c r="AP665" t="s">
        <v>1119</v>
      </c>
      <c r="AQ665" t="s">
        <v>74</v>
      </c>
      <c r="AR665" t="s">
        <v>1120</v>
      </c>
      <c r="AS665" t="s">
        <v>1121</v>
      </c>
      <c r="AT665" t="s">
        <v>12467</v>
      </c>
      <c r="AU665">
        <v>2016</v>
      </c>
      <c r="AV665">
        <v>113</v>
      </c>
      <c r="AW665" t="s">
        <v>2137</v>
      </c>
      <c r="AX665" t="s">
        <v>74</v>
      </c>
      <c r="AY665" t="s">
        <v>74</v>
      </c>
      <c r="AZ665" t="s">
        <v>74</v>
      </c>
      <c r="BA665" t="s">
        <v>74</v>
      </c>
      <c r="BB665">
        <v>3</v>
      </c>
      <c r="BC665">
        <v>3</v>
      </c>
      <c r="BD665" t="s">
        <v>74</v>
      </c>
      <c r="BE665" t="s">
        <v>74</v>
      </c>
      <c r="BF665" t="s">
        <v>74</v>
      </c>
      <c r="BG665" t="s">
        <v>74</v>
      </c>
      <c r="BH665" t="s">
        <v>74</v>
      </c>
      <c r="BI665">
        <v>1</v>
      </c>
      <c r="BJ665" t="s">
        <v>1123</v>
      </c>
      <c r="BK665" t="s">
        <v>101</v>
      </c>
      <c r="BL665" t="s">
        <v>1124</v>
      </c>
      <c r="BM665" t="s">
        <v>12497</v>
      </c>
      <c r="BN665" t="s">
        <v>74</v>
      </c>
      <c r="BO665" t="s">
        <v>74</v>
      </c>
      <c r="BP665" t="s">
        <v>74</v>
      </c>
      <c r="BQ665" t="s">
        <v>74</v>
      </c>
      <c r="BR665" t="s">
        <v>105</v>
      </c>
      <c r="BS665" t="s">
        <v>12498</v>
      </c>
      <c r="BT665" t="str">
        <f>HYPERLINK("https%3A%2F%2Fwww.webofscience.com%2Fwos%2Fwoscc%2Ffull-record%2FWOS:000390734600002","View Full Record in Web of Science")</f>
        <v>View Full Record in Web of Science</v>
      </c>
    </row>
    <row r="666" spans="1:72" x14ac:dyDescent="0.15">
      <c r="A666" t="s">
        <v>72</v>
      </c>
      <c r="B666" t="s">
        <v>12499</v>
      </c>
      <c r="C666" t="s">
        <v>74</v>
      </c>
      <c r="D666" t="s">
        <v>74</v>
      </c>
      <c r="E666" t="s">
        <v>74</v>
      </c>
      <c r="F666" t="s">
        <v>12500</v>
      </c>
      <c r="G666" t="s">
        <v>74</v>
      </c>
      <c r="H666" t="s">
        <v>74</v>
      </c>
      <c r="I666" t="s">
        <v>12501</v>
      </c>
      <c r="J666" t="s">
        <v>12502</v>
      </c>
      <c r="K666" t="s">
        <v>74</v>
      </c>
      <c r="L666" t="s">
        <v>74</v>
      </c>
      <c r="M666" t="s">
        <v>78</v>
      </c>
      <c r="N666" t="s">
        <v>79</v>
      </c>
      <c r="O666" t="s">
        <v>74</v>
      </c>
      <c r="P666" t="s">
        <v>74</v>
      </c>
      <c r="Q666" t="s">
        <v>74</v>
      </c>
      <c r="R666" t="s">
        <v>74</v>
      </c>
      <c r="S666" t="s">
        <v>74</v>
      </c>
      <c r="T666" t="s">
        <v>12503</v>
      </c>
      <c r="U666" t="s">
        <v>12504</v>
      </c>
      <c r="V666" t="s">
        <v>12505</v>
      </c>
      <c r="W666" t="s">
        <v>12506</v>
      </c>
      <c r="X666" t="s">
        <v>7916</v>
      </c>
      <c r="Y666" t="s">
        <v>12507</v>
      </c>
      <c r="Z666" t="s">
        <v>12508</v>
      </c>
      <c r="AA666" t="s">
        <v>12509</v>
      </c>
      <c r="AB666" t="s">
        <v>12510</v>
      </c>
      <c r="AC666" t="s">
        <v>12511</v>
      </c>
      <c r="AD666" t="s">
        <v>12512</v>
      </c>
      <c r="AE666" t="s">
        <v>12513</v>
      </c>
      <c r="AF666" t="s">
        <v>74</v>
      </c>
      <c r="AG666">
        <v>59</v>
      </c>
      <c r="AH666">
        <v>2</v>
      </c>
      <c r="AI666">
        <v>2</v>
      </c>
      <c r="AJ666">
        <v>0</v>
      </c>
      <c r="AK666">
        <v>18</v>
      </c>
      <c r="AL666" t="s">
        <v>291</v>
      </c>
      <c r="AM666" t="s">
        <v>292</v>
      </c>
      <c r="AN666" t="s">
        <v>293</v>
      </c>
      <c r="AO666" t="s">
        <v>12514</v>
      </c>
      <c r="AP666" t="s">
        <v>12515</v>
      </c>
      <c r="AQ666" t="s">
        <v>74</v>
      </c>
      <c r="AR666" t="s">
        <v>12516</v>
      </c>
      <c r="AS666" t="s">
        <v>12517</v>
      </c>
      <c r="AT666" t="s">
        <v>12467</v>
      </c>
      <c r="AU666">
        <v>2016</v>
      </c>
      <c r="AV666">
        <v>425</v>
      </c>
      <c r="AW666" t="s">
        <v>74</v>
      </c>
      <c r="AX666" t="s">
        <v>74</v>
      </c>
      <c r="AY666" t="s">
        <v>74</v>
      </c>
      <c r="AZ666" t="s">
        <v>74</v>
      </c>
      <c r="BA666" t="s">
        <v>74</v>
      </c>
      <c r="BB666">
        <v>173</v>
      </c>
      <c r="BC666">
        <v>182</v>
      </c>
      <c r="BD666" t="s">
        <v>74</v>
      </c>
      <c r="BE666" t="s">
        <v>12518</v>
      </c>
      <c r="BF666" t="str">
        <f>HYPERLINK("http://dx.doi.org/10.1016/j.quaint.2015.10.118","http://dx.doi.org/10.1016/j.quaint.2015.10.118")</f>
        <v>http://dx.doi.org/10.1016/j.quaint.2015.10.118</v>
      </c>
      <c r="BG666" t="s">
        <v>74</v>
      </c>
      <c r="BH666" t="s">
        <v>74</v>
      </c>
      <c r="BI666">
        <v>10</v>
      </c>
      <c r="BJ666" t="s">
        <v>615</v>
      </c>
      <c r="BK666" t="s">
        <v>101</v>
      </c>
      <c r="BL666" t="s">
        <v>616</v>
      </c>
      <c r="BM666" t="s">
        <v>12519</v>
      </c>
      <c r="BN666" t="s">
        <v>74</v>
      </c>
      <c r="BO666" t="s">
        <v>74</v>
      </c>
      <c r="BP666" t="s">
        <v>74</v>
      </c>
      <c r="BQ666" t="s">
        <v>74</v>
      </c>
      <c r="BR666" t="s">
        <v>105</v>
      </c>
      <c r="BS666" t="s">
        <v>12520</v>
      </c>
      <c r="BT666" t="str">
        <f>HYPERLINK("https%3A%2F%2Fwww.webofscience.com%2Fwos%2Fwoscc%2Ffull-record%2FWOS:000390534700014","View Full Record in Web of Science")</f>
        <v>View Full Record in Web of Science</v>
      </c>
    </row>
    <row r="667" spans="1:72" x14ac:dyDescent="0.15">
      <c r="A667" t="s">
        <v>72</v>
      </c>
      <c r="B667" t="s">
        <v>12521</v>
      </c>
      <c r="C667" t="s">
        <v>74</v>
      </c>
      <c r="D667" t="s">
        <v>74</v>
      </c>
      <c r="E667" t="s">
        <v>74</v>
      </c>
      <c r="F667" t="s">
        <v>12522</v>
      </c>
      <c r="G667" t="s">
        <v>74</v>
      </c>
      <c r="H667" t="s">
        <v>74</v>
      </c>
      <c r="I667" t="s">
        <v>12523</v>
      </c>
      <c r="J667" t="s">
        <v>9583</v>
      </c>
      <c r="K667" t="s">
        <v>74</v>
      </c>
      <c r="L667" t="s">
        <v>74</v>
      </c>
      <c r="M667" t="s">
        <v>78</v>
      </c>
      <c r="N667" t="s">
        <v>79</v>
      </c>
      <c r="O667" t="s">
        <v>74</v>
      </c>
      <c r="P667" t="s">
        <v>74</v>
      </c>
      <c r="Q667" t="s">
        <v>74</v>
      </c>
      <c r="R667" t="s">
        <v>74</v>
      </c>
      <c r="S667" t="s">
        <v>74</v>
      </c>
      <c r="T667" t="s">
        <v>12524</v>
      </c>
      <c r="U667" t="s">
        <v>12525</v>
      </c>
      <c r="V667" t="s">
        <v>12526</v>
      </c>
      <c r="W667" t="s">
        <v>12527</v>
      </c>
      <c r="X667" t="s">
        <v>12528</v>
      </c>
      <c r="Y667" t="s">
        <v>12529</v>
      </c>
      <c r="Z667" t="s">
        <v>12530</v>
      </c>
      <c r="AA667" t="s">
        <v>74</v>
      </c>
      <c r="AB667" t="s">
        <v>12531</v>
      </c>
      <c r="AC667" t="s">
        <v>12532</v>
      </c>
      <c r="AD667" t="s">
        <v>12533</v>
      </c>
      <c r="AE667" t="s">
        <v>12534</v>
      </c>
      <c r="AF667" t="s">
        <v>74</v>
      </c>
      <c r="AG667">
        <v>97</v>
      </c>
      <c r="AH667">
        <v>23</v>
      </c>
      <c r="AI667">
        <v>26</v>
      </c>
      <c r="AJ667">
        <v>1</v>
      </c>
      <c r="AK667">
        <v>35</v>
      </c>
      <c r="AL667" t="s">
        <v>291</v>
      </c>
      <c r="AM667" t="s">
        <v>292</v>
      </c>
      <c r="AN667" t="s">
        <v>293</v>
      </c>
      <c r="AO667" t="s">
        <v>9595</v>
      </c>
      <c r="AP667" t="s">
        <v>12535</v>
      </c>
      <c r="AQ667" t="s">
        <v>74</v>
      </c>
      <c r="AR667" t="s">
        <v>9596</v>
      </c>
      <c r="AS667" t="s">
        <v>9597</v>
      </c>
      <c r="AT667" t="s">
        <v>12467</v>
      </c>
      <c r="AU667">
        <v>2016</v>
      </c>
      <c r="AV667">
        <v>154</v>
      </c>
      <c r="AW667" t="s">
        <v>74</v>
      </c>
      <c r="AX667" t="s">
        <v>74</v>
      </c>
      <c r="AY667" t="s">
        <v>74</v>
      </c>
      <c r="AZ667" t="s">
        <v>74</v>
      </c>
      <c r="BA667" t="s">
        <v>74</v>
      </c>
      <c r="BB667">
        <v>143</v>
      </c>
      <c r="BC667">
        <v>156</v>
      </c>
      <c r="BD667" t="s">
        <v>74</v>
      </c>
      <c r="BE667" t="s">
        <v>12536</v>
      </c>
      <c r="BF667" t="str">
        <f>HYPERLINK("http://dx.doi.org/10.1016/j.quascirev.2016.10.018","http://dx.doi.org/10.1016/j.quascirev.2016.10.018")</f>
        <v>http://dx.doi.org/10.1016/j.quascirev.2016.10.018</v>
      </c>
      <c r="BG667" t="s">
        <v>74</v>
      </c>
      <c r="BH667" t="s">
        <v>74</v>
      </c>
      <c r="BI667">
        <v>14</v>
      </c>
      <c r="BJ667" t="s">
        <v>615</v>
      </c>
      <c r="BK667" t="s">
        <v>101</v>
      </c>
      <c r="BL667" t="s">
        <v>616</v>
      </c>
      <c r="BM667" t="s">
        <v>12537</v>
      </c>
      <c r="BN667" t="s">
        <v>74</v>
      </c>
      <c r="BO667" t="s">
        <v>74</v>
      </c>
      <c r="BP667" t="s">
        <v>74</v>
      </c>
      <c r="BQ667" t="s">
        <v>74</v>
      </c>
      <c r="BR667" t="s">
        <v>105</v>
      </c>
      <c r="BS667" t="s">
        <v>12538</v>
      </c>
      <c r="BT667" t="str">
        <f>HYPERLINK("https%3A%2F%2Fwww.webofscience.com%2Fwos%2Fwoscc%2Ffull-record%2FWOS:000390505700007","View Full Record in Web of Science")</f>
        <v>View Full Record in Web of Science</v>
      </c>
    </row>
    <row r="668" spans="1:72" x14ac:dyDescent="0.15">
      <c r="A668" t="s">
        <v>72</v>
      </c>
      <c r="B668" t="s">
        <v>12539</v>
      </c>
      <c r="C668" t="s">
        <v>74</v>
      </c>
      <c r="D668" t="s">
        <v>74</v>
      </c>
      <c r="E668" t="s">
        <v>74</v>
      </c>
      <c r="F668" t="s">
        <v>12540</v>
      </c>
      <c r="G668" t="s">
        <v>74</v>
      </c>
      <c r="H668" t="s">
        <v>74</v>
      </c>
      <c r="I668" t="s">
        <v>12541</v>
      </c>
      <c r="J668" t="s">
        <v>12542</v>
      </c>
      <c r="K668" t="s">
        <v>74</v>
      </c>
      <c r="L668" t="s">
        <v>74</v>
      </c>
      <c r="M668" t="s">
        <v>78</v>
      </c>
      <c r="N668" t="s">
        <v>79</v>
      </c>
      <c r="O668" t="s">
        <v>74</v>
      </c>
      <c r="P668" t="s">
        <v>74</v>
      </c>
      <c r="Q668" t="s">
        <v>74</v>
      </c>
      <c r="R668" t="s">
        <v>74</v>
      </c>
      <c r="S668" t="s">
        <v>74</v>
      </c>
      <c r="T668" t="s">
        <v>12543</v>
      </c>
      <c r="U668" t="s">
        <v>12544</v>
      </c>
      <c r="V668" t="s">
        <v>12545</v>
      </c>
      <c r="W668" t="s">
        <v>12546</v>
      </c>
      <c r="X668" t="s">
        <v>12547</v>
      </c>
      <c r="Y668" t="s">
        <v>12548</v>
      </c>
      <c r="Z668" t="s">
        <v>12549</v>
      </c>
      <c r="AA668" t="s">
        <v>12550</v>
      </c>
      <c r="AB668" t="s">
        <v>12551</v>
      </c>
      <c r="AC668" t="s">
        <v>12552</v>
      </c>
      <c r="AD668" t="s">
        <v>12553</v>
      </c>
      <c r="AE668" t="s">
        <v>12554</v>
      </c>
      <c r="AF668" t="s">
        <v>74</v>
      </c>
      <c r="AG668">
        <v>54</v>
      </c>
      <c r="AH668">
        <v>28</v>
      </c>
      <c r="AI668">
        <v>29</v>
      </c>
      <c r="AJ668">
        <v>1</v>
      </c>
      <c r="AK668">
        <v>27</v>
      </c>
      <c r="AL668" t="s">
        <v>8606</v>
      </c>
      <c r="AM668" t="s">
        <v>187</v>
      </c>
      <c r="AN668" t="s">
        <v>8607</v>
      </c>
      <c r="AO668" t="s">
        <v>12555</v>
      </c>
      <c r="AP668" t="s">
        <v>12556</v>
      </c>
      <c r="AQ668" t="s">
        <v>74</v>
      </c>
      <c r="AR668" t="s">
        <v>12557</v>
      </c>
      <c r="AS668" t="s">
        <v>12558</v>
      </c>
      <c r="AT668" t="s">
        <v>12467</v>
      </c>
      <c r="AU668">
        <v>2016</v>
      </c>
      <c r="AV668">
        <v>187</v>
      </c>
      <c r="AW668" t="s">
        <v>74</v>
      </c>
      <c r="AX668" t="s">
        <v>74</v>
      </c>
      <c r="AY668" t="s">
        <v>74</v>
      </c>
      <c r="AZ668" t="s">
        <v>74</v>
      </c>
      <c r="BA668" t="s">
        <v>74</v>
      </c>
      <c r="BB668">
        <v>30</v>
      </c>
      <c r="BC668">
        <v>48</v>
      </c>
      <c r="BD668" t="s">
        <v>74</v>
      </c>
      <c r="BE668" t="s">
        <v>12559</v>
      </c>
      <c r="BF668" t="str">
        <f>HYPERLINK("http://dx.doi.org/10.1016/j.rse.2016.10.003","http://dx.doi.org/10.1016/j.rse.2016.10.003")</f>
        <v>http://dx.doi.org/10.1016/j.rse.2016.10.003</v>
      </c>
      <c r="BG668" t="s">
        <v>74</v>
      </c>
      <c r="BH668" t="s">
        <v>74</v>
      </c>
      <c r="BI668">
        <v>19</v>
      </c>
      <c r="BJ668" t="s">
        <v>12560</v>
      </c>
      <c r="BK668" t="s">
        <v>101</v>
      </c>
      <c r="BL668" t="s">
        <v>12561</v>
      </c>
      <c r="BM668" t="s">
        <v>12562</v>
      </c>
      <c r="BN668" t="s">
        <v>74</v>
      </c>
      <c r="BO668" t="s">
        <v>2028</v>
      </c>
      <c r="BP668" t="s">
        <v>74</v>
      </c>
      <c r="BQ668" t="s">
        <v>74</v>
      </c>
      <c r="BR668" t="s">
        <v>105</v>
      </c>
      <c r="BS668" t="s">
        <v>12563</v>
      </c>
      <c r="BT668" t="str">
        <f>HYPERLINK("https%3A%2F%2Fwww.webofscience.com%2Fwos%2Fwoscc%2Ffull-record%2FWOS:000390494000003","View Full Record in Web of Science")</f>
        <v>View Full Record in Web of Science</v>
      </c>
    </row>
    <row r="669" spans="1:72" x14ac:dyDescent="0.15">
      <c r="A669" t="s">
        <v>72</v>
      </c>
      <c r="B669" t="s">
        <v>12564</v>
      </c>
      <c r="C669" t="s">
        <v>74</v>
      </c>
      <c r="D669" t="s">
        <v>74</v>
      </c>
      <c r="E669" t="s">
        <v>74</v>
      </c>
      <c r="F669" t="s">
        <v>12565</v>
      </c>
      <c r="G669" t="s">
        <v>74</v>
      </c>
      <c r="H669" t="s">
        <v>74</v>
      </c>
      <c r="I669" t="s">
        <v>12566</v>
      </c>
      <c r="J669" t="s">
        <v>12567</v>
      </c>
      <c r="K669" t="s">
        <v>74</v>
      </c>
      <c r="L669" t="s">
        <v>74</v>
      </c>
      <c r="M669" t="s">
        <v>78</v>
      </c>
      <c r="N669" t="s">
        <v>79</v>
      </c>
      <c r="O669" t="s">
        <v>74</v>
      </c>
      <c r="P669" t="s">
        <v>74</v>
      </c>
      <c r="Q669" t="s">
        <v>74</v>
      </c>
      <c r="R669" t="s">
        <v>74</v>
      </c>
      <c r="S669" t="s">
        <v>74</v>
      </c>
      <c r="T669" t="s">
        <v>12568</v>
      </c>
      <c r="U669" t="s">
        <v>12569</v>
      </c>
      <c r="V669" t="s">
        <v>12570</v>
      </c>
      <c r="W669" t="s">
        <v>12571</v>
      </c>
      <c r="X669" t="s">
        <v>12572</v>
      </c>
      <c r="Y669" t="s">
        <v>12573</v>
      </c>
      <c r="Z669" t="s">
        <v>12574</v>
      </c>
      <c r="AA669" t="s">
        <v>12575</v>
      </c>
      <c r="AB669" t="s">
        <v>12576</v>
      </c>
      <c r="AC669" t="s">
        <v>12577</v>
      </c>
      <c r="AD669" t="s">
        <v>12578</v>
      </c>
      <c r="AE669" t="s">
        <v>12579</v>
      </c>
      <c r="AF669" t="s">
        <v>74</v>
      </c>
      <c r="AG669">
        <v>30</v>
      </c>
      <c r="AH669">
        <v>5</v>
      </c>
      <c r="AI669">
        <v>6</v>
      </c>
      <c r="AJ669">
        <v>0</v>
      </c>
      <c r="AK669">
        <v>4</v>
      </c>
      <c r="AL669" t="s">
        <v>1021</v>
      </c>
      <c r="AM669" t="s">
        <v>93</v>
      </c>
      <c r="AN669" t="s">
        <v>1022</v>
      </c>
      <c r="AO669" t="s">
        <v>12580</v>
      </c>
      <c r="AP669" t="s">
        <v>12581</v>
      </c>
      <c r="AQ669" t="s">
        <v>74</v>
      </c>
      <c r="AR669" t="s">
        <v>12582</v>
      </c>
      <c r="AS669" t="s">
        <v>12583</v>
      </c>
      <c r="AT669" t="s">
        <v>12467</v>
      </c>
      <c r="AU669">
        <v>2016</v>
      </c>
      <c r="AV669">
        <v>70</v>
      </c>
      <c r="AW669" t="s">
        <v>74</v>
      </c>
      <c r="AX669" t="s">
        <v>74</v>
      </c>
      <c r="AY669" t="s">
        <v>74</v>
      </c>
      <c r="AZ669" t="s">
        <v>74</v>
      </c>
      <c r="BA669" t="s">
        <v>74</v>
      </c>
      <c r="BB669" t="s">
        <v>74</v>
      </c>
      <c r="BC669" t="s">
        <v>74</v>
      </c>
      <c r="BD669">
        <v>22</v>
      </c>
      <c r="BE669" t="s">
        <v>12584</v>
      </c>
      <c r="BF669" t="str">
        <f>HYPERLINK("http://dx.doi.org/10.1186/s10152-016-0474-7","http://dx.doi.org/10.1186/s10152-016-0474-7")</f>
        <v>http://dx.doi.org/10.1186/s10152-016-0474-7</v>
      </c>
      <c r="BG669" t="s">
        <v>74</v>
      </c>
      <c r="BH669" t="s">
        <v>74</v>
      </c>
      <c r="BI669">
        <v>8</v>
      </c>
      <c r="BJ669" t="s">
        <v>1641</v>
      </c>
      <c r="BK669" t="s">
        <v>101</v>
      </c>
      <c r="BL669" t="s">
        <v>1641</v>
      </c>
      <c r="BM669" t="s">
        <v>12585</v>
      </c>
      <c r="BN669" t="s">
        <v>74</v>
      </c>
      <c r="BO669" t="s">
        <v>2140</v>
      </c>
      <c r="BP669" t="s">
        <v>74</v>
      </c>
      <c r="BQ669" t="s">
        <v>74</v>
      </c>
      <c r="BR669" t="s">
        <v>105</v>
      </c>
      <c r="BS669" t="s">
        <v>12586</v>
      </c>
      <c r="BT669" t="str">
        <f>HYPERLINK("https%3A%2F%2Fwww.webofscience.com%2Fwos%2Fwoscc%2Ffull-record%2FWOS:000390204800001","View Full Record in Web of Science")</f>
        <v>View Full Record in Web of Science</v>
      </c>
    </row>
    <row r="670" spans="1:72" x14ac:dyDescent="0.15">
      <c r="A670" t="s">
        <v>72</v>
      </c>
      <c r="B670" t="s">
        <v>12587</v>
      </c>
      <c r="C670" t="s">
        <v>74</v>
      </c>
      <c r="D670" t="s">
        <v>74</v>
      </c>
      <c r="E670" t="s">
        <v>74</v>
      </c>
      <c r="F670" t="s">
        <v>12588</v>
      </c>
      <c r="G670" t="s">
        <v>74</v>
      </c>
      <c r="H670" t="s">
        <v>74</v>
      </c>
      <c r="I670" t="s">
        <v>12589</v>
      </c>
      <c r="J670" t="s">
        <v>155</v>
      </c>
      <c r="K670" t="s">
        <v>74</v>
      </c>
      <c r="L670" t="s">
        <v>74</v>
      </c>
      <c r="M670" t="s">
        <v>78</v>
      </c>
      <c r="N670" t="s">
        <v>79</v>
      </c>
      <c r="O670" t="s">
        <v>74</v>
      </c>
      <c r="P670" t="s">
        <v>74</v>
      </c>
      <c r="Q670" t="s">
        <v>74</v>
      </c>
      <c r="R670" t="s">
        <v>74</v>
      </c>
      <c r="S670" t="s">
        <v>74</v>
      </c>
      <c r="T670" t="s">
        <v>12590</v>
      </c>
      <c r="U670" t="s">
        <v>12591</v>
      </c>
      <c r="V670" t="s">
        <v>12592</v>
      </c>
      <c r="W670" t="s">
        <v>12593</v>
      </c>
      <c r="X670" t="s">
        <v>12594</v>
      </c>
      <c r="Y670" t="s">
        <v>12595</v>
      </c>
      <c r="Z670" t="s">
        <v>12596</v>
      </c>
      <c r="AA670" t="s">
        <v>12597</v>
      </c>
      <c r="AB670" t="s">
        <v>12598</v>
      </c>
      <c r="AC670" t="s">
        <v>12599</v>
      </c>
      <c r="AD670" t="s">
        <v>12600</v>
      </c>
      <c r="AE670" t="s">
        <v>12601</v>
      </c>
      <c r="AF670" t="s">
        <v>74</v>
      </c>
      <c r="AG670">
        <v>90</v>
      </c>
      <c r="AH670">
        <v>32</v>
      </c>
      <c r="AI670">
        <v>36</v>
      </c>
      <c r="AJ670">
        <v>1</v>
      </c>
      <c r="AK670">
        <v>70</v>
      </c>
      <c r="AL670" t="s">
        <v>264</v>
      </c>
      <c r="AM670" t="s">
        <v>169</v>
      </c>
      <c r="AN670" t="s">
        <v>265</v>
      </c>
      <c r="AO670" t="s">
        <v>171</v>
      </c>
      <c r="AP670" t="s">
        <v>172</v>
      </c>
      <c r="AQ670" t="s">
        <v>74</v>
      </c>
      <c r="AR670" t="s">
        <v>173</v>
      </c>
      <c r="AS670" t="s">
        <v>174</v>
      </c>
      <c r="AT670" t="s">
        <v>12467</v>
      </c>
      <c r="AU670">
        <v>2016</v>
      </c>
      <c r="AV670">
        <v>573</v>
      </c>
      <c r="AW670" t="s">
        <v>74</v>
      </c>
      <c r="AX670" t="s">
        <v>74</v>
      </c>
      <c r="AY670" t="s">
        <v>74</v>
      </c>
      <c r="AZ670" t="s">
        <v>74</v>
      </c>
      <c r="BA670" t="s">
        <v>74</v>
      </c>
      <c r="BB670">
        <v>1380</v>
      </c>
      <c r="BC670">
        <v>1389</v>
      </c>
      <c r="BD670" t="s">
        <v>74</v>
      </c>
      <c r="BE670" t="s">
        <v>12602</v>
      </c>
      <c r="BF670" t="str">
        <f>HYPERLINK("http://dx.doi.org/10.1016/j.scitotenv.2016.07.080","http://dx.doi.org/10.1016/j.scitotenv.2016.07.080")</f>
        <v>http://dx.doi.org/10.1016/j.scitotenv.2016.07.080</v>
      </c>
      <c r="BG670" t="s">
        <v>74</v>
      </c>
      <c r="BH670" t="s">
        <v>74</v>
      </c>
      <c r="BI670">
        <v>10</v>
      </c>
      <c r="BJ670" t="s">
        <v>177</v>
      </c>
      <c r="BK670" t="s">
        <v>101</v>
      </c>
      <c r="BL670" t="s">
        <v>178</v>
      </c>
      <c r="BM670" t="s">
        <v>12603</v>
      </c>
      <c r="BN670">
        <v>27453143</v>
      </c>
      <c r="BO670" t="s">
        <v>74</v>
      </c>
      <c r="BP670" t="s">
        <v>74</v>
      </c>
      <c r="BQ670" t="s">
        <v>74</v>
      </c>
      <c r="BR670" t="s">
        <v>105</v>
      </c>
      <c r="BS670" t="s">
        <v>12604</v>
      </c>
      <c r="BT670" t="str">
        <f>HYPERLINK("https%3A%2F%2Fwww.webofscience.com%2Fwos%2Fwoscc%2Ffull-record%2FWOS:000390071000132","View Full Record in Web of Science")</f>
        <v>View Full Record in Web of Science</v>
      </c>
    </row>
    <row r="671" spans="1:72" x14ac:dyDescent="0.15">
      <c r="A671" t="s">
        <v>72</v>
      </c>
      <c r="B671" t="s">
        <v>12605</v>
      </c>
      <c r="C671" t="s">
        <v>74</v>
      </c>
      <c r="D671" t="s">
        <v>74</v>
      </c>
      <c r="E671" t="s">
        <v>74</v>
      </c>
      <c r="F671" t="s">
        <v>12606</v>
      </c>
      <c r="G671" t="s">
        <v>74</v>
      </c>
      <c r="H671" t="s">
        <v>74</v>
      </c>
      <c r="I671" t="s">
        <v>12607</v>
      </c>
      <c r="J671" t="s">
        <v>155</v>
      </c>
      <c r="K671" t="s">
        <v>74</v>
      </c>
      <c r="L671" t="s">
        <v>74</v>
      </c>
      <c r="M671" t="s">
        <v>78</v>
      </c>
      <c r="N671" t="s">
        <v>79</v>
      </c>
      <c r="O671" t="s">
        <v>74</v>
      </c>
      <c r="P671" t="s">
        <v>74</v>
      </c>
      <c r="Q671" t="s">
        <v>74</v>
      </c>
      <c r="R671" t="s">
        <v>74</v>
      </c>
      <c r="S671" t="s">
        <v>74</v>
      </c>
      <c r="T671" t="s">
        <v>12608</v>
      </c>
      <c r="U671" t="s">
        <v>12609</v>
      </c>
      <c r="V671" t="s">
        <v>12610</v>
      </c>
      <c r="W671" t="s">
        <v>12611</v>
      </c>
      <c r="X671" t="s">
        <v>12612</v>
      </c>
      <c r="Y671" t="s">
        <v>12613</v>
      </c>
      <c r="Z671" t="s">
        <v>12614</v>
      </c>
      <c r="AA671" t="s">
        <v>12615</v>
      </c>
      <c r="AB671" t="s">
        <v>12616</v>
      </c>
      <c r="AC671" t="s">
        <v>12617</v>
      </c>
      <c r="AD671" t="s">
        <v>12618</v>
      </c>
      <c r="AE671" t="s">
        <v>12619</v>
      </c>
      <c r="AF671" t="s">
        <v>74</v>
      </c>
      <c r="AG671">
        <v>61</v>
      </c>
      <c r="AH671">
        <v>16</v>
      </c>
      <c r="AI671">
        <v>17</v>
      </c>
      <c r="AJ671">
        <v>2</v>
      </c>
      <c r="AK671">
        <v>49</v>
      </c>
      <c r="AL671" t="s">
        <v>264</v>
      </c>
      <c r="AM671" t="s">
        <v>169</v>
      </c>
      <c r="AN671" t="s">
        <v>265</v>
      </c>
      <c r="AO671" t="s">
        <v>171</v>
      </c>
      <c r="AP671" t="s">
        <v>172</v>
      </c>
      <c r="AQ671" t="s">
        <v>74</v>
      </c>
      <c r="AR671" t="s">
        <v>173</v>
      </c>
      <c r="AS671" t="s">
        <v>174</v>
      </c>
      <c r="AT671" t="s">
        <v>12467</v>
      </c>
      <c r="AU671">
        <v>2016</v>
      </c>
      <c r="AV671">
        <v>573</v>
      </c>
      <c r="AW671" t="s">
        <v>74</v>
      </c>
      <c r="AX671" t="s">
        <v>74</v>
      </c>
      <c r="AY671" t="s">
        <v>74</v>
      </c>
      <c r="AZ671" t="s">
        <v>74</v>
      </c>
      <c r="BA671" t="s">
        <v>74</v>
      </c>
      <c r="BB671">
        <v>1390</v>
      </c>
      <c r="BC671">
        <v>1396</v>
      </c>
      <c r="BD671" t="s">
        <v>74</v>
      </c>
      <c r="BE671" t="s">
        <v>12620</v>
      </c>
      <c r="BF671" t="str">
        <f>HYPERLINK("http://dx.doi.org/10.1016/j.scitotenv.2016.07.091","http://dx.doi.org/10.1016/j.scitotenv.2016.07.091")</f>
        <v>http://dx.doi.org/10.1016/j.scitotenv.2016.07.091</v>
      </c>
      <c r="BG671" t="s">
        <v>74</v>
      </c>
      <c r="BH671" t="s">
        <v>74</v>
      </c>
      <c r="BI671">
        <v>7</v>
      </c>
      <c r="BJ671" t="s">
        <v>177</v>
      </c>
      <c r="BK671" t="s">
        <v>101</v>
      </c>
      <c r="BL671" t="s">
        <v>178</v>
      </c>
      <c r="BM671" t="s">
        <v>12603</v>
      </c>
      <c r="BN671">
        <v>27450255</v>
      </c>
      <c r="BO671" t="s">
        <v>74</v>
      </c>
      <c r="BP671" t="s">
        <v>74</v>
      </c>
      <c r="BQ671" t="s">
        <v>74</v>
      </c>
      <c r="BR671" t="s">
        <v>105</v>
      </c>
      <c r="BS671" t="s">
        <v>12621</v>
      </c>
      <c r="BT671" t="str">
        <f>HYPERLINK("https%3A%2F%2Fwww.webofscience.com%2Fwos%2Fwoscc%2Ffull-record%2FWOS:000390071000133","View Full Record in Web of Science")</f>
        <v>View Full Record in Web of Science</v>
      </c>
    </row>
    <row r="672" spans="1:72" x14ac:dyDescent="0.15">
      <c r="A672" t="s">
        <v>72</v>
      </c>
      <c r="B672" t="s">
        <v>12622</v>
      </c>
      <c r="C672" t="s">
        <v>74</v>
      </c>
      <c r="D672" t="s">
        <v>74</v>
      </c>
      <c r="E672" t="s">
        <v>74</v>
      </c>
      <c r="F672" t="s">
        <v>12623</v>
      </c>
      <c r="G672" t="s">
        <v>74</v>
      </c>
      <c r="H672" t="s">
        <v>74</v>
      </c>
      <c r="I672" t="s">
        <v>12624</v>
      </c>
      <c r="J672" t="s">
        <v>1187</v>
      </c>
      <c r="K672" t="s">
        <v>74</v>
      </c>
      <c r="L672" t="s">
        <v>74</v>
      </c>
      <c r="M672" t="s">
        <v>78</v>
      </c>
      <c r="N672" t="s">
        <v>79</v>
      </c>
      <c r="O672" t="s">
        <v>74</v>
      </c>
      <c r="P672" t="s">
        <v>74</v>
      </c>
      <c r="Q672" t="s">
        <v>74</v>
      </c>
      <c r="R672" t="s">
        <v>74</v>
      </c>
      <c r="S672" t="s">
        <v>74</v>
      </c>
      <c r="T672" t="s">
        <v>12625</v>
      </c>
      <c r="U672" t="s">
        <v>12626</v>
      </c>
      <c r="V672" t="s">
        <v>12627</v>
      </c>
      <c r="W672" t="s">
        <v>12628</v>
      </c>
      <c r="X672" t="s">
        <v>12629</v>
      </c>
      <c r="Y672" t="s">
        <v>12630</v>
      </c>
      <c r="Z672" t="s">
        <v>12631</v>
      </c>
      <c r="AA672" t="s">
        <v>12632</v>
      </c>
      <c r="AB672" t="s">
        <v>12633</v>
      </c>
      <c r="AC672" t="s">
        <v>12634</v>
      </c>
      <c r="AD672" t="s">
        <v>12635</v>
      </c>
      <c r="AE672" t="s">
        <v>12636</v>
      </c>
      <c r="AF672" t="s">
        <v>74</v>
      </c>
      <c r="AG672">
        <v>83</v>
      </c>
      <c r="AH672">
        <v>29</v>
      </c>
      <c r="AI672">
        <v>31</v>
      </c>
      <c r="AJ672">
        <v>0</v>
      </c>
      <c r="AK672">
        <v>43</v>
      </c>
      <c r="AL672" t="s">
        <v>168</v>
      </c>
      <c r="AM672" t="s">
        <v>169</v>
      </c>
      <c r="AN672" t="s">
        <v>170</v>
      </c>
      <c r="AO672" t="s">
        <v>1200</v>
      </c>
      <c r="AP672" t="s">
        <v>1201</v>
      </c>
      <c r="AQ672" t="s">
        <v>74</v>
      </c>
      <c r="AR672" t="s">
        <v>1202</v>
      </c>
      <c r="AS672" t="s">
        <v>1203</v>
      </c>
      <c r="AT672" t="s">
        <v>12467</v>
      </c>
      <c r="AU672">
        <v>2016</v>
      </c>
      <c r="AV672">
        <v>456</v>
      </c>
      <c r="AW672" t="s">
        <v>74</v>
      </c>
      <c r="AX672" t="s">
        <v>74</v>
      </c>
      <c r="AY672" t="s">
        <v>74</v>
      </c>
      <c r="AZ672" t="s">
        <v>74</v>
      </c>
      <c r="BA672" t="s">
        <v>74</v>
      </c>
      <c r="BB672">
        <v>87</v>
      </c>
      <c r="BC672">
        <v>97</v>
      </c>
      <c r="BD672" t="s">
        <v>74</v>
      </c>
      <c r="BE672" t="s">
        <v>12637</v>
      </c>
      <c r="BF672" t="str">
        <f>HYPERLINK("http://dx.doi.org/10.1016/j.epsl.2016.09.043","http://dx.doi.org/10.1016/j.epsl.2016.09.043")</f>
        <v>http://dx.doi.org/10.1016/j.epsl.2016.09.043</v>
      </c>
      <c r="BG672" t="s">
        <v>74</v>
      </c>
      <c r="BH672" t="s">
        <v>74</v>
      </c>
      <c r="BI672">
        <v>11</v>
      </c>
      <c r="BJ672" t="s">
        <v>299</v>
      </c>
      <c r="BK672" t="s">
        <v>101</v>
      </c>
      <c r="BL672" t="s">
        <v>299</v>
      </c>
      <c r="BM672" t="s">
        <v>12638</v>
      </c>
      <c r="BN672" t="s">
        <v>74</v>
      </c>
      <c r="BO672" t="s">
        <v>301</v>
      </c>
      <c r="BP672" t="s">
        <v>74</v>
      </c>
      <c r="BQ672" t="s">
        <v>74</v>
      </c>
      <c r="BR672" t="s">
        <v>105</v>
      </c>
      <c r="BS672" t="s">
        <v>12639</v>
      </c>
      <c r="BT672" t="str">
        <f>HYPERLINK("https%3A%2F%2Fwww.webofscience.com%2Fwos%2Fwoscc%2Ffull-record%2FWOS:000387526500009","View Full Record in Web of Science")</f>
        <v>View Full Record in Web of Science</v>
      </c>
    </row>
    <row r="673" spans="1:72" x14ac:dyDescent="0.15">
      <c r="A673" t="s">
        <v>72</v>
      </c>
      <c r="B673" t="s">
        <v>12640</v>
      </c>
      <c r="C673" t="s">
        <v>74</v>
      </c>
      <c r="D673" t="s">
        <v>74</v>
      </c>
      <c r="E673" t="s">
        <v>74</v>
      </c>
      <c r="F673" t="s">
        <v>12641</v>
      </c>
      <c r="G673" t="s">
        <v>74</v>
      </c>
      <c r="H673" t="s">
        <v>74</v>
      </c>
      <c r="I673" t="s">
        <v>12642</v>
      </c>
      <c r="J673" t="s">
        <v>12097</v>
      </c>
      <c r="K673" t="s">
        <v>74</v>
      </c>
      <c r="L673" t="s">
        <v>74</v>
      </c>
      <c r="M673" t="s">
        <v>78</v>
      </c>
      <c r="N673" t="s">
        <v>79</v>
      </c>
      <c r="O673" t="s">
        <v>74</v>
      </c>
      <c r="P673" t="s">
        <v>74</v>
      </c>
      <c r="Q673" t="s">
        <v>74</v>
      </c>
      <c r="R673" t="s">
        <v>74</v>
      </c>
      <c r="S673" t="s">
        <v>74</v>
      </c>
      <c r="T673" t="s">
        <v>12643</v>
      </c>
      <c r="U673" t="s">
        <v>12644</v>
      </c>
      <c r="V673" t="s">
        <v>12645</v>
      </c>
      <c r="W673" t="s">
        <v>12646</v>
      </c>
      <c r="X673" t="s">
        <v>12647</v>
      </c>
      <c r="Y673" t="s">
        <v>12648</v>
      </c>
      <c r="Z673" t="s">
        <v>12649</v>
      </c>
      <c r="AA673" t="s">
        <v>12650</v>
      </c>
      <c r="AB673" t="s">
        <v>12651</v>
      </c>
      <c r="AC673" t="s">
        <v>12652</v>
      </c>
      <c r="AD673" t="s">
        <v>12653</v>
      </c>
      <c r="AE673" t="s">
        <v>12654</v>
      </c>
      <c r="AF673" t="s">
        <v>74</v>
      </c>
      <c r="AG673">
        <v>95</v>
      </c>
      <c r="AH673">
        <v>27</v>
      </c>
      <c r="AI673">
        <v>29</v>
      </c>
      <c r="AJ673">
        <v>2</v>
      </c>
      <c r="AK673">
        <v>49</v>
      </c>
      <c r="AL673" t="s">
        <v>5554</v>
      </c>
      <c r="AM673" t="s">
        <v>5555</v>
      </c>
      <c r="AN673" t="s">
        <v>5556</v>
      </c>
      <c r="AO673" t="s">
        <v>12109</v>
      </c>
      <c r="AP673" t="s">
        <v>12110</v>
      </c>
      <c r="AQ673" t="s">
        <v>74</v>
      </c>
      <c r="AR673" t="s">
        <v>12111</v>
      </c>
      <c r="AS673" t="s">
        <v>12112</v>
      </c>
      <c r="AT673" t="s">
        <v>12467</v>
      </c>
      <c r="AU673">
        <v>2016</v>
      </c>
      <c r="AV673">
        <v>561</v>
      </c>
      <c r="AW673" t="s">
        <v>74</v>
      </c>
      <c r="AX673" t="s">
        <v>74</v>
      </c>
      <c r="AY673" t="s">
        <v>74</v>
      </c>
      <c r="AZ673" t="s">
        <v>74</v>
      </c>
      <c r="BA673" t="s">
        <v>74</v>
      </c>
      <c r="BB673">
        <v>31</v>
      </c>
      <c r="BC673">
        <v>50</v>
      </c>
      <c r="BD673" t="s">
        <v>74</v>
      </c>
      <c r="BE673" t="s">
        <v>12655</v>
      </c>
      <c r="BF673" t="str">
        <f>HYPERLINK("http://dx.doi.org/10.3354/meps11903","http://dx.doi.org/10.3354/meps11903")</f>
        <v>http://dx.doi.org/10.3354/meps11903</v>
      </c>
      <c r="BG673" t="s">
        <v>74</v>
      </c>
      <c r="BH673" t="s">
        <v>74</v>
      </c>
      <c r="BI673">
        <v>20</v>
      </c>
      <c r="BJ673" t="s">
        <v>12115</v>
      </c>
      <c r="BK673" t="s">
        <v>101</v>
      </c>
      <c r="BL673" t="s">
        <v>12116</v>
      </c>
      <c r="BM673" t="s">
        <v>12469</v>
      </c>
      <c r="BN673" t="s">
        <v>74</v>
      </c>
      <c r="BO673" t="s">
        <v>74</v>
      </c>
      <c r="BP673" t="s">
        <v>74</v>
      </c>
      <c r="BQ673" t="s">
        <v>74</v>
      </c>
      <c r="BR673" t="s">
        <v>105</v>
      </c>
      <c r="BS673" t="s">
        <v>12656</v>
      </c>
      <c r="BT673" t="str">
        <f>HYPERLINK("https%3A%2F%2Fwww.webofscience.com%2Fwos%2Fwoscc%2Ffull-record%2FWOS:000391695800003","View Full Record in Web of Science")</f>
        <v>View Full Record in Web of Science</v>
      </c>
    </row>
    <row r="674" spans="1:72" x14ac:dyDescent="0.15">
      <c r="A674" t="s">
        <v>72</v>
      </c>
      <c r="B674" t="s">
        <v>12657</v>
      </c>
      <c r="C674" t="s">
        <v>74</v>
      </c>
      <c r="D674" t="s">
        <v>74</v>
      </c>
      <c r="E674" t="s">
        <v>74</v>
      </c>
      <c r="F674" t="s">
        <v>12658</v>
      </c>
      <c r="G674" t="s">
        <v>74</v>
      </c>
      <c r="H674" t="s">
        <v>74</v>
      </c>
      <c r="I674" t="s">
        <v>12659</v>
      </c>
      <c r="J674" t="s">
        <v>12097</v>
      </c>
      <c r="K674" t="s">
        <v>74</v>
      </c>
      <c r="L674" t="s">
        <v>74</v>
      </c>
      <c r="M674" t="s">
        <v>78</v>
      </c>
      <c r="N674" t="s">
        <v>79</v>
      </c>
      <c r="O674" t="s">
        <v>74</v>
      </c>
      <c r="P674" t="s">
        <v>74</v>
      </c>
      <c r="Q674" t="s">
        <v>74</v>
      </c>
      <c r="R674" t="s">
        <v>74</v>
      </c>
      <c r="S674" t="s">
        <v>74</v>
      </c>
      <c r="T674" t="s">
        <v>12660</v>
      </c>
      <c r="U674" t="s">
        <v>12661</v>
      </c>
      <c r="V674" t="s">
        <v>12662</v>
      </c>
      <c r="W674" t="s">
        <v>12663</v>
      </c>
      <c r="X674" t="s">
        <v>12664</v>
      </c>
      <c r="Y674" t="s">
        <v>12665</v>
      </c>
      <c r="Z674" t="s">
        <v>12666</v>
      </c>
      <c r="AA674" t="s">
        <v>12667</v>
      </c>
      <c r="AB674" t="s">
        <v>12668</v>
      </c>
      <c r="AC674" t="s">
        <v>12669</v>
      </c>
      <c r="AD674" t="s">
        <v>1608</v>
      </c>
      <c r="AE674" t="s">
        <v>12670</v>
      </c>
      <c r="AF674" t="s">
        <v>74</v>
      </c>
      <c r="AG674">
        <v>53</v>
      </c>
      <c r="AH674">
        <v>17</v>
      </c>
      <c r="AI674">
        <v>18</v>
      </c>
      <c r="AJ674">
        <v>2</v>
      </c>
      <c r="AK674">
        <v>20</v>
      </c>
      <c r="AL674" t="s">
        <v>5554</v>
      </c>
      <c r="AM674" t="s">
        <v>5555</v>
      </c>
      <c r="AN674" t="s">
        <v>5556</v>
      </c>
      <c r="AO674" t="s">
        <v>12109</v>
      </c>
      <c r="AP674" t="s">
        <v>12110</v>
      </c>
      <c r="AQ674" t="s">
        <v>74</v>
      </c>
      <c r="AR674" t="s">
        <v>12111</v>
      </c>
      <c r="AS674" t="s">
        <v>12112</v>
      </c>
      <c r="AT674" t="s">
        <v>12467</v>
      </c>
      <c r="AU674">
        <v>2016</v>
      </c>
      <c r="AV674">
        <v>561</v>
      </c>
      <c r="AW674" t="s">
        <v>74</v>
      </c>
      <c r="AX674" t="s">
        <v>74</v>
      </c>
      <c r="AY674" t="s">
        <v>74</v>
      </c>
      <c r="AZ674" t="s">
        <v>74</v>
      </c>
      <c r="BA674" t="s">
        <v>74</v>
      </c>
      <c r="BB674">
        <v>99</v>
      </c>
      <c r="BC674">
        <v>107</v>
      </c>
      <c r="BD674" t="s">
        <v>74</v>
      </c>
      <c r="BE674" t="s">
        <v>12671</v>
      </c>
      <c r="BF674" t="str">
        <f>HYPERLINK("http://dx.doi.org/10.3354/meps11946","http://dx.doi.org/10.3354/meps11946")</f>
        <v>http://dx.doi.org/10.3354/meps11946</v>
      </c>
      <c r="BG674" t="s">
        <v>74</v>
      </c>
      <c r="BH674" t="s">
        <v>74</v>
      </c>
      <c r="BI674">
        <v>9</v>
      </c>
      <c r="BJ674" t="s">
        <v>12115</v>
      </c>
      <c r="BK674" t="s">
        <v>101</v>
      </c>
      <c r="BL674" t="s">
        <v>12116</v>
      </c>
      <c r="BM674" t="s">
        <v>12469</v>
      </c>
      <c r="BN674" t="s">
        <v>74</v>
      </c>
      <c r="BO674" t="s">
        <v>74</v>
      </c>
      <c r="BP674" t="s">
        <v>74</v>
      </c>
      <c r="BQ674" t="s">
        <v>74</v>
      </c>
      <c r="BR674" t="s">
        <v>105</v>
      </c>
      <c r="BS674" t="s">
        <v>12672</v>
      </c>
      <c r="BT674" t="str">
        <f>HYPERLINK("https%3A%2F%2Fwww.webofscience.com%2Fwos%2Fwoscc%2Ffull-record%2FWOS:000391695800007","View Full Record in Web of Science")</f>
        <v>View Full Record in Web of Science</v>
      </c>
    </row>
    <row r="675" spans="1:72" x14ac:dyDescent="0.15">
      <c r="A675" t="s">
        <v>72</v>
      </c>
      <c r="B675" t="s">
        <v>12673</v>
      </c>
      <c r="C675" t="s">
        <v>74</v>
      </c>
      <c r="D675" t="s">
        <v>74</v>
      </c>
      <c r="E675" t="s">
        <v>74</v>
      </c>
      <c r="F675" t="s">
        <v>12674</v>
      </c>
      <c r="G675" t="s">
        <v>74</v>
      </c>
      <c r="H675" t="s">
        <v>74</v>
      </c>
      <c r="I675" t="s">
        <v>12675</v>
      </c>
      <c r="J675" t="s">
        <v>769</v>
      </c>
      <c r="K675" t="s">
        <v>74</v>
      </c>
      <c r="L675" t="s">
        <v>74</v>
      </c>
      <c r="M675" t="s">
        <v>78</v>
      </c>
      <c r="N675" t="s">
        <v>79</v>
      </c>
      <c r="O675" t="s">
        <v>74</v>
      </c>
      <c r="P675" t="s">
        <v>74</v>
      </c>
      <c r="Q675" t="s">
        <v>74</v>
      </c>
      <c r="R675" t="s">
        <v>74</v>
      </c>
      <c r="S675" t="s">
        <v>74</v>
      </c>
      <c r="T675" t="s">
        <v>74</v>
      </c>
      <c r="U675" t="s">
        <v>12676</v>
      </c>
      <c r="V675" t="s">
        <v>12677</v>
      </c>
      <c r="W675" t="s">
        <v>12678</v>
      </c>
      <c r="X675" t="s">
        <v>12679</v>
      </c>
      <c r="Y675" t="s">
        <v>12680</v>
      </c>
      <c r="Z675" t="s">
        <v>12681</v>
      </c>
      <c r="AA675" t="s">
        <v>12682</v>
      </c>
      <c r="AB675" t="s">
        <v>12683</v>
      </c>
      <c r="AC675" t="s">
        <v>12684</v>
      </c>
      <c r="AD675" t="s">
        <v>12684</v>
      </c>
      <c r="AE675" t="s">
        <v>12685</v>
      </c>
      <c r="AF675" t="s">
        <v>74</v>
      </c>
      <c r="AG675">
        <v>84</v>
      </c>
      <c r="AH675">
        <v>7</v>
      </c>
      <c r="AI675">
        <v>7</v>
      </c>
      <c r="AJ675">
        <v>1</v>
      </c>
      <c r="AK675">
        <v>29</v>
      </c>
      <c r="AL675" t="s">
        <v>781</v>
      </c>
      <c r="AM675" t="s">
        <v>782</v>
      </c>
      <c r="AN675" t="s">
        <v>783</v>
      </c>
      <c r="AO675" t="s">
        <v>784</v>
      </c>
      <c r="AP675" t="s">
        <v>74</v>
      </c>
      <c r="AQ675" t="s">
        <v>74</v>
      </c>
      <c r="AR675" t="s">
        <v>769</v>
      </c>
      <c r="AS675" t="s">
        <v>785</v>
      </c>
      <c r="AT675" t="s">
        <v>12467</v>
      </c>
      <c r="AU675">
        <v>2016</v>
      </c>
      <c r="AV675">
        <v>11</v>
      </c>
      <c r="AW675">
        <v>12</v>
      </c>
      <c r="AX675" t="s">
        <v>74</v>
      </c>
      <c r="AY675" t="s">
        <v>74</v>
      </c>
      <c r="AZ675" t="s">
        <v>74</v>
      </c>
      <c r="BA675" t="s">
        <v>74</v>
      </c>
      <c r="BB675" t="s">
        <v>74</v>
      </c>
      <c r="BC675" t="s">
        <v>74</v>
      </c>
      <c r="BD675" t="s">
        <v>12686</v>
      </c>
      <c r="BE675" t="s">
        <v>12687</v>
      </c>
      <c r="BF675" t="str">
        <f>HYPERLINK("http://dx.doi.org/10.1371/journal.pone.0168454","http://dx.doi.org/10.1371/journal.pone.0168454")</f>
        <v>http://dx.doi.org/10.1371/journal.pone.0168454</v>
      </c>
      <c r="BG675" t="s">
        <v>74</v>
      </c>
      <c r="BH675" t="s">
        <v>74</v>
      </c>
      <c r="BI675">
        <v>21</v>
      </c>
      <c r="BJ675" t="s">
        <v>100</v>
      </c>
      <c r="BK675" t="s">
        <v>101</v>
      </c>
      <c r="BL675" t="s">
        <v>102</v>
      </c>
      <c r="BM675" t="s">
        <v>12688</v>
      </c>
      <c r="BN675">
        <v>27977809</v>
      </c>
      <c r="BO675" t="s">
        <v>12250</v>
      </c>
      <c r="BP675" t="s">
        <v>74</v>
      </c>
      <c r="BQ675" t="s">
        <v>74</v>
      </c>
      <c r="BR675" t="s">
        <v>105</v>
      </c>
      <c r="BS675" t="s">
        <v>12689</v>
      </c>
      <c r="BT675" t="str">
        <f>HYPERLINK("https%3A%2F%2Fwww.webofscience.com%2Fwos%2Fwoscc%2Ffull-record%2FWOS:000391217400109","View Full Record in Web of Science")</f>
        <v>View Full Record in Web of Science</v>
      </c>
    </row>
    <row r="676" spans="1:72" x14ac:dyDescent="0.15">
      <c r="A676" t="s">
        <v>72</v>
      </c>
      <c r="B676" t="s">
        <v>12690</v>
      </c>
      <c r="C676" t="s">
        <v>74</v>
      </c>
      <c r="D676" t="s">
        <v>74</v>
      </c>
      <c r="E676" t="s">
        <v>74</v>
      </c>
      <c r="F676" t="s">
        <v>12691</v>
      </c>
      <c r="G676" t="s">
        <v>74</v>
      </c>
      <c r="H676" t="s">
        <v>74</v>
      </c>
      <c r="I676" t="s">
        <v>12692</v>
      </c>
      <c r="J676" t="s">
        <v>12502</v>
      </c>
      <c r="K676" t="s">
        <v>74</v>
      </c>
      <c r="L676" t="s">
        <v>74</v>
      </c>
      <c r="M676" t="s">
        <v>78</v>
      </c>
      <c r="N676" t="s">
        <v>79</v>
      </c>
      <c r="O676" t="s">
        <v>74</v>
      </c>
      <c r="P676" t="s">
        <v>74</v>
      </c>
      <c r="Q676" t="s">
        <v>74</v>
      </c>
      <c r="R676" t="s">
        <v>74</v>
      </c>
      <c r="S676" t="s">
        <v>74</v>
      </c>
      <c r="T676" t="s">
        <v>12693</v>
      </c>
      <c r="U676" t="s">
        <v>12694</v>
      </c>
      <c r="V676" t="s">
        <v>12695</v>
      </c>
      <c r="W676" t="s">
        <v>12696</v>
      </c>
      <c r="X676" t="s">
        <v>12697</v>
      </c>
      <c r="Y676" t="s">
        <v>12698</v>
      </c>
      <c r="Z676" t="s">
        <v>12699</v>
      </c>
      <c r="AA676" t="s">
        <v>12700</v>
      </c>
      <c r="AB676" t="s">
        <v>12701</v>
      </c>
      <c r="AC676" t="s">
        <v>12702</v>
      </c>
      <c r="AD676" t="s">
        <v>12703</v>
      </c>
      <c r="AE676" t="s">
        <v>12704</v>
      </c>
      <c r="AF676" t="s">
        <v>74</v>
      </c>
      <c r="AG676">
        <v>86</v>
      </c>
      <c r="AH676">
        <v>10</v>
      </c>
      <c r="AI676">
        <v>15</v>
      </c>
      <c r="AJ676">
        <v>2</v>
      </c>
      <c r="AK676">
        <v>38</v>
      </c>
      <c r="AL676" t="s">
        <v>291</v>
      </c>
      <c r="AM676" t="s">
        <v>292</v>
      </c>
      <c r="AN676" t="s">
        <v>293</v>
      </c>
      <c r="AO676" t="s">
        <v>12514</v>
      </c>
      <c r="AP676" t="s">
        <v>12515</v>
      </c>
      <c r="AQ676" t="s">
        <v>74</v>
      </c>
      <c r="AR676" t="s">
        <v>12516</v>
      </c>
      <c r="AS676" t="s">
        <v>12517</v>
      </c>
      <c r="AT676" t="s">
        <v>12467</v>
      </c>
      <c r="AU676">
        <v>2016</v>
      </c>
      <c r="AV676">
        <v>425</v>
      </c>
      <c r="AW676" t="s">
        <v>74</v>
      </c>
      <c r="AX676" t="s">
        <v>74</v>
      </c>
      <c r="AY676" t="s">
        <v>74</v>
      </c>
      <c r="AZ676" t="s">
        <v>74</v>
      </c>
      <c r="BA676" t="s">
        <v>74</v>
      </c>
      <c r="BB676">
        <v>445</v>
      </c>
      <c r="BC676">
        <v>452</v>
      </c>
      <c r="BD676" t="s">
        <v>74</v>
      </c>
      <c r="BE676" t="s">
        <v>12705</v>
      </c>
      <c r="BF676" t="str">
        <f>HYPERLINK("http://dx.doi.org/10.1016/j.quaint.2016.09.020","http://dx.doi.org/10.1016/j.quaint.2016.09.020")</f>
        <v>http://dx.doi.org/10.1016/j.quaint.2016.09.020</v>
      </c>
      <c r="BG676" t="s">
        <v>74</v>
      </c>
      <c r="BH676" t="s">
        <v>74</v>
      </c>
      <c r="BI676">
        <v>8</v>
      </c>
      <c r="BJ676" t="s">
        <v>615</v>
      </c>
      <c r="BK676" t="s">
        <v>101</v>
      </c>
      <c r="BL676" t="s">
        <v>616</v>
      </c>
      <c r="BM676" t="s">
        <v>12519</v>
      </c>
      <c r="BN676" t="s">
        <v>74</v>
      </c>
      <c r="BO676" t="s">
        <v>506</v>
      </c>
      <c r="BP676" t="s">
        <v>74</v>
      </c>
      <c r="BQ676" t="s">
        <v>74</v>
      </c>
      <c r="BR676" t="s">
        <v>105</v>
      </c>
      <c r="BS676" t="s">
        <v>12706</v>
      </c>
      <c r="BT676" t="str">
        <f>HYPERLINK("https%3A%2F%2Fwww.webofscience.com%2Fwos%2Fwoscc%2Ffull-record%2FWOS:000390534700031","View Full Record in Web of Science")</f>
        <v>View Full Record in Web of Science</v>
      </c>
    </row>
    <row r="677" spans="1:72" x14ac:dyDescent="0.15">
      <c r="A677" t="s">
        <v>72</v>
      </c>
      <c r="B677" t="s">
        <v>12707</v>
      </c>
      <c r="C677" t="s">
        <v>74</v>
      </c>
      <c r="D677" t="s">
        <v>74</v>
      </c>
      <c r="E677" t="s">
        <v>74</v>
      </c>
      <c r="F677" t="s">
        <v>12708</v>
      </c>
      <c r="G677" t="s">
        <v>74</v>
      </c>
      <c r="H677" t="s">
        <v>74</v>
      </c>
      <c r="I677" t="s">
        <v>12709</v>
      </c>
      <c r="J677" t="s">
        <v>12502</v>
      </c>
      <c r="K677" t="s">
        <v>74</v>
      </c>
      <c r="L677" t="s">
        <v>74</v>
      </c>
      <c r="M677" t="s">
        <v>78</v>
      </c>
      <c r="N677" t="s">
        <v>79</v>
      </c>
      <c r="O677" t="s">
        <v>74</v>
      </c>
      <c r="P677" t="s">
        <v>74</v>
      </c>
      <c r="Q677" t="s">
        <v>74</v>
      </c>
      <c r="R677" t="s">
        <v>74</v>
      </c>
      <c r="S677" t="s">
        <v>74</v>
      </c>
      <c r="T677" t="s">
        <v>12710</v>
      </c>
      <c r="U677" t="s">
        <v>12711</v>
      </c>
      <c r="V677" t="s">
        <v>12712</v>
      </c>
      <c r="W677" t="s">
        <v>12713</v>
      </c>
      <c r="X677" t="s">
        <v>12714</v>
      </c>
      <c r="Y677" t="s">
        <v>12715</v>
      </c>
      <c r="Z677" t="s">
        <v>12716</v>
      </c>
      <c r="AA677" t="s">
        <v>74</v>
      </c>
      <c r="AB677" t="s">
        <v>12717</v>
      </c>
      <c r="AC677" t="s">
        <v>12718</v>
      </c>
      <c r="AD677" t="s">
        <v>12718</v>
      </c>
      <c r="AE677" t="s">
        <v>12719</v>
      </c>
      <c r="AF677" t="s">
        <v>74</v>
      </c>
      <c r="AG677">
        <v>86</v>
      </c>
      <c r="AH677">
        <v>10</v>
      </c>
      <c r="AI677">
        <v>10</v>
      </c>
      <c r="AJ677">
        <v>0</v>
      </c>
      <c r="AK677">
        <v>21</v>
      </c>
      <c r="AL677" t="s">
        <v>291</v>
      </c>
      <c r="AM677" t="s">
        <v>292</v>
      </c>
      <c r="AN677" t="s">
        <v>293</v>
      </c>
      <c r="AO677" t="s">
        <v>12514</v>
      </c>
      <c r="AP677" t="s">
        <v>12515</v>
      </c>
      <c r="AQ677" t="s">
        <v>74</v>
      </c>
      <c r="AR677" t="s">
        <v>12516</v>
      </c>
      <c r="AS677" t="s">
        <v>12517</v>
      </c>
      <c r="AT677" t="s">
        <v>12467</v>
      </c>
      <c r="AU677">
        <v>2016</v>
      </c>
      <c r="AV677">
        <v>425</v>
      </c>
      <c r="AW677" t="s">
        <v>74</v>
      </c>
      <c r="AX677" t="s">
        <v>74</v>
      </c>
      <c r="AY677" t="s">
        <v>74</v>
      </c>
      <c r="AZ677" t="s">
        <v>74</v>
      </c>
      <c r="BA677" t="s">
        <v>74</v>
      </c>
      <c r="BB677">
        <v>453</v>
      </c>
      <c r="BC677">
        <v>463</v>
      </c>
      <c r="BD677" t="s">
        <v>74</v>
      </c>
      <c r="BE677" t="s">
        <v>12720</v>
      </c>
      <c r="BF677" t="str">
        <f>HYPERLINK("http://dx.doi.org/10.1016/j.quaint.2016.09.032","http://dx.doi.org/10.1016/j.quaint.2016.09.032")</f>
        <v>http://dx.doi.org/10.1016/j.quaint.2016.09.032</v>
      </c>
      <c r="BG677" t="s">
        <v>74</v>
      </c>
      <c r="BH677" t="s">
        <v>74</v>
      </c>
      <c r="BI677">
        <v>11</v>
      </c>
      <c r="BJ677" t="s">
        <v>615</v>
      </c>
      <c r="BK677" t="s">
        <v>101</v>
      </c>
      <c r="BL677" t="s">
        <v>616</v>
      </c>
      <c r="BM677" t="s">
        <v>12519</v>
      </c>
      <c r="BN677" t="s">
        <v>74</v>
      </c>
      <c r="BO677" t="s">
        <v>74</v>
      </c>
      <c r="BP677" t="s">
        <v>74</v>
      </c>
      <c r="BQ677" t="s">
        <v>74</v>
      </c>
      <c r="BR677" t="s">
        <v>105</v>
      </c>
      <c r="BS677" t="s">
        <v>12721</v>
      </c>
      <c r="BT677" t="str">
        <f>HYPERLINK("https%3A%2F%2Fwww.webofscience.com%2Fwos%2Fwoscc%2Ffull-record%2FWOS:000390534700032","View Full Record in Web of Science")</f>
        <v>View Full Record in Web of Science</v>
      </c>
    </row>
    <row r="678" spans="1:72" x14ac:dyDescent="0.15">
      <c r="A678" t="s">
        <v>72</v>
      </c>
      <c r="B678" t="s">
        <v>12722</v>
      </c>
      <c r="C678" t="s">
        <v>74</v>
      </c>
      <c r="D678" t="s">
        <v>74</v>
      </c>
      <c r="E678" t="s">
        <v>74</v>
      </c>
      <c r="F678" t="s">
        <v>12723</v>
      </c>
      <c r="G678" t="s">
        <v>74</v>
      </c>
      <c r="H678" t="s">
        <v>74</v>
      </c>
      <c r="I678" t="s">
        <v>12724</v>
      </c>
      <c r="J678" t="s">
        <v>9583</v>
      </c>
      <c r="K678" t="s">
        <v>74</v>
      </c>
      <c r="L678" t="s">
        <v>74</v>
      </c>
      <c r="M678" t="s">
        <v>78</v>
      </c>
      <c r="N678" t="s">
        <v>79</v>
      </c>
      <c r="O678" t="s">
        <v>74</v>
      </c>
      <c r="P678" t="s">
        <v>74</v>
      </c>
      <c r="Q678" t="s">
        <v>74</v>
      </c>
      <c r="R678" t="s">
        <v>74</v>
      </c>
      <c r="S678" t="s">
        <v>74</v>
      </c>
      <c r="T678" t="s">
        <v>12725</v>
      </c>
      <c r="U678" t="s">
        <v>12726</v>
      </c>
      <c r="V678" t="s">
        <v>12727</v>
      </c>
      <c r="W678" t="s">
        <v>12728</v>
      </c>
      <c r="X678" t="s">
        <v>12729</v>
      </c>
      <c r="Y678" t="s">
        <v>12730</v>
      </c>
      <c r="Z678" t="s">
        <v>12731</v>
      </c>
      <c r="AA678" t="s">
        <v>12732</v>
      </c>
      <c r="AB678" t="s">
        <v>12733</v>
      </c>
      <c r="AC678" t="s">
        <v>12734</v>
      </c>
      <c r="AD678" t="s">
        <v>12735</v>
      </c>
      <c r="AE678" t="s">
        <v>12736</v>
      </c>
      <c r="AF678" t="s">
        <v>74</v>
      </c>
      <c r="AG678">
        <v>49</v>
      </c>
      <c r="AH678">
        <v>9</v>
      </c>
      <c r="AI678">
        <v>11</v>
      </c>
      <c r="AJ678">
        <v>0</v>
      </c>
      <c r="AK678">
        <v>7</v>
      </c>
      <c r="AL678" t="s">
        <v>291</v>
      </c>
      <c r="AM678" t="s">
        <v>292</v>
      </c>
      <c r="AN678" t="s">
        <v>293</v>
      </c>
      <c r="AO678" t="s">
        <v>9595</v>
      </c>
      <c r="AP678" t="s">
        <v>74</v>
      </c>
      <c r="AQ678" t="s">
        <v>74</v>
      </c>
      <c r="AR678" t="s">
        <v>9596</v>
      </c>
      <c r="AS678" t="s">
        <v>9597</v>
      </c>
      <c r="AT678" t="s">
        <v>12467</v>
      </c>
      <c r="AU678">
        <v>2016</v>
      </c>
      <c r="AV678">
        <v>154</v>
      </c>
      <c r="AW678" t="s">
        <v>74</v>
      </c>
      <c r="AX678" t="s">
        <v>74</v>
      </c>
      <c r="AY678" t="s">
        <v>74</v>
      </c>
      <c r="AZ678" t="s">
        <v>74</v>
      </c>
      <c r="BA678" t="s">
        <v>74</v>
      </c>
      <c r="BB678">
        <v>157</v>
      </c>
      <c r="BC678">
        <v>168</v>
      </c>
      <c r="BD678" t="s">
        <v>74</v>
      </c>
      <c r="BE678" t="s">
        <v>12737</v>
      </c>
      <c r="BF678" t="str">
        <f>HYPERLINK("http://dx.doi.org/10.1016/j.quascirev.2016.11.007","http://dx.doi.org/10.1016/j.quascirev.2016.11.007")</f>
        <v>http://dx.doi.org/10.1016/j.quascirev.2016.11.007</v>
      </c>
      <c r="BG678" t="s">
        <v>74</v>
      </c>
      <c r="BH678" t="s">
        <v>74</v>
      </c>
      <c r="BI678">
        <v>12</v>
      </c>
      <c r="BJ678" t="s">
        <v>615</v>
      </c>
      <c r="BK678" t="s">
        <v>101</v>
      </c>
      <c r="BL678" t="s">
        <v>616</v>
      </c>
      <c r="BM678" t="s">
        <v>12537</v>
      </c>
      <c r="BN678" t="s">
        <v>74</v>
      </c>
      <c r="BO678" t="s">
        <v>1223</v>
      </c>
      <c r="BP678" t="s">
        <v>74</v>
      </c>
      <c r="BQ678" t="s">
        <v>74</v>
      </c>
      <c r="BR678" t="s">
        <v>105</v>
      </c>
      <c r="BS678" t="s">
        <v>12738</v>
      </c>
      <c r="BT678" t="str">
        <f>HYPERLINK("https%3A%2F%2Fwww.webofscience.com%2Fwos%2Fwoscc%2Ffull-record%2FWOS:000390505700008","View Full Record in Web of Science")</f>
        <v>View Full Record in Web of Science</v>
      </c>
    </row>
    <row r="679" spans="1:72" x14ac:dyDescent="0.15">
      <c r="A679" t="s">
        <v>72</v>
      </c>
      <c r="B679" t="s">
        <v>12739</v>
      </c>
      <c r="C679" t="s">
        <v>74</v>
      </c>
      <c r="D679" t="s">
        <v>74</v>
      </c>
      <c r="E679" t="s">
        <v>74</v>
      </c>
      <c r="F679" t="s">
        <v>12740</v>
      </c>
      <c r="G679" t="s">
        <v>74</v>
      </c>
      <c r="H679" t="s">
        <v>74</v>
      </c>
      <c r="I679" t="s">
        <v>12741</v>
      </c>
      <c r="J679" t="s">
        <v>623</v>
      </c>
      <c r="K679" t="s">
        <v>74</v>
      </c>
      <c r="L679" t="s">
        <v>74</v>
      </c>
      <c r="M679" t="s">
        <v>78</v>
      </c>
      <c r="N679" t="s">
        <v>79</v>
      </c>
      <c r="O679" t="s">
        <v>74</v>
      </c>
      <c r="P679" t="s">
        <v>74</v>
      </c>
      <c r="Q679" t="s">
        <v>74</v>
      </c>
      <c r="R679" t="s">
        <v>74</v>
      </c>
      <c r="S679" t="s">
        <v>74</v>
      </c>
      <c r="T679" t="s">
        <v>12742</v>
      </c>
      <c r="U679" t="s">
        <v>12743</v>
      </c>
      <c r="V679" t="s">
        <v>12744</v>
      </c>
      <c r="W679" t="s">
        <v>12745</v>
      </c>
      <c r="X679" t="s">
        <v>12746</v>
      </c>
      <c r="Y679" t="s">
        <v>12747</v>
      </c>
      <c r="Z679" t="s">
        <v>12748</v>
      </c>
      <c r="AA679" t="s">
        <v>12749</v>
      </c>
      <c r="AB679" t="s">
        <v>12750</v>
      </c>
      <c r="AC679" t="s">
        <v>12751</v>
      </c>
      <c r="AD679" t="s">
        <v>12751</v>
      </c>
      <c r="AE679" t="s">
        <v>12752</v>
      </c>
      <c r="AF679" t="s">
        <v>74</v>
      </c>
      <c r="AG679">
        <v>41</v>
      </c>
      <c r="AH679">
        <v>41</v>
      </c>
      <c r="AI679">
        <v>42</v>
      </c>
      <c r="AJ679">
        <v>1</v>
      </c>
      <c r="AK679">
        <v>17</v>
      </c>
      <c r="AL679" t="s">
        <v>636</v>
      </c>
      <c r="AM679" t="s">
        <v>637</v>
      </c>
      <c r="AN679" t="s">
        <v>12753</v>
      </c>
      <c r="AO679" t="s">
        <v>639</v>
      </c>
      <c r="AP679" t="s">
        <v>640</v>
      </c>
      <c r="AQ679" t="s">
        <v>74</v>
      </c>
      <c r="AR679" t="s">
        <v>623</v>
      </c>
      <c r="AS679" t="s">
        <v>641</v>
      </c>
      <c r="AT679" t="s">
        <v>12467</v>
      </c>
      <c r="AU679">
        <v>2016</v>
      </c>
      <c r="AV679">
        <v>4208</v>
      </c>
      <c r="AW679">
        <v>2</v>
      </c>
      <c r="AX679" t="s">
        <v>74</v>
      </c>
      <c r="AY679" t="s">
        <v>74</v>
      </c>
      <c r="AZ679" t="s">
        <v>74</v>
      </c>
      <c r="BA679" t="s">
        <v>74</v>
      </c>
      <c r="BB679">
        <v>176</v>
      </c>
      <c r="BC679">
        <v>188</v>
      </c>
      <c r="BD679" t="s">
        <v>74</v>
      </c>
      <c r="BE679" t="s">
        <v>12754</v>
      </c>
      <c r="BF679" t="str">
        <f>HYPERLINK("http://dx.doi.org/10.11646/zootaxa.4208.2.5","http://dx.doi.org/10.11646/zootaxa.4208.2.5")</f>
        <v>http://dx.doi.org/10.11646/zootaxa.4208.2.5</v>
      </c>
      <c r="BG679" t="s">
        <v>74</v>
      </c>
      <c r="BH679" t="s">
        <v>74</v>
      </c>
      <c r="BI679">
        <v>13</v>
      </c>
      <c r="BJ679" t="s">
        <v>643</v>
      </c>
      <c r="BK679" t="s">
        <v>101</v>
      </c>
      <c r="BL679" t="s">
        <v>643</v>
      </c>
      <c r="BM679" t="s">
        <v>12755</v>
      </c>
      <c r="BN679">
        <v>27988533</v>
      </c>
      <c r="BO679" t="s">
        <v>74</v>
      </c>
      <c r="BP679" t="s">
        <v>74</v>
      </c>
      <c r="BQ679" t="s">
        <v>74</v>
      </c>
      <c r="BR679" t="s">
        <v>105</v>
      </c>
      <c r="BS679" t="s">
        <v>12756</v>
      </c>
      <c r="BT679" t="str">
        <f>HYPERLINK("https%3A%2F%2Fwww.webofscience.com%2Fwos%2Fwoscc%2Ffull-record%2FWOS:000389748300005","View Full Record in Web of Science")</f>
        <v>View Full Record in Web of Science</v>
      </c>
    </row>
    <row r="680" spans="1:72" x14ac:dyDescent="0.15">
      <c r="A680" t="s">
        <v>72</v>
      </c>
      <c r="B680" t="s">
        <v>12757</v>
      </c>
      <c r="C680" t="s">
        <v>74</v>
      </c>
      <c r="D680" t="s">
        <v>74</v>
      </c>
      <c r="E680" t="s">
        <v>74</v>
      </c>
      <c r="F680" t="s">
        <v>12758</v>
      </c>
      <c r="G680" t="s">
        <v>74</v>
      </c>
      <c r="H680" t="s">
        <v>74</v>
      </c>
      <c r="I680" t="s">
        <v>12759</v>
      </c>
      <c r="J680" t="s">
        <v>12760</v>
      </c>
      <c r="K680" t="s">
        <v>74</v>
      </c>
      <c r="L680" t="s">
        <v>74</v>
      </c>
      <c r="M680" t="s">
        <v>78</v>
      </c>
      <c r="N680" t="s">
        <v>2034</v>
      </c>
      <c r="O680" t="s">
        <v>74</v>
      </c>
      <c r="P680" t="s">
        <v>74</v>
      </c>
      <c r="Q680" t="s">
        <v>74</v>
      </c>
      <c r="R680" t="s">
        <v>74</v>
      </c>
      <c r="S680" t="s">
        <v>74</v>
      </c>
      <c r="T680" t="s">
        <v>12761</v>
      </c>
      <c r="U680" t="s">
        <v>12762</v>
      </c>
      <c r="V680" t="s">
        <v>12763</v>
      </c>
      <c r="W680" t="s">
        <v>12764</v>
      </c>
      <c r="X680" t="s">
        <v>12765</v>
      </c>
      <c r="Y680" t="s">
        <v>12766</v>
      </c>
      <c r="Z680" t="s">
        <v>10627</v>
      </c>
      <c r="AA680" t="s">
        <v>12767</v>
      </c>
      <c r="AB680" t="s">
        <v>12768</v>
      </c>
      <c r="AC680" t="s">
        <v>12769</v>
      </c>
      <c r="AD680" t="s">
        <v>12770</v>
      </c>
      <c r="AE680" t="s">
        <v>12771</v>
      </c>
      <c r="AF680" t="s">
        <v>74</v>
      </c>
      <c r="AG680">
        <v>74</v>
      </c>
      <c r="AH680">
        <v>29</v>
      </c>
      <c r="AI680">
        <v>29</v>
      </c>
      <c r="AJ680">
        <v>4</v>
      </c>
      <c r="AK680">
        <v>178</v>
      </c>
      <c r="AL680" t="s">
        <v>92</v>
      </c>
      <c r="AM680" t="s">
        <v>93</v>
      </c>
      <c r="AN680" t="s">
        <v>94</v>
      </c>
      <c r="AO680" t="s">
        <v>12772</v>
      </c>
      <c r="AP680" t="s">
        <v>12773</v>
      </c>
      <c r="AQ680" t="s">
        <v>74</v>
      </c>
      <c r="AR680" t="s">
        <v>12774</v>
      </c>
      <c r="AS680" t="s">
        <v>12775</v>
      </c>
      <c r="AT680" t="s">
        <v>12776</v>
      </c>
      <c r="AU680">
        <v>2016</v>
      </c>
      <c r="AV680">
        <v>283</v>
      </c>
      <c r="AW680">
        <v>1844</v>
      </c>
      <c r="AX680" t="s">
        <v>74</v>
      </c>
      <c r="AY680" t="s">
        <v>74</v>
      </c>
      <c r="AZ680" t="s">
        <v>74</v>
      </c>
      <c r="BA680" t="s">
        <v>74</v>
      </c>
      <c r="BB680" t="s">
        <v>74</v>
      </c>
      <c r="BC680" t="s">
        <v>74</v>
      </c>
      <c r="BD680">
        <v>20161635</v>
      </c>
      <c r="BE680" t="s">
        <v>12777</v>
      </c>
      <c r="BF680" t="str">
        <f>HYPERLINK("http://dx.doi.org/10.1098/rspb.2016.1635","http://dx.doi.org/10.1098/rspb.2016.1635")</f>
        <v>http://dx.doi.org/10.1098/rspb.2016.1635</v>
      </c>
      <c r="BG680" t="s">
        <v>74</v>
      </c>
      <c r="BH680" t="s">
        <v>74</v>
      </c>
      <c r="BI680">
        <v>8</v>
      </c>
      <c r="BJ680" t="s">
        <v>12778</v>
      </c>
      <c r="BK680" t="s">
        <v>245</v>
      </c>
      <c r="BL680" t="s">
        <v>12779</v>
      </c>
      <c r="BM680" t="s">
        <v>12780</v>
      </c>
      <c r="BN680" t="s">
        <v>74</v>
      </c>
      <c r="BO680" t="s">
        <v>11023</v>
      </c>
      <c r="BP680" t="s">
        <v>74</v>
      </c>
      <c r="BQ680" t="s">
        <v>74</v>
      </c>
      <c r="BR680" t="s">
        <v>105</v>
      </c>
      <c r="BS680" t="s">
        <v>12781</v>
      </c>
      <c r="BT680" t="str">
        <f>HYPERLINK("https%3A%2F%2Fwww.webofscience.com%2Fwos%2Fwoscc%2Ffull-record%2FWOS:000390404200013","View Full Record in Web of Science")</f>
        <v>View Full Record in Web of Science</v>
      </c>
    </row>
    <row r="681" spans="1:72" x14ac:dyDescent="0.15">
      <c r="A681" t="s">
        <v>72</v>
      </c>
      <c r="B681" t="s">
        <v>12782</v>
      </c>
      <c r="C681" t="s">
        <v>74</v>
      </c>
      <c r="D681" t="s">
        <v>74</v>
      </c>
      <c r="E681" t="s">
        <v>74</v>
      </c>
      <c r="F681" t="s">
        <v>12783</v>
      </c>
      <c r="G681" t="s">
        <v>74</v>
      </c>
      <c r="H681" t="s">
        <v>74</v>
      </c>
      <c r="I681" t="s">
        <v>12784</v>
      </c>
      <c r="J681" t="s">
        <v>12760</v>
      </c>
      <c r="K681" t="s">
        <v>74</v>
      </c>
      <c r="L681" t="s">
        <v>74</v>
      </c>
      <c r="M681" t="s">
        <v>78</v>
      </c>
      <c r="N681" t="s">
        <v>2034</v>
      </c>
      <c r="O681" t="s">
        <v>74</v>
      </c>
      <c r="P681" t="s">
        <v>74</v>
      </c>
      <c r="Q681" t="s">
        <v>74</v>
      </c>
      <c r="R681" t="s">
        <v>74</v>
      </c>
      <c r="S681" t="s">
        <v>74</v>
      </c>
      <c r="T681" t="s">
        <v>12785</v>
      </c>
      <c r="U681" t="s">
        <v>12786</v>
      </c>
      <c r="V681" t="s">
        <v>12787</v>
      </c>
      <c r="W681" t="s">
        <v>12788</v>
      </c>
      <c r="X681" t="s">
        <v>12789</v>
      </c>
      <c r="Y681" t="s">
        <v>12790</v>
      </c>
      <c r="Z681" t="s">
        <v>12791</v>
      </c>
      <c r="AA681" t="s">
        <v>12792</v>
      </c>
      <c r="AB681" t="s">
        <v>12793</v>
      </c>
      <c r="AC681" t="s">
        <v>12794</v>
      </c>
      <c r="AD681" t="s">
        <v>12795</v>
      </c>
      <c r="AE681" t="s">
        <v>12796</v>
      </c>
      <c r="AF681" t="s">
        <v>74</v>
      </c>
      <c r="AG681">
        <v>61</v>
      </c>
      <c r="AH681">
        <v>82</v>
      </c>
      <c r="AI681">
        <v>85</v>
      </c>
      <c r="AJ681">
        <v>10</v>
      </c>
      <c r="AK681">
        <v>128</v>
      </c>
      <c r="AL681" t="s">
        <v>92</v>
      </c>
      <c r="AM681" t="s">
        <v>93</v>
      </c>
      <c r="AN681" t="s">
        <v>94</v>
      </c>
      <c r="AO681" t="s">
        <v>12772</v>
      </c>
      <c r="AP681" t="s">
        <v>12773</v>
      </c>
      <c r="AQ681" t="s">
        <v>74</v>
      </c>
      <c r="AR681" t="s">
        <v>12774</v>
      </c>
      <c r="AS681" t="s">
        <v>12775</v>
      </c>
      <c r="AT681" t="s">
        <v>12776</v>
      </c>
      <c r="AU681">
        <v>2016</v>
      </c>
      <c r="AV681">
        <v>283</v>
      </c>
      <c r="AW681">
        <v>1844</v>
      </c>
      <c r="AX681" t="s">
        <v>74</v>
      </c>
      <c r="AY681" t="s">
        <v>74</v>
      </c>
      <c r="AZ681" t="s">
        <v>74</v>
      </c>
      <c r="BA681" t="s">
        <v>74</v>
      </c>
      <c r="BB681" t="s">
        <v>74</v>
      </c>
      <c r="BC681" t="s">
        <v>74</v>
      </c>
      <c r="BD681">
        <v>20161646</v>
      </c>
      <c r="BE681" t="s">
        <v>12797</v>
      </c>
      <c r="BF681" t="str">
        <f>HYPERLINK("http://dx.doi.org/10.1098/rspb.2016.1646","http://dx.doi.org/10.1098/rspb.2016.1646")</f>
        <v>http://dx.doi.org/10.1098/rspb.2016.1646</v>
      </c>
      <c r="BG681" t="s">
        <v>74</v>
      </c>
      <c r="BH681" t="s">
        <v>74</v>
      </c>
      <c r="BI681">
        <v>10</v>
      </c>
      <c r="BJ681" t="s">
        <v>12778</v>
      </c>
      <c r="BK681" t="s">
        <v>101</v>
      </c>
      <c r="BL681" t="s">
        <v>12779</v>
      </c>
      <c r="BM681" t="s">
        <v>12780</v>
      </c>
      <c r="BN681">
        <v>27928038</v>
      </c>
      <c r="BO681" t="s">
        <v>11023</v>
      </c>
      <c r="BP681" t="s">
        <v>74</v>
      </c>
      <c r="BQ681" t="s">
        <v>74</v>
      </c>
      <c r="BR681" t="s">
        <v>105</v>
      </c>
      <c r="BS681" t="s">
        <v>12798</v>
      </c>
      <c r="BT681" t="str">
        <f>HYPERLINK("https%3A%2F%2Fwww.webofscience.com%2Fwos%2Fwoscc%2Ffull-record%2FWOS:000390404200014","View Full Record in Web of Science")</f>
        <v>View Full Record in Web of Science</v>
      </c>
    </row>
    <row r="682" spans="1:72" x14ac:dyDescent="0.15">
      <c r="A682" t="s">
        <v>72</v>
      </c>
      <c r="B682" t="s">
        <v>12799</v>
      </c>
      <c r="C682" t="s">
        <v>74</v>
      </c>
      <c r="D682" t="s">
        <v>74</v>
      </c>
      <c r="E682" t="s">
        <v>74</v>
      </c>
      <c r="F682" t="s">
        <v>12800</v>
      </c>
      <c r="G682" t="s">
        <v>74</v>
      </c>
      <c r="H682" t="s">
        <v>74</v>
      </c>
      <c r="I682" t="s">
        <v>12801</v>
      </c>
      <c r="J682" t="s">
        <v>12760</v>
      </c>
      <c r="K682" t="s">
        <v>74</v>
      </c>
      <c r="L682" t="s">
        <v>74</v>
      </c>
      <c r="M682" t="s">
        <v>78</v>
      </c>
      <c r="N682" t="s">
        <v>2034</v>
      </c>
      <c r="O682" t="s">
        <v>74</v>
      </c>
      <c r="P682" t="s">
        <v>74</v>
      </c>
      <c r="Q682" t="s">
        <v>74</v>
      </c>
      <c r="R682" t="s">
        <v>74</v>
      </c>
      <c r="S682" t="s">
        <v>74</v>
      </c>
      <c r="T682" t="s">
        <v>12802</v>
      </c>
      <c r="U682" t="s">
        <v>12803</v>
      </c>
      <c r="V682" t="s">
        <v>12804</v>
      </c>
      <c r="W682" t="s">
        <v>12805</v>
      </c>
      <c r="X682" t="s">
        <v>12806</v>
      </c>
      <c r="Y682" t="s">
        <v>12807</v>
      </c>
      <c r="Z682" t="s">
        <v>12808</v>
      </c>
      <c r="AA682" t="s">
        <v>12809</v>
      </c>
      <c r="AB682" t="s">
        <v>12810</v>
      </c>
      <c r="AC682" t="s">
        <v>12811</v>
      </c>
      <c r="AD682" t="s">
        <v>12812</v>
      </c>
      <c r="AE682" t="s">
        <v>12813</v>
      </c>
      <c r="AF682" t="s">
        <v>74</v>
      </c>
      <c r="AG682">
        <v>101</v>
      </c>
      <c r="AH682">
        <v>68</v>
      </c>
      <c r="AI682">
        <v>74</v>
      </c>
      <c r="AJ682">
        <v>1</v>
      </c>
      <c r="AK682">
        <v>160</v>
      </c>
      <c r="AL682" t="s">
        <v>92</v>
      </c>
      <c r="AM682" t="s">
        <v>93</v>
      </c>
      <c r="AN682" t="s">
        <v>94</v>
      </c>
      <c r="AO682" t="s">
        <v>12772</v>
      </c>
      <c r="AP682" t="s">
        <v>12773</v>
      </c>
      <c r="AQ682" t="s">
        <v>74</v>
      </c>
      <c r="AR682" t="s">
        <v>12774</v>
      </c>
      <c r="AS682" t="s">
        <v>12775</v>
      </c>
      <c r="AT682" t="s">
        <v>12776</v>
      </c>
      <c r="AU682">
        <v>2016</v>
      </c>
      <c r="AV682">
        <v>283</v>
      </c>
      <c r="AW682">
        <v>1844</v>
      </c>
      <c r="AX682" t="s">
        <v>74</v>
      </c>
      <c r="AY682" t="s">
        <v>74</v>
      </c>
      <c r="AZ682" t="s">
        <v>74</v>
      </c>
      <c r="BA682" t="s">
        <v>74</v>
      </c>
      <c r="BB682" t="s">
        <v>74</v>
      </c>
      <c r="BC682" t="s">
        <v>74</v>
      </c>
      <c r="BD682">
        <v>20162094</v>
      </c>
      <c r="BE682" t="s">
        <v>12814</v>
      </c>
      <c r="BF682" t="str">
        <f>HYPERLINK("http://dx.doi.org/10.1098/rspb.2016.2094","http://dx.doi.org/10.1098/rspb.2016.2094")</f>
        <v>http://dx.doi.org/10.1098/rspb.2016.2094</v>
      </c>
      <c r="BG682" t="s">
        <v>74</v>
      </c>
      <c r="BH682" t="s">
        <v>74</v>
      </c>
      <c r="BI682">
        <v>9</v>
      </c>
      <c r="BJ682" t="s">
        <v>12778</v>
      </c>
      <c r="BK682" t="s">
        <v>245</v>
      </c>
      <c r="BL682" t="s">
        <v>12779</v>
      </c>
      <c r="BM682" t="s">
        <v>12780</v>
      </c>
      <c r="BN682">
        <v>27928040</v>
      </c>
      <c r="BO682" t="s">
        <v>12815</v>
      </c>
      <c r="BP682" t="s">
        <v>74</v>
      </c>
      <c r="BQ682" t="s">
        <v>74</v>
      </c>
      <c r="BR682" t="s">
        <v>105</v>
      </c>
      <c r="BS682" t="s">
        <v>12816</v>
      </c>
      <c r="BT682" t="str">
        <f>HYPERLINK("https%3A%2F%2Fwww.webofscience.com%2Fwos%2Fwoscc%2Ffull-record%2FWOS:000390404200022","View Full Record in Web of Science")</f>
        <v>View Full Record in Web of Science</v>
      </c>
    </row>
    <row r="683" spans="1:72" x14ac:dyDescent="0.15">
      <c r="A683" t="s">
        <v>72</v>
      </c>
      <c r="B683" t="s">
        <v>12817</v>
      </c>
      <c r="C683" t="s">
        <v>74</v>
      </c>
      <c r="D683" t="s">
        <v>74</v>
      </c>
      <c r="E683" t="s">
        <v>74</v>
      </c>
      <c r="F683" t="s">
        <v>12818</v>
      </c>
      <c r="G683" t="s">
        <v>74</v>
      </c>
      <c r="H683" t="s">
        <v>74</v>
      </c>
      <c r="I683" t="s">
        <v>12819</v>
      </c>
      <c r="J683" t="s">
        <v>1783</v>
      </c>
      <c r="K683" t="s">
        <v>74</v>
      </c>
      <c r="L683" t="s">
        <v>74</v>
      </c>
      <c r="M683" t="s">
        <v>78</v>
      </c>
      <c r="N683" t="s">
        <v>79</v>
      </c>
      <c r="O683" t="s">
        <v>74</v>
      </c>
      <c r="P683" t="s">
        <v>74</v>
      </c>
      <c r="Q683" t="s">
        <v>74</v>
      </c>
      <c r="R683" t="s">
        <v>74</v>
      </c>
      <c r="S683" t="s">
        <v>74</v>
      </c>
      <c r="T683" t="s">
        <v>12820</v>
      </c>
      <c r="U683" t="s">
        <v>12821</v>
      </c>
      <c r="V683" t="s">
        <v>12822</v>
      </c>
      <c r="W683" t="s">
        <v>12823</v>
      </c>
      <c r="X683" t="s">
        <v>12824</v>
      </c>
      <c r="Y683" t="s">
        <v>12825</v>
      </c>
      <c r="Z683" t="s">
        <v>12826</v>
      </c>
      <c r="AA683" t="s">
        <v>12827</v>
      </c>
      <c r="AB683" t="s">
        <v>12828</v>
      </c>
      <c r="AC683" t="s">
        <v>12829</v>
      </c>
      <c r="AD683" t="s">
        <v>12830</v>
      </c>
      <c r="AE683" t="s">
        <v>12831</v>
      </c>
      <c r="AF683" t="s">
        <v>74</v>
      </c>
      <c r="AG683">
        <v>75</v>
      </c>
      <c r="AH683">
        <v>92</v>
      </c>
      <c r="AI683">
        <v>105</v>
      </c>
      <c r="AJ683">
        <v>6</v>
      </c>
      <c r="AK683">
        <v>67</v>
      </c>
      <c r="AL683" t="s">
        <v>1796</v>
      </c>
      <c r="AM683" t="s">
        <v>142</v>
      </c>
      <c r="AN683" t="s">
        <v>1797</v>
      </c>
      <c r="AO683" t="s">
        <v>1798</v>
      </c>
      <c r="AP683" t="s">
        <v>74</v>
      </c>
      <c r="AQ683" t="s">
        <v>74</v>
      </c>
      <c r="AR683" t="s">
        <v>1799</v>
      </c>
      <c r="AS683" t="s">
        <v>1800</v>
      </c>
      <c r="AT683" t="s">
        <v>12832</v>
      </c>
      <c r="AU683">
        <v>2016</v>
      </c>
      <c r="AV683">
        <v>113</v>
      </c>
      <c r="AW683">
        <v>50</v>
      </c>
      <c r="AX683" t="s">
        <v>74</v>
      </c>
      <c r="AY683" t="s">
        <v>74</v>
      </c>
      <c r="AZ683" t="s">
        <v>74</v>
      </c>
      <c r="BA683" t="s">
        <v>74</v>
      </c>
      <c r="BB683">
        <v>14249</v>
      </c>
      <c r="BC683">
        <v>14254</v>
      </c>
      <c r="BD683" t="s">
        <v>74</v>
      </c>
      <c r="BE683" t="s">
        <v>12833</v>
      </c>
      <c r="BF683" t="str">
        <f>HYPERLINK("http://dx.doi.org/10.1073/pnas.1609132113","http://dx.doi.org/10.1073/pnas.1609132113")</f>
        <v>http://dx.doi.org/10.1073/pnas.1609132113</v>
      </c>
      <c r="BG683" t="s">
        <v>74</v>
      </c>
      <c r="BH683" t="s">
        <v>74</v>
      </c>
      <c r="BI683">
        <v>6</v>
      </c>
      <c r="BJ683" t="s">
        <v>100</v>
      </c>
      <c r="BK683" t="s">
        <v>101</v>
      </c>
      <c r="BL683" t="s">
        <v>102</v>
      </c>
      <c r="BM683" t="s">
        <v>12834</v>
      </c>
      <c r="BN683">
        <v>27911783</v>
      </c>
      <c r="BO683" t="s">
        <v>12835</v>
      </c>
      <c r="BP683" t="s">
        <v>74</v>
      </c>
      <c r="BQ683" t="s">
        <v>74</v>
      </c>
      <c r="BR683" t="s">
        <v>105</v>
      </c>
      <c r="BS683" t="s">
        <v>12836</v>
      </c>
      <c r="BT683" t="str">
        <f>HYPERLINK("https%3A%2F%2Fwww.webofscience.com%2Fwos%2Fwoscc%2Ffull-record%2FWOS:000389696700043","View Full Record in Web of Science")</f>
        <v>View Full Record in Web of Science</v>
      </c>
    </row>
    <row r="684" spans="1:72" x14ac:dyDescent="0.15">
      <c r="A684" t="s">
        <v>72</v>
      </c>
      <c r="B684" t="s">
        <v>12837</v>
      </c>
      <c r="C684" t="s">
        <v>74</v>
      </c>
      <c r="D684" t="s">
        <v>74</v>
      </c>
      <c r="E684" t="s">
        <v>74</v>
      </c>
      <c r="F684" t="s">
        <v>12838</v>
      </c>
      <c r="G684" t="s">
        <v>74</v>
      </c>
      <c r="H684" t="s">
        <v>74</v>
      </c>
      <c r="I684" t="s">
        <v>12839</v>
      </c>
      <c r="J684" t="s">
        <v>12840</v>
      </c>
      <c r="K684" t="s">
        <v>74</v>
      </c>
      <c r="L684" t="s">
        <v>74</v>
      </c>
      <c r="M684" t="s">
        <v>78</v>
      </c>
      <c r="N684" t="s">
        <v>79</v>
      </c>
      <c r="O684" t="s">
        <v>74</v>
      </c>
      <c r="P684" t="s">
        <v>74</v>
      </c>
      <c r="Q684" t="s">
        <v>74</v>
      </c>
      <c r="R684" t="s">
        <v>74</v>
      </c>
      <c r="S684" t="s">
        <v>74</v>
      </c>
      <c r="T684" t="s">
        <v>74</v>
      </c>
      <c r="U684" t="s">
        <v>12841</v>
      </c>
      <c r="V684" t="s">
        <v>12842</v>
      </c>
      <c r="W684" t="s">
        <v>12843</v>
      </c>
      <c r="X684" t="s">
        <v>12844</v>
      </c>
      <c r="Y684" t="s">
        <v>12845</v>
      </c>
      <c r="Z684" t="s">
        <v>12846</v>
      </c>
      <c r="AA684" t="s">
        <v>12847</v>
      </c>
      <c r="AB684" t="s">
        <v>12848</v>
      </c>
      <c r="AC684" t="s">
        <v>12849</v>
      </c>
      <c r="AD684" t="s">
        <v>12850</v>
      </c>
      <c r="AE684" t="s">
        <v>12851</v>
      </c>
      <c r="AF684" t="s">
        <v>74</v>
      </c>
      <c r="AG684">
        <v>54</v>
      </c>
      <c r="AH684">
        <v>26</v>
      </c>
      <c r="AI684">
        <v>37</v>
      </c>
      <c r="AJ684">
        <v>0</v>
      </c>
      <c r="AK684">
        <v>54</v>
      </c>
      <c r="AL684" t="s">
        <v>1466</v>
      </c>
      <c r="AM684" t="s">
        <v>142</v>
      </c>
      <c r="AN684" t="s">
        <v>1467</v>
      </c>
      <c r="AO684" t="s">
        <v>12852</v>
      </c>
      <c r="AP684" t="s">
        <v>74</v>
      </c>
      <c r="AQ684" t="s">
        <v>74</v>
      </c>
      <c r="AR684" t="s">
        <v>12853</v>
      </c>
      <c r="AS684" t="s">
        <v>12854</v>
      </c>
      <c r="AT684" t="s">
        <v>12832</v>
      </c>
      <c r="AU684">
        <v>2016</v>
      </c>
      <c r="AV684">
        <v>55</v>
      </c>
      <c r="AW684">
        <v>49</v>
      </c>
      <c r="AX684" t="s">
        <v>74</v>
      </c>
      <c r="AY684" t="s">
        <v>74</v>
      </c>
      <c r="AZ684" t="s">
        <v>74</v>
      </c>
      <c r="BA684" t="s">
        <v>74</v>
      </c>
      <c r="BB684">
        <v>6811</v>
      </c>
      <c r="BC684">
        <v>6820</v>
      </c>
      <c r="BD684" t="s">
        <v>74</v>
      </c>
      <c r="BE684" t="s">
        <v>12855</v>
      </c>
      <c r="BF684" t="str">
        <f>HYPERLINK("http://dx.doi.org/10.1021/acs.biochem.6b00864","http://dx.doi.org/10.1021/acs.biochem.6b00864")</f>
        <v>http://dx.doi.org/10.1021/acs.biochem.6b00864</v>
      </c>
      <c r="BG684" t="s">
        <v>74</v>
      </c>
      <c r="BH684" t="s">
        <v>74</v>
      </c>
      <c r="BI684">
        <v>10</v>
      </c>
      <c r="BJ684" t="s">
        <v>1107</v>
      </c>
      <c r="BK684" t="s">
        <v>101</v>
      </c>
      <c r="BL684" t="s">
        <v>1107</v>
      </c>
      <c r="BM684" t="s">
        <v>12856</v>
      </c>
      <c r="BN684">
        <v>27951652</v>
      </c>
      <c r="BO684" t="s">
        <v>74</v>
      </c>
      <c r="BP684" t="s">
        <v>74</v>
      </c>
      <c r="BQ684" t="s">
        <v>74</v>
      </c>
      <c r="BR684" t="s">
        <v>105</v>
      </c>
      <c r="BS684" t="s">
        <v>12857</v>
      </c>
      <c r="BT684" t="str">
        <f>HYPERLINK("https%3A%2F%2Fwww.webofscience.com%2Fwos%2Fwoscc%2Ffull-record%2FWOS:000389866400008","View Full Record in Web of Science")</f>
        <v>View Full Record in Web of Science</v>
      </c>
    </row>
    <row r="685" spans="1:72" x14ac:dyDescent="0.15">
      <c r="A685" t="s">
        <v>72</v>
      </c>
      <c r="B685" t="s">
        <v>12858</v>
      </c>
      <c r="C685" t="s">
        <v>74</v>
      </c>
      <c r="D685" t="s">
        <v>74</v>
      </c>
      <c r="E685" t="s">
        <v>74</v>
      </c>
      <c r="F685" t="s">
        <v>12859</v>
      </c>
      <c r="G685" t="s">
        <v>74</v>
      </c>
      <c r="H685" t="s">
        <v>74</v>
      </c>
      <c r="I685" t="s">
        <v>12860</v>
      </c>
      <c r="J685" t="s">
        <v>12861</v>
      </c>
      <c r="K685" t="s">
        <v>74</v>
      </c>
      <c r="L685" t="s">
        <v>74</v>
      </c>
      <c r="M685" t="s">
        <v>78</v>
      </c>
      <c r="N685" t="s">
        <v>2034</v>
      </c>
      <c r="O685" t="s">
        <v>74</v>
      </c>
      <c r="P685" t="s">
        <v>74</v>
      </c>
      <c r="Q685" t="s">
        <v>74</v>
      </c>
      <c r="R685" t="s">
        <v>74</v>
      </c>
      <c r="S685" t="s">
        <v>74</v>
      </c>
      <c r="T685" t="s">
        <v>74</v>
      </c>
      <c r="U685" t="s">
        <v>12862</v>
      </c>
      <c r="V685" t="s">
        <v>12863</v>
      </c>
      <c r="W685" t="s">
        <v>12864</v>
      </c>
      <c r="X685" t="s">
        <v>12865</v>
      </c>
      <c r="Y685" t="s">
        <v>12866</v>
      </c>
      <c r="Z685" t="s">
        <v>12867</v>
      </c>
      <c r="AA685" t="s">
        <v>12868</v>
      </c>
      <c r="AB685" t="s">
        <v>12869</v>
      </c>
      <c r="AC685" t="s">
        <v>12870</v>
      </c>
      <c r="AD685" t="s">
        <v>12871</v>
      </c>
      <c r="AE685" t="s">
        <v>12872</v>
      </c>
      <c r="AF685" t="s">
        <v>74</v>
      </c>
      <c r="AG685">
        <v>358</v>
      </c>
      <c r="AH685">
        <v>740</v>
      </c>
      <c r="AI685">
        <v>842</v>
      </c>
      <c r="AJ685">
        <v>35</v>
      </c>
      <c r="AK685">
        <v>749</v>
      </c>
      <c r="AL685" t="s">
        <v>608</v>
      </c>
      <c r="AM685" t="s">
        <v>609</v>
      </c>
      <c r="AN685" t="s">
        <v>610</v>
      </c>
      <c r="AO685" t="s">
        <v>12873</v>
      </c>
      <c r="AP685" t="s">
        <v>12874</v>
      </c>
      <c r="AQ685" t="s">
        <v>74</v>
      </c>
      <c r="AR685" t="s">
        <v>12875</v>
      </c>
      <c r="AS685" t="s">
        <v>12876</v>
      </c>
      <c r="AT685" t="s">
        <v>12877</v>
      </c>
      <c r="AU685">
        <v>2016</v>
      </c>
      <c r="AV685">
        <v>8</v>
      </c>
      <c r="AW685">
        <v>2</v>
      </c>
      <c r="AX685" t="s">
        <v>74</v>
      </c>
      <c r="AY685" t="s">
        <v>74</v>
      </c>
      <c r="AZ685" t="s">
        <v>74</v>
      </c>
      <c r="BA685" t="s">
        <v>74</v>
      </c>
      <c r="BB685">
        <v>697</v>
      </c>
      <c r="BC685">
        <v>751</v>
      </c>
      <c r="BD685" t="s">
        <v>74</v>
      </c>
      <c r="BE685" t="s">
        <v>12878</v>
      </c>
      <c r="BF685" t="str">
        <f>HYPERLINK("http://dx.doi.org/10.5194/essd-8-697-2016","http://dx.doi.org/10.5194/essd-8-697-2016")</f>
        <v>http://dx.doi.org/10.5194/essd-8-697-2016</v>
      </c>
      <c r="BG685" t="s">
        <v>74</v>
      </c>
      <c r="BH685" t="s">
        <v>74</v>
      </c>
      <c r="BI685">
        <v>55</v>
      </c>
      <c r="BJ685" t="s">
        <v>938</v>
      </c>
      <c r="BK685" t="s">
        <v>101</v>
      </c>
      <c r="BL685" t="s">
        <v>939</v>
      </c>
      <c r="BM685" t="s">
        <v>12879</v>
      </c>
      <c r="BN685" t="s">
        <v>74</v>
      </c>
      <c r="BO685" t="s">
        <v>12880</v>
      </c>
      <c r="BP685" t="s">
        <v>813</v>
      </c>
      <c r="BQ685" t="s">
        <v>814</v>
      </c>
      <c r="BR685" t="s">
        <v>105</v>
      </c>
      <c r="BS685" t="s">
        <v>12881</v>
      </c>
      <c r="BT685" t="str">
        <f>HYPERLINK("https%3A%2F%2Fwww.webofscience.com%2Fwos%2Fwoscc%2Ffull-record%2FWOS:000390145300001","View Full Record in Web of Science")</f>
        <v>View Full Record in Web of Science</v>
      </c>
    </row>
    <row r="686" spans="1:72" x14ac:dyDescent="0.15">
      <c r="A686" t="s">
        <v>72</v>
      </c>
      <c r="B686" t="s">
        <v>12882</v>
      </c>
      <c r="C686" t="s">
        <v>74</v>
      </c>
      <c r="D686" t="s">
        <v>74</v>
      </c>
      <c r="E686" t="s">
        <v>74</v>
      </c>
      <c r="F686" t="s">
        <v>12883</v>
      </c>
      <c r="G686" t="s">
        <v>74</v>
      </c>
      <c r="H686" t="s">
        <v>74</v>
      </c>
      <c r="I686" t="s">
        <v>12884</v>
      </c>
      <c r="J686" t="s">
        <v>964</v>
      </c>
      <c r="K686" t="s">
        <v>74</v>
      </c>
      <c r="L686" t="s">
        <v>74</v>
      </c>
      <c r="M686" t="s">
        <v>78</v>
      </c>
      <c r="N686" t="s">
        <v>79</v>
      </c>
      <c r="O686" t="s">
        <v>74</v>
      </c>
      <c r="P686" t="s">
        <v>74</v>
      </c>
      <c r="Q686" t="s">
        <v>74</v>
      </c>
      <c r="R686" t="s">
        <v>74</v>
      </c>
      <c r="S686" t="s">
        <v>74</v>
      </c>
      <c r="T686" t="s">
        <v>74</v>
      </c>
      <c r="U686" t="s">
        <v>12885</v>
      </c>
      <c r="V686" t="s">
        <v>12886</v>
      </c>
      <c r="W686" t="s">
        <v>12887</v>
      </c>
      <c r="X686" t="s">
        <v>12888</v>
      </c>
      <c r="Y686" t="s">
        <v>12889</v>
      </c>
      <c r="Z686" t="s">
        <v>12890</v>
      </c>
      <c r="AA686" t="s">
        <v>12891</v>
      </c>
      <c r="AB686" t="s">
        <v>12892</v>
      </c>
      <c r="AC686" t="s">
        <v>12893</v>
      </c>
      <c r="AD686" t="s">
        <v>12894</v>
      </c>
      <c r="AE686" t="s">
        <v>12895</v>
      </c>
      <c r="AF686" t="s">
        <v>74</v>
      </c>
      <c r="AG686">
        <v>55</v>
      </c>
      <c r="AH686">
        <v>12</v>
      </c>
      <c r="AI686">
        <v>13</v>
      </c>
      <c r="AJ686">
        <v>0</v>
      </c>
      <c r="AK686">
        <v>37</v>
      </c>
      <c r="AL686" t="s">
        <v>608</v>
      </c>
      <c r="AM686" t="s">
        <v>609</v>
      </c>
      <c r="AN686" t="s">
        <v>610</v>
      </c>
      <c r="AO686" t="s">
        <v>975</v>
      </c>
      <c r="AP686" t="s">
        <v>976</v>
      </c>
      <c r="AQ686" t="s">
        <v>74</v>
      </c>
      <c r="AR686" t="s">
        <v>977</v>
      </c>
      <c r="AS686" t="s">
        <v>978</v>
      </c>
      <c r="AT686" t="s">
        <v>12896</v>
      </c>
      <c r="AU686">
        <v>2016</v>
      </c>
      <c r="AV686">
        <v>16</v>
      </c>
      <c r="AW686">
        <v>23</v>
      </c>
      <c r="AX686" t="s">
        <v>74</v>
      </c>
      <c r="AY686" t="s">
        <v>74</v>
      </c>
      <c r="AZ686" t="s">
        <v>74</v>
      </c>
      <c r="BA686" t="s">
        <v>74</v>
      </c>
      <c r="BB686">
        <v>15347</v>
      </c>
      <c r="BC686">
        <v>15358</v>
      </c>
      <c r="BD686" t="s">
        <v>74</v>
      </c>
      <c r="BE686" t="s">
        <v>12897</v>
      </c>
      <c r="BF686" t="str">
        <f>HYPERLINK("http://dx.doi.org/10.5194/acp-16-15347-2016","http://dx.doi.org/10.5194/acp-16-15347-2016")</f>
        <v>http://dx.doi.org/10.5194/acp-16-15347-2016</v>
      </c>
      <c r="BG686" t="s">
        <v>74</v>
      </c>
      <c r="BH686" t="s">
        <v>74</v>
      </c>
      <c r="BI686">
        <v>12</v>
      </c>
      <c r="BJ686" t="s">
        <v>981</v>
      </c>
      <c r="BK686" t="s">
        <v>101</v>
      </c>
      <c r="BL686" t="s">
        <v>982</v>
      </c>
      <c r="BM686" t="s">
        <v>12898</v>
      </c>
      <c r="BN686" t="s">
        <v>74</v>
      </c>
      <c r="BO686" t="s">
        <v>708</v>
      </c>
      <c r="BP686" t="s">
        <v>74</v>
      </c>
      <c r="BQ686" t="s">
        <v>74</v>
      </c>
      <c r="BR686" t="s">
        <v>105</v>
      </c>
      <c r="BS686" t="s">
        <v>12899</v>
      </c>
      <c r="BT686" t="str">
        <f>HYPERLINK("https%3A%2F%2Fwww.webofscience.com%2Fwos%2Fwoscc%2Ffull-record%2FWOS:000390767800006","View Full Record in Web of Science")</f>
        <v>View Full Record in Web of Science</v>
      </c>
    </row>
    <row r="687" spans="1:72" x14ac:dyDescent="0.15">
      <c r="A687" t="s">
        <v>72</v>
      </c>
      <c r="B687" t="s">
        <v>12900</v>
      </c>
      <c r="C687" t="s">
        <v>74</v>
      </c>
      <c r="D687" t="s">
        <v>74</v>
      </c>
      <c r="E687" t="s">
        <v>74</v>
      </c>
      <c r="F687" t="s">
        <v>12901</v>
      </c>
      <c r="G687" t="s">
        <v>74</v>
      </c>
      <c r="H687" t="s">
        <v>74</v>
      </c>
      <c r="I687" t="s">
        <v>12902</v>
      </c>
      <c r="J687" t="s">
        <v>964</v>
      </c>
      <c r="K687" t="s">
        <v>74</v>
      </c>
      <c r="L687" t="s">
        <v>74</v>
      </c>
      <c r="M687" t="s">
        <v>78</v>
      </c>
      <c r="N687" t="s">
        <v>79</v>
      </c>
      <c r="O687" t="s">
        <v>74</v>
      </c>
      <c r="P687" t="s">
        <v>74</v>
      </c>
      <c r="Q687" t="s">
        <v>74</v>
      </c>
      <c r="R687" t="s">
        <v>74</v>
      </c>
      <c r="S687" t="s">
        <v>74</v>
      </c>
      <c r="T687" t="s">
        <v>74</v>
      </c>
      <c r="U687" t="s">
        <v>12903</v>
      </c>
      <c r="V687" t="s">
        <v>12904</v>
      </c>
      <c r="W687" t="s">
        <v>12905</v>
      </c>
      <c r="X687" t="s">
        <v>12906</v>
      </c>
      <c r="Y687" t="s">
        <v>12907</v>
      </c>
      <c r="Z687" t="s">
        <v>12908</v>
      </c>
      <c r="AA687" t="s">
        <v>12909</v>
      </c>
      <c r="AB687" t="s">
        <v>12910</v>
      </c>
      <c r="AC687" t="s">
        <v>12911</v>
      </c>
      <c r="AD687" t="s">
        <v>12912</v>
      </c>
      <c r="AE687" t="s">
        <v>12913</v>
      </c>
      <c r="AF687" t="s">
        <v>74</v>
      </c>
      <c r="AG687">
        <v>65</v>
      </c>
      <c r="AH687">
        <v>9</v>
      </c>
      <c r="AI687">
        <v>9</v>
      </c>
      <c r="AJ687">
        <v>0</v>
      </c>
      <c r="AK687">
        <v>7</v>
      </c>
      <c r="AL687" t="s">
        <v>608</v>
      </c>
      <c r="AM687" t="s">
        <v>609</v>
      </c>
      <c r="AN687" t="s">
        <v>610</v>
      </c>
      <c r="AO687" t="s">
        <v>975</v>
      </c>
      <c r="AP687" t="s">
        <v>976</v>
      </c>
      <c r="AQ687" t="s">
        <v>74</v>
      </c>
      <c r="AR687" t="s">
        <v>977</v>
      </c>
      <c r="AS687" t="s">
        <v>978</v>
      </c>
      <c r="AT687" t="s">
        <v>12914</v>
      </c>
      <c r="AU687">
        <v>2016</v>
      </c>
      <c r="AV687">
        <v>16</v>
      </c>
      <c r="AW687">
        <v>23</v>
      </c>
      <c r="AX687" t="s">
        <v>74</v>
      </c>
      <c r="AY687" t="s">
        <v>74</v>
      </c>
      <c r="AZ687" t="s">
        <v>74</v>
      </c>
      <c r="BA687" t="s">
        <v>74</v>
      </c>
      <c r="BB687">
        <v>15219</v>
      </c>
      <c r="BC687">
        <v>15246</v>
      </c>
      <c r="BD687" t="s">
        <v>74</v>
      </c>
      <c r="BE687" t="s">
        <v>12915</v>
      </c>
      <c r="BF687" t="str">
        <f>HYPERLINK("http://dx.doi.org/10.5194/acp-16-15219-2016","http://dx.doi.org/10.5194/acp-16-15219-2016")</f>
        <v>http://dx.doi.org/10.5194/acp-16-15219-2016</v>
      </c>
      <c r="BG687" t="s">
        <v>74</v>
      </c>
      <c r="BH687" t="s">
        <v>74</v>
      </c>
      <c r="BI687">
        <v>28</v>
      </c>
      <c r="BJ687" t="s">
        <v>981</v>
      </c>
      <c r="BK687" t="s">
        <v>101</v>
      </c>
      <c r="BL687" t="s">
        <v>982</v>
      </c>
      <c r="BM687" t="s">
        <v>12916</v>
      </c>
      <c r="BN687" t="s">
        <v>74</v>
      </c>
      <c r="BO687" t="s">
        <v>892</v>
      </c>
      <c r="BP687" t="s">
        <v>74</v>
      </c>
      <c r="BQ687" t="s">
        <v>74</v>
      </c>
      <c r="BR687" t="s">
        <v>105</v>
      </c>
      <c r="BS687" t="s">
        <v>12917</v>
      </c>
      <c r="BT687" t="str">
        <f>HYPERLINK("https%3A%2F%2Fwww.webofscience.com%2Fwos%2Fwoscc%2Ffull-record%2FWOS:000390649300004","View Full Record in Web of Science")</f>
        <v>View Full Record in Web of Science</v>
      </c>
    </row>
    <row r="688" spans="1:72" x14ac:dyDescent="0.15">
      <c r="A688" t="s">
        <v>72</v>
      </c>
      <c r="B688" t="s">
        <v>12918</v>
      </c>
      <c r="C688" t="s">
        <v>74</v>
      </c>
      <c r="D688" t="s">
        <v>74</v>
      </c>
      <c r="E688" t="s">
        <v>74</v>
      </c>
      <c r="F688" t="s">
        <v>12919</v>
      </c>
      <c r="G688" t="s">
        <v>74</v>
      </c>
      <c r="H688" t="s">
        <v>74</v>
      </c>
      <c r="I688" t="s">
        <v>12920</v>
      </c>
      <c r="J688" t="s">
        <v>12921</v>
      </c>
      <c r="K688" t="s">
        <v>74</v>
      </c>
      <c r="L688" t="s">
        <v>74</v>
      </c>
      <c r="M688" t="s">
        <v>78</v>
      </c>
      <c r="N688" t="s">
        <v>79</v>
      </c>
      <c r="O688" t="s">
        <v>74</v>
      </c>
      <c r="P688" t="s">
        <v>74</v>
      </c>
      <c r="Q688" t="s">
        <v>74</v>
      </c>
      <c r="R688" t="s">
        <v>74</v>
      </c>
      <c r="S688" t="s">
        <v>74</v>
      </c>
      <c r="T688" t="s">
        <v>74</v>
      </c>
      <c r="U688" t="s">
        <v>12922</v>
      </c>
      <c r="V688" t="s">
        <v>12923</v>
      </c>
      <c r="W688" t="s">
        <v>12924</v>
      </c>
      <c r="X688" t="s">
        <v>12925</v>
      </c>
      <c r="Y688" t="s">
        <v>12926</v>
      </c>
      <c r="Z688" t="s">
        <v>12927</v>
      </c>
      <c r="AA688" t="s">
        <v>12928</v>
      </c>
      <c r="AB688" t="s">
        <v>12929</v>
      </c>
      <c r="AC688" t="s">
        <v>12930</v>
      </c>
      <c r="AD688" t="s">
        <v>12931</v>
      </c>
      <c r="AE688" t="s">
        <v>12932</v>
      </c>
      <c r="AF688" t="s">
        <v>74</v>
      </c>
      <c r="AG688">
        <v>64</v>
      </c>
      <c r="AH688">
        <v>87</v>
      </c>
      <c r="AI688">
        <v>96</v>
      </c>
      <c r="AJ688">
        <v>18</v>
      </c>
      <c r="AK688">
        <v>267</v>
      </c>
      <c r="AL688" t="s">
        <v>1466</v>
      </c>
      <c r="AM688" t="s">
        <v>142</v>
      </c>
      <c r="AN688" t="s">
        <v>1467</v>
      </c>
      <c r="AO688" t="s">
        <v>12933</v>
      </c>
      <c r="AP688" t="s">
        <v>12934</v>
      </c>
      <c r="AQ688" t="s">
        <v>74</v>
      </c>
      <c r="AR688" t="s">
        <v>12935</v>
      </c>
      <c r="AS688" t="s">
        <v>12936</v>
      </c>
      <c r="AT688" t="s">
        <v>12937</v>
      </c>
      <c r="AU688">
        <v>2016</v>
      </c>
      <c r="AV688">
        <v>50</v>
      </c>
      <c r="AW688">
        <v>23</v>
      </c>
      <c r="AX688" t="s">
        <v>74</v>
      </c>
      <c r="AY688" t="s">
        <v>74</v>
      </c>
      <c r="AZ688" t="s">
        <v>74</v>
      </c>
      <c r="BA688" t="s">
        <v>74</v>
      </c>
      <c r="BB688">
        <v>12621</v>
      </c>
      <c r="BC688">
        <v>12629</v>
      </c>
      <c r="BD688" t="s">
        <v>74</v>
      </c>
      <c r="BE688" t="s">
        <v>12938</v>
      </c>
      <c r="BF688" t="str">
        <f>HYPERLINK("http://dx.doi.org/10.1021/acs.est.6b02863","http://dx.doi.org/10.1021/acs.est.6b02863")</f>
        <v>http://dx.doi.org/10.1021/acs.est.6b02863</v>
      </c>
      <c r="BG688" t="s">
        <v>74</v>
      </c>
      <c r="BH688" t="s">
        <v>74</v>
      </c>
      <c r="BI688">
        <v>9</v>
      </c>
      <c r="BJ688" t="s">
        <v>5098</v>
      </c>
      <c r="BK688" t="s">
        <v>101</v>
      </c>
      <c r="BL688" t="s">
        <v>5099</v>
      </c>
      <c r="BM688" t="s">
        <v>12939</v>
      </c>
      <c r="BN688">
        <v>27797533</v>
      </c>
      <c r="BO688" t="s">
        <v>74</v>
      </c>
      <c r="BP688" t="s">
        <v>74</v>
      </c>
      <c r="BQ688" t="s">
        <v>74</v>
      </c>
      <c r="BR688" t="s">
        <v>105</v>
      </c>
      <c r="BS688" t="s">
        <v>12940</v>
      </c>
      <c r="BT688" t="str">
        <f>HYPERLINK("https%3A%2F%2Fwww.webofscience.com%2Fwos%2Fwoscc%2Ffull-record%2FWOS:000389557100012","View Full Record in Web of Science")</f>
        <v>View Full Record in Web of Science</v>
      </c>
    </row>
    <row r="689" spans="1:72" x14ac:dyDescent="0.15">
      <c r="A689" t="s">
        <v>72</v>
      </c>
      <c r="B689" t="s">
        <v>12941</v>
      </c>
      <c r="C689" t="s">
        <v>74</v>
      </c>
      <c r="D689" t="s">
        <v>74</v>
      </c>
      <c r="E689" t="s">
        <v>74</v>
      </c>
      <c r="F689" t="s">
        <v>12942</v>
      </c>
      <c r="G689" t="s">
        <v>74</v>
      </c>
      <c r="H689" t="s">
        <v>74</v>
      </c>
      <c r="I689" t="s">
        <v>12943</v>
      </c>
      <c r="J689" t="s">
        <v>12921</v>
      </c>
      <c r="K689" t="s">
        <v>74</v>
      </c>
      <c r="L689" t="s">
        <v>74</v>
      </c>
      <c r="M689" t="s">
        <v>78</v>
      </c>
      <c r="N689" t="s">
        <v>79</v>
      </c>
      <c r="O689" t="s">
        <v>74</v>
      </c>
      <c r="P689" t="s">
        <v>74</v>
      </c>
      <c r="Q689" t="s">
        <v>74</v>
      </c>
      <c r="R689" t="s">
        <v>74</v>
      </c>
      <c r="S689" t="s">
        <v>74</v>
      </c>
      <c r="T689" t="s">
        <v>74</v>
      </c>
      <c r="U689" t="s">
        <v>12944</v>
      </c>
      <c r="V689" t="s">
        <v>12945</v>
      </c>
      <c r="W689" t="s">
        <v>12946</v>
      </c>
      <c r="X689" t="s">
        <v>12947</v>
      </c>
      <c r="Y689" t="s">
        <v>12948</v>
      </c>
      <c r="Z689" t="s">
        <v>12949</v>
      </c>
      <c r="AA689" t="s">
        <v>12950</v>
      </c>
      <c r="AB689" t="s">
        <v>12951</v>
      </c>
      <c r="AC689" t="s">
        <v>12952</v>
      </c>
      <c r="AD689" t="s">
        <v>12953</v>
      </c>
      <c r="AE689" t="s">
        <v>12954</v>
      </c>
      <c r="AF689" t="s">
        <v>74</v>
      </c>
      <c r="AG689">
        <v>51</v>
      </c>
      <c r="AH689">
        <v>11</v>
      </c>
      <c r="AI689">
        <v>11</v>
      </c>
      <c r="AJ689">
        <v>2</v>
      </c>
      <c r="AK689">
        <v>60</v>
      </c>
      <c r="AL689" t="s">
        <v>1466</v>
      </c>
      <c r="AM689" t="s">
        <v>142</v>
      </c>
      <c r="AN689" t="s">
        <v>1467</v>
      </c>
      <c r="AO689" t="s">
        <v>12933</v>
      </c>
      <c r="AP689" t="s">
        <v>12934</v>
      </c>
      <c r="AQ689" t="s">
        <v>74</v>
      </c>
      <c r="AR689" t="s">
        <v>12935</v>
      </c>
      <c r="AS689" t="s">
        <v>12936</v>
      </c>
      <c r="AT689" t="s">
        <v>12937</v>
      </c>
      <c r="AU689">
        <v>2016</v>
      </c>
      <c r="AV689">
        <v>50</v>
      </c>
      <c r="AW689">
        <v>23</v>
      </c>
      <c r="AX689" t="s">
        <v>74</v>
      </c>
      <c r="AY689" t="s">
        <v>74</v>
      </c>
      <c r="AZ689" t="s">
        <v>74</v>
      </c>
      <c r="BA689" t="s">
        <v>74</v>
      </c>
      <c r="BB689">
        <v>12705</v>
      </c>
      <c r="BC689">
        <v>12712</v>
      </c>
      <c r="BD689" t="s">
        <v>74</v>
      </c>
      <c r="BE689" t="s">
        <v>12955</v>
      </c>
      <c r="BF689" t="str">
        <f>HYPERLINK("http://dx.doi.org/10.1021/acs.est.6b02700","http://dx.doi.org/10.1021/acs.est.6b02700")</f>
        <v>http://dx.doi.org/10.1021/acs.est.6b02700</v>
      </c>
      <c r="BG689" t="s">
        <v>74</v>
      </c>
      <c r="BH689" t="s">
        <v>74</v>
      </c>
      <c r="BI689">
        <v>8</v>
      </c>
      <c r="BJ689" t="s">
        <v>5098</v>
      </c>
      <c r="BK689" t="s">
        <v>101</v>
      </c>
      <c r="BL689" t="s">
        <v>5099</v>
      </c>
      <c r="BM689" t="s">
        <v>12939</v>
      </c>
      <c r="BN689">
        <v>27780352</v>
      </c>
      <c r="BO689" t="s">
        <v>74</v>
      </c>
      <c r="BP689" t="s">
        <v>74</v>
      </c>
      <c r="BQ689" t="s">
        <v>74</v>
      </c>
      <c r="BR689" t="s">
        <v>105</v>
      </c>
      <c r="BS689" t="s">
        <v>12956</v>
      </c>
      <c r="BT689" t="str">
        <f>HYPERLINK("https%3A%2F%2Fwww.webofscience.com%2Fwos%2Fwoscc%2Ffull-record%2FWOS:000389557100021","View Full Record in Web of Science")</f>
        <v>View Full Record in Web of Science</v>
      </c>
    </row>
    <row r="690" spans="1:72" x14ac:dyDescent="0.15">
      <c r="A690" t="s">
        <v>72</v>
      </c>
      <c r="B690" t="s">
        <v>12957</v>
      </c>
      <c r="C690" t="s">
        <v>74</v>
      </c>
      <c r="D690" t="s">
        <v>74</v>
      </c>
      <c r="E690" t="s">
        <v>74</v>
      </c>
      <c r="F690" t="s">
        <v>12958</v>
      </c>
      <c r="G690" t="s">
        <v>74</v>
      </c>
      <c r="H690" t="s">
        <v>74</v>
      </c>
      <c r="I690" t="s">
        <v>12959</v>
      </c>
      <c r="J690" t="s">
        <v>623</v>
      </c>
      <c r="K690" t="s">
        <v>74</v>
      </c>
      <c r="L690" t="s">
        <v>74</v>
      </c>
      <c r="M690" t="s">
        <v>78</v>
      </c>
      <c r="N690" t="s">
        <v>79</v>
      </c>
      <c r="O690" t="s">
        <v>74</v>
      </c>
      <c r="P690" t="s">
        <v>74</v>
      </c>
      <c r="Q690" t="s">
        <v>74</v>
      </c>
      <c r="R690" t="s">
        <v>74</v>
      </c>
      <c r="S690" t="s">
        <v>74</v>
      </c>
      <c r="T690" t="s">
        <v>12960</v>
      </c>
      <c r="U690" t="s">
        <v>12961</v>
      </c>
      <c r="V690" t="s">
        <v>12962</v>
      </c>
      <c r="W690" t="s">
        <v>12963</v>
      </c>
      <c r="X690" t="s">
        <v>12964</v>
      </c>
      <c r="Y690" t="s">
        <v>12965</v>
      </c>
      <c r="Z690" t="s">
        <v>12966</v>
      </c>
      <c r="AA690" t="s">
        <v>12967</v>
      </c>
      <c r="AB690" t="s">
        <v>12968</v>
      </c>
      <c r="AC690" t="s">
        <v>12969</v>
      </c>
      <c r="AD690" t="s">
        <v>12970</v>
      </c>
      <c r="AE690" t="s">
        <v>12971</v>
      </c>
      <c r="AF690" t="s">
        <v>74</v>
      </c>
      <c r="AG690">
        <v>422</v>
      </c>
      <c r="AH690">
        <v>73</v>
      </c>
      <c r="AI690">
        <v>79</v>
      </c>
      <c r="AJ690">
        <v>1</v>
      </c>
      <c r="AK690">
        <v>21</v>
      </c>
      <c r="AL690" t="s">
        <v>636</v>
      </c>
      <c r="AM690" t="s">
        <v>637</v>
      </c>
      <c r="AN690" t="s">
        <v>638</v>
      </c>
      <c r="AO690" t="s">
        <v>639</v>
      </c>
      <c r="AP690" t="s">
        <v>640</v>
      </c>
      <c r="AQ690" t="s">
        <v>74</v>
      </c>
      <c r="AR690" t="s">
        <v>623</v>
      </c>
      <c r="AS690" t="s">
        <v>641</v>
      </c>
      <c r="AT690" t="s">
        <v>12972</v>
      </c>
      <c r="AU690">
        <v>2016</v>
      </c>
      <c r="AV690">
        <v>4203</v>
      </c>
      <c r="AW690">
        <v>1</v>
      </c>
      <c r="AX690" t="s">
        <v>74</v>
      </c>
      <c r="AY690" t="s">
        <v>74</v>
      </c>
      <c r="AZ690" t="s">
        <v>74</v>
      </c>
      <c r="BA690" t="s">
        <v>74</v>
      </c>
      <c r="BB690">
        <v>1</v>
      </c>
      <c r="BC690">
        <v>249</v>
      </c>
      <c r="BD690" t="s">
        <v>74</v>
      </c>
      <c r="BE690" t="s">
        <v>12973</v>
      </c>
      <c r="BF690" t="str">
        <f>HYPERLINK("http://dx.doi.org/10.11646/zootaxa.4203.1.1","http://dx.doi.org/10.11646/zootaxa.4203.1.1")</f>
        <v>http://dx.doi.org/10.11646/zootaxa.4203.1.1</v>
      </c>
      <c r="BG690" t="s">
        <v>74</v>
      </c>
      <c r="BH690" t="s">
        <v>74</v>
      </c>
      <c r="BI690">
        <v>249</v>
      </c>
      <c r="BJ690" t="s">
        <v>643</v>
      </c>
      <c r="BK690" t="s">
        <v>101</v>
      </c>
      <c r="BL690" t="s">
        <v>643</v>
      </c>
      <c r="BM690" t="s">
        <v>12974</v>
      </c>
      <c r="BN690">
        <v>27988614</v>
      </c>
      <c r="BO690" t="s">
        <v>74</v>
      </c>
      <c r="BP690" t="s">
        <v>74</v>
      </c>
      <c r="BQ690" t="s">
        <v>74</v>
      </c>
      <c r="BR690" t="s">
        <v>105</v>
      </c>
      <c r="BS690" t="s">
        <v>12975</v>
      </c>
      <c r="BT690" t="str">
        <f>HYPERLINK("https%3A%2F%2Fwww.webofscience.com%2Fwos%2Fwoscc%2Ffull-record%2FWOS:000389000000001","View Full Record in Web of Science")</f>
        <v>View Full Record in Web of Science</v>
      </c>
    </row>
    <row r="691" spans="1:72" x14ac:dyDescent="0.15">
      <c r="A691" t="s">
        <v>72</v>
      </c>
      <c r="B691" t="s">
        <v>12976</v>
      </c>
      <c r="C691" t="s">
        <v>74</v>
      </c>
      <c r="D691" t="s">
        <v>74</v>
      </c>
      <c r="E691" t="s">
        <v>74</v>
      </c>
      <c r="F691" t="s">
        <v>12977</v>
      </c>
      <c r="G691" t="s">
        <v>74</v>
      </c>
      <c r="H691" t="s">
        <v>74</v>
      </c>
      <c r="I691" t="s">
        <v>12978</v>
      </c>
      <c r="J691" t="s">
        <v>12979</v>
      </c>
      <c r="K691" t="s">
        <v>74</v>
      </c>
      <c r="L691" t="s">
        <v>74</v>
      </c>
      <c r="M691" t="s">
        <v>78</v>
      </c>
      <c r="N691" t="s">
        <v>52</v>
      </c>
      <c r="O691" t="s">
        <v>12980</v>
      </c>
      <c r="P691" t="s">
        <v>12981</v>
      </c>
      <c r="Q691" t="s">
        <v>12982</v>
      </c>
      <c r="R691" t="s">
        <v>74</v>
      </c>
      <c r="S691" t="s">
        <v>74</v>
      </c>
      <c r="T691" t="s">
        <v>12983</v>
      </c>
      <c r="U691" t="s">
        <v>74</v>
      </c>
      <c r="V691" t="s">
        <v>74</v>
      </c>
      <c r="W691" t="s">
        <v>12984</v>
      </c>
      <c r="X691" t="s">
        <v>74</v>
      </c>
      <c r="Y691" t="s">
        <v>74</v>
      </c>
      <c r="Z691" t="s">
        <v>74</v>
      </c>
      <c r="AA691" t="s">
        <v>74</v>
      </c>
      <c r="AB691" t="s">
        <v>74</v>
      </c>
      <c r="AC691" t="s">
        <v>74</v>
      </c>
      <c r="AD691" t="s">
        <v>74</v>
      </c>
      <c r="AE691" t="s">
        <v>74</v>
      </c>
      <c r="AF691" t="s">
        <v>74</v>
      </c>
      <c r="AG691">
        <v>2</v>
      </c>
      <c r="AH691">
        <v>0</v>
      </c>
      <c r="AI691">
        <v>0</v>
      </c>
      <c r="AJ691">
        <v>1</v>
      </c>
      <c r="AK691">
        <v>4</v>
      </c>
      <c r="AL691" t="s">
        <v>12985</v>
      </c>
      <c r="AM691" t="s">
        <v>5400</v>
      </c>
      <c r="AN691" t="s">
        <v>12986</v>
      </c>
      <c r="AO691" t="s">
        <v>12987</v>
      </c>
      <c r="AP691" t="s">
        <v>12988</v>
      </c>
      <c r="AQ691" t="s">
        <v>74</v>
      </c>
      <c r="AR691" t="s">
        <v>12989</v>
      </c>
      <c r="AS691" t="s">
        <v>12990</v>
      </c>
      <c r="AT691" t="s">
        <v>12991</v>
      </c>
      <c r="AU691">
        <v>2016</v>
      </c>
      <c r="AV691">
        <v>82</v>
      </c>
      <c r="AW691" t="s">
        <v>74</v>
      </c>
      <c r="AX691" t="s">
        <v>74</v>
      </c>
      <c r="AY691">
        <v>1</v>
      </c>
      <c r="AZ691" t="s">
        <v>74</v>
      </c>
      <c r="BA691" t="s">
        <v>12992</v>
      </c>
      <c r="BB691" t="s">
        <v>74</v>
      </c>
      <c r="BC691" t="s">
        <v>74</v>
      </c>
      <c r="BD691" t="s">
        <v>74</v>
      </c>
      <c r="BE691" t="s">
        <v>12993</v>
      </c>
      <c r="BF691" t="str">
        <f>HYPERLINK("http://dx.doi.org/10.1055/s-0036-1596642","http://dx.doi.org/10.1055/s-0036-1596642")</f>
        <v>http://dx.doi.org/10.1055/s-0036-1596642</v>
      </c>
      <c r="BG691" t="s">
        <v>74</v>
      </c>
      <c r="BH691" t="s">
        <v>74</v>
      </c>
      <c r="BI691">
        <v>2</v>
      </c>
      <c r="BJ691" t="s">
        <v>12994</v>
      </c>
      <c r="BK691" t="s">
        <v>2004</v>
      </c>
      <c r="BL691" t="s">
        <v>12995</v>
      </c>
      <c r="BM691" t="s">
        <v>12996</v>
      </c>
      <c r="BN691" t="s">
        <v>74</v>
      </c>
      <c r="BO691" t="s">
        <v>74</v>
      </c>
      <c r="BP691" t="s">
        <v>74</v>
      </c>
      <c r="BQ691" t="s">
        <v>74</v>
      </c>
      <c r="BR691" t="s">
        <v>105</v>
      </c>
      <c r="BS691" t="s">
        <v>12997</v>
      </c>
      <c r="BT691" t="str">
        <f>HYPERLINK("https%3A%2F%2Fwww.webofscience.com%2Fwos%2Fwoscc%2Ffull-record%2FWOS:000411789300466","View Full Record in Web of Science")</f>
        <v>View Full Record in Web of Science</v>
      </c>
    </row>
    <row r="692" spans="1:72" x14ac:dyDescent="0.15">
      <c r="A692" t="s">
        <v>72</v>
      </c>
      <c r="B692" t="s">
        <v>12998</v>
      </c>
      <c r="C692" t="s">
        <v>74</v>
      </c>
      <c r="D692" t="s">
        <v>74</v>
      </c>
      <c r="E692" t="s">
        <v>74</v>
      </c>
      <c r="F692" t="s">
        <v>12999</v>
      </c>
      <c r="G692" t="s">
        <v>74</v>
      </c>
      <c r="H692" t="s">
        <v>74</v>
      </c>
      <c r="I692" t="s">
        <v>13000</v>
      </c>
      <c r="J692" t="s">
        <v>12979</v>
      </c>
      <c r="K692" t="s">
        <v>74</v>
      </c>
      <c r="L692" t="s">
        <v>74</v>
      </c>
      <c r="M692" t="s">
        <v>78</v>
      </c>
      <c r="N692" t="s">
        <v>52</v>
      </c>
      <c r="O692" t="s">
        <v>12980</v>
      </c>
      <c r="P692" t="s">
        <v>12981</v>
      </c>
      <c r="Q692" t="s">
        <v>12982</v>
      </c>
      <c r="R692" t="s">
        <v>74</v>
      </c>
      <c r="S692" t="s">
        <v>74</v>
      </c>
      <c r="T692" t="s">
        <v>13001</v>
      </c>
      <c r="U692" t="s">
        <v>74</v>
      </c>
      <c r="V692" t="s">
        <v>74</v>
      </c>
      <c r="W692" t="s">
        <v>13002</v>
      </c>
      <c r="X692" t="s">
        <v>13003</v>
      </c>
      <c r="Y692" t="s">
        <v>74</v>
      </c>
      <c r="Z692" t="s">
        <v>74</v>
      </c>
      <c r="AA692" t="s">
        <v>13004</v>
      </c>
      <c r="AB692" t="s">
        <v>13005</v>
      </c>
      <c r="AC692" t="s">
        <v>13006</v>
      </c>
      <c r="AD692" t="s">
        <v>13007</v>
      </c>
      <c r="AE692" t="s">
        <v>13008</v>
      </c>
      <c r="AF692" t="s">
        <v>74</v>
      </c>
      <c r="AG692">
        <v>2</v>
      </c>
      <c r="AH692">
        <v>0</v>
      </c>
      <c r="AI692">
        <v>0</v>
      </c>
      <c r="AJ692">
        <v>0</v>
      </c>
      <c r="AK692">
        <v>0</v>
      </c>
      <c r="AL692" t="s">
        <v>12985</v>
      </c>
      <c r="AM692" t="s">
        <v>5400</v>
      </c>
      <c r="AN692" t="s">
        <v>12986</v>
      </c>
      <c r="AO692" t="s">
        <v>12987</v>
      </c>
      <c r="AP692" t="s">
        <v>12988</v>
      </c>
      <c r="AQ692" t="s">
        <v>74</v>
      </c>
      <c r="AR692" t="s">
        <v>12989</v>
      </c>
      <c r="AS692" t="s">
        <v>12990</v>
      </c>
      <c r="AT692" t="s">
        <v>12991</v>
      </c>
      <c r="AU692">
        <v>2016</v>
      </c>
      <c r="AV692">
        <v>82</v>
      </c>
      <c r="AW692" t="s">
        <v>74</v>
      </c>
      <c r="AX692" t="s">
        <v>74</v>
      </c>
      <c r="AY692">
        <v>1</v>
      </c>
      <c r="AZ692" t="s">
        <v>74</v>
      </c>
      <c r="BA692" t="s">
        <v>13009</v>
      </c>
      <c r="BB692" t="s">
        <v>74</v>
      </c>
      <c r="BC692" t="s">
        <v>74</v>
      </c>
      <c r="BD692" t="s">
        <v>74</v>
      </c>
      <c r="BE692" t="s">
        <v>13010</v>
      </c>
      <c r="BF692" t="str">
        <f>HYPERLINK("http://dx.doi.org/10.1055/s-0036-1596670","http://dx.doi.org/10.1055/s-0036-1596670")</f>
        <v>http://dx.doi.org/10.1055/s-0036-1596670</v>
      </c>
      <c r="BG692" t="s">
        <v>74</v>
      </c>
      <c r="BH692" t="s">
        <v>74</v>
      </c>
      <c r="BI692">
        <v>2</v>
      </c>
      <c r="BJ692" t="s">
        <v>12994</v>
      </c>
      <c r="BK692" t="s">
        <v>2004</v>
      </c>
      <c r="BL692" t="s">
        <v>12995</v>
      </c>
      <c r="BM692" t="s">
        <v>12996</v>
      </c>
      <c r="BN692" t="s">
        <v>74</v>
      </c>
      <c r="BO692" t="s">
        <v>74</v>
      </c>
      <c r="BP692" t="s">
        <v>74</v>
      </c>
      <c r="BQ692" t="s">
        <v>74</v>
      </c>
      <c r="BR692" t="s">
        <v>105</v>
      </c>
      <c r="BS692" t="s">
        <v>13011</v>
      </c>
      <c r="BT692" t="str">
        <f>HYPERLINK("https%3A%2F%2Fwww.webofscience.com%2Fwos%2Fwoscc%2Ffull-record%2FWOS:000411789300494","View Full Record in Web of Science")</f>
        <v>View Full Record in Web of Science</v>
      </c>
    </row>
    <row r="693" spans="1:72" x14ac:dyDescent="0.15">
      <c r="A693" t="s">
        <v>72</v>
      </c>
      <c r="B693" t="s">
        <v>13012</v>
      </c>
      <c r="C693" t="s">
        <v>74</v>
      </c>
      <c r="D693" t="s">
        <v>74</v>
      </c>
      <c r="E693" t="s">
        <v>74</v>
      </c>
      <c r="F693" t="s">
        <v>13013</v>
      </c>
      <c r="G693" t="s">
        <v>74</v>
      </c>
      <c r="H693" t="s">
        <v>74</v>
      </c>
      <c r="I693" t="s">
        <v>13014</v>
      </c>
      <c r="J693" t="s">
        <v>12979</v>
      </c>
      <c r="K693" t="s">
        <v>74</v>
      </c>
      <c r="L693" t="s">
        <v>74</v>
      </c>
      <c r="M693" t="s">
        <v>78</v>
      </c>
      <c r="N693" t="s">
        <v>52</v>
      </c>
      <c r="O693" t="s">
        <v>12980</v>
      </c>
      <c r="P693" t="s">
        <v>12981</v>
      </c>
      <c r="Q693" t="s">
        <v>12982</v>
      </c>
      <c r="R693" t="s">
        <v>74</v>
      </c>
      <c r="S693" t="s">
        <v>74</v>
      </c>
      <c r="T693" t="s">
        <v>13015</v>
      </c>
      <c r="U693" t="s">
        <v>74</v>
      </c>
      <c r="V693" t="s">
        <v>74</v>
      </c>
      <c r="W693" t="s">
        <v>13016</v>
      </c>
      <c r="X693" t="s">
        <v>13017</v>
      </c>
      <c r="Y693" t="s">
        <v>74</v>
      </c>
      <c r="Z693" t="s">
        <v>74</v>
      </c>
      <c r="AA693" t="s">
        <v>74</v>
      </c>
      <c r="AB693" t="s">
        <v>74</v>
      </c>
      <c r="AC693" t="s">
        <v>13018</v>
      </c>
      <c r="AD693" t="s">
        <v>13019</v>
      </c>
      <c r="AE693" t="s">
        <v>13020</v>
      </c>
      <c r="AF693" t="s">
        <v>74</v>
      </c>
      <c r="AG693">
        <v>4</v>
      </c>
      <c r="AH693">
        <v>0</v>
      </c>
      <c r="AI693">
        <v>0</v>
      </c>
      <c r="AJ693">
        <v>0</v>
      </c>
      <c r="AK693">
        <v>2</v>
      </c>
      <c r="AL693" t="s">
        <v>12985</v>
      </c>
      <c r="AM693" t="s">
        <v>5400</v>
      </c>
      <c r="AN693" t="s">
        <v>12986</v>
      </c>
      <c r="AO693" t="s">
        <v>12987</v>
      </c>
      <c r="AP693" t="s">
        <v>12988</v>
      </c>
      <c r="AQ693" t="s">
        <v>74</v>
      </c>
      <c r="AR693" t="s">
        <v>12989</v>
      </c>
      <c r="AS693" t="s">
        <v>12990</v>
      </c>
      <c r="AT693" t="s">
        <v>12991</v>
      </c>
      <c r="AU693">
        <v>2016</v>
      </c>
      <c r="AV693">
        <v>82</v>
      </c>
      <c r="AW693" t="s">
        <v>74</v>
      </c>
      <c r="AX693" t="s">
        <v>74</v>
      </c>
      <c r="AY693">
        <v>1</v>
      </c>
      <c r="AZ693" t="s">
        <v>74</v>
      </c>
      <c r="BA693" t="s">
        <v>13021</v>
      </c>
      <c r="BB693" t="s">
        <v>74</v>
      </c>
      <c r="BC693" t="s">
        <v>74</v>
      </c>
      <c r="BD693" t="s">
        <v>74</v>
      </c>
      <c r="BE693" t="s">
        <v>13022</v>
      </c>
      <c r="BF693" t="str">
        <f>HYPERLINK("http://dx.doi.org/10.1055/s-0036-1596627","http://dx.doi.org/10.1055/s-0036-1596627")</f>
        <v>http://dx.doi.org/10.1055/s-0036-1596627</v>
      </c>
      <c r="BG693" t="s">
        <v>74</v>
      </c>
      <c r="BH693" t="s">
        <v>74</v>
      </c>
      <c r="BI693">
        <v>2</v>
      </c>
      <c r="BJ693" t="s">
        <v>12994</v>
      </c>
      <c r="BK693" t="s">
        <v>2004</v>
      </c>
      <c r="BL693" t="s">
        <v>12995</v>
      </c>
      <c r="BM693" t="s">
        <v>12996</v>
      </c>
      <c r="BN693" t="s">
        <v>74</v>
      </c>
      <c r="BO693" t="s">
        <v>74</v>
      </c>
      <c r="BP693" t="s">
        <v>74</v>
      </c>
      <c r="BQ693" t="s">
        <v>74</v>
      </c>
      <c r="BR693" t="s">
        <v>105</v>
      </c>
      <c r="BS693" t="s">
        <v>13023</v>
      </c>
      <c r="BT693" t="str">
        <f>HYPERLINK("https%3A%2F%2Fwww.webofscience.com%2Fwos%2Fwoscc%2Ffull-record%2FWOS:000411789300451","View Full Record in Web of Science")</f>
        <v>View Full Record in Web of Science</v>
      </c>
    </row>
    <row r="694" spans="1:72" x14ac:dyDescent="0.15">
      <c r="A694" t="s">
        <v>72</v>
      </c>
      <c r="B694" t="s">
        <v>13024</v>
      </c>
      <c r="C694" t="s">
        <v>74</v>
      </c>
      <c r="D694" t="s">
        <v>74</v>
      </c>
      <c r="E694" t="s">
        <v>74</v>
      </c>
      <c r="F694" t="s">
        <v>13025</v>
      </c>
      <c r="G694" t="s">
        <v>74</v>
      </c>
      <c r="H694" t="s">
        <v>74</v>
      </c>
      <c r="I694" t="s">
        <v>13026</v>
      </c>
      <c r="J694" t="s">
        <v>12979</v>
      </c>
      <c r="K694" t="s">
        <v>74</v>
      </c>
      <c r="L694" t="s">
        <v>74</v>
      </c>
      <c r="M694" t="s">
        <v>78</v>
      </c>
      <c r="N694" t="s">
        <v>52</v>
      </c>
      <c r="O694" t="s">
        <v>12980</v>
      </c>
      <c r="P694" t="s">
        <v>12981</v>
      </c>
      <c r="Q694" t="s">
        <v>12982</v>
      </c>
      <c r="R694" t="s">
        <v>74</v>
      </c>
      <c r="S694" t="s">
        <v>74</v>
      </c>
      <c r="T694" t="s">
        <v>13027</v>
      </c>
      <c r="U694" t="s">
        <v>13028</v>
      </c>
      <c r="V694" t="s">
        <v>74</v>
      </c>
      <c r="W694" t="s">
        <v>13029</v>
      </c>
      <c r="X694" t="s">
        <v>13030</v>
      </c>
      <c r="Y694" t="s">
        <v>74</v>
      </c>
      <c r="Z694" t="s">
        <v>74</v>
      </c>
      <c r="AA694" t="s">
        <v>13031</v>
      </c>
      <c r="AB694" t="s">
        <v>74</v>
      </c>
      <c r="AC694" t="s">
        <v>13032</v>
      </c>
      <c r="AD694" t="s">
        <v>13033</v>
      </c>
      <c r="AE694" t="s">
        <v>13034</v>
      </c>
      <c r="AF694" t="s">
        <v>74</v>
      </c>
      <c r="AG694">
        <v>6</v>
      </c>
      <c r="AH694">
        <v>1</v>
      </c>
      <c r="AI694">
        <v>1</v>
      </c>
      <c r="AJ694">
        <v>0</v>
      </c>
      <c r="AK694">
        <v>6</v>
      </c>
      <c r="AL694" t="s">
        <v>12985</v>
      </c>
      <c r="AM694" t="s">
        <v>5400</v>
      </c>
      <c r="AN694" t="s">
        <v>12986</v>
      </c>
      <c r="AO694" t="s">
        <v>12987</v>
      </c>
      <c r="AP694" t="s">
        <v>12988</v>
      </c>
      <c r="AQ694" t="s">
        <v>74</v>
      </c>
      <c r="AR694" t="s">
        <v>12989</v>
      </c>
      <c r="AS694" t="s">
        <v>12990</v>
      </c>
      <c r="AT694" t="s">
        <v>12991</v>
      </c>
      <c r="AU694">
        <v>2016</v>
      </c>
      <c r="AV694">
        <v>82</v>
      </c>
      <c r="AW694" t="s">
        <v>74</v>
      </c>
      <c r="AX694" t="s">
        <v>74</v>
      </c>
      <c r="AY694">
        <v>1</v>
      </c>
      <c r="AZ694" t="s">
        <v>74</v>
      </c>
      <c r="BA694" t="s">
        <v>13035</v>
      </c>
      <c r="BB694" t="s">
        <v>74</v>
      </c>
      <c r="BC694" t="s">
        <v>74</v>
      </c>
      <c r="BD694" t="s">
        <v>74</v>
      </c>
      <c r="BE694" t="s">
        <v>13036</v>
      </c>
      <c r="BF694" t="str">
        <f>HYPERLINK("http://dx.doi.org/10.1055/s-0036-1596673","http://dx.doi.org/10.1055/s-0036-1596673")</f>
        <v>http://dx.doi.org/10.1055/s-0036-1596673</v>
      </c>
      <c r="BG694" t="s">
        <v>74</v>
      </c>
      <c r="BH694" t="s">
        <v>74</v>
      </c>
      <c r="BI694">
        <v>2</v>
      </c>
      <c r="BJ694" t="s">
        <v>12994</v>
      </c>
      <c r="BK694" t="s">
        <v>2004</v>
      </c>
      <c r="BL694" t="s">
        <v>12995</v>
      </c>
      <c r="BM694" t="s">
        <v>12996</v>
      </c>
      <c r="BN694" t="s">
        <v>74</v>
      </c>
      <c r="BO694" t="s">
        <v>74</v>
      </c>
      <c r="BP694" t="s">
        <v>74</v>
      </c>
      <c r="BQ694" t="s">
        <v>74</v>
      </c>
      <c r="BR694" t="s">
        <v>105</v>
      </c>
      <c r="BS694" t="s">
        <v>13037</v>
      </c>
      <c r="BT694" t="str">
        <f>HYPERLINK("https%3A%2F%2Fwww.webofscience.com%2Fwos%2Fwoscc%2Ffull-record%2FWOS:000411789300497","View Full Record in Web of Science")</f>
        <v>View Full Record in Web of Science</v>
      </c>
    </row>
    <row r="695" spans="1:72" x14ac:dyDescent="0.15">
      <c r="A695" t="s">
        <v>72</v>
      </c>
      <c r="B695" t="s">
        <v>13038</v>
      </c>
      <c r="C695" t="s">
        <v>74</v>
      </c>
      <c r="D695" t="s">
        <v>74</v>
      </c>
      <c r="E695" t="s">
        <v>74</v>
      </c>
      <c r="F695" t="s">
        <v>13039</v>
      </c>
      <c r="G695" t="s">
        <v>74</v>
      </c>
      <c r="H695" t="s">
        <v>74</v>
      </c>
      <c r="I695" t="s">
        <v>13040</v>
      </c>
      <c r="J695" t="s">
        <v>13041</v>
      </c>
      <c r="K695" t="s">
        <v>74</v>
      </c>
      <c r="L695" t="s">
        <v>74</v>
      </c>
      <c r="M695" t="s">
        <v>78</v>
      </c>
      <c r="N695" t="s">
        <v>79</v>
      </c>
      <c r="O695" t="s">
        <v>74</v>
      </c>
      <c r="P695" t="s">
        <v>74</v>
      </c>
      <c r="Q695" t="s">
        <v>74</v>
      </c>
      <c r="R695" t="s">
        <v>74</v>
      </c>
      <c r="S695" t="s">
        <v>74</v>
      </c>
      <c r="T695" t="s">
        <v>13042</v>
      </c>
      <c r="U695" t="s">
        <v>13043</v>
      </c>
      <c r="V695" t="s">
        <v>13044</v>
      </c>
      <c r="W695" t="s">
        <v>13045</v>
      </c>
      <c r="X695" t="s">
        <v>13046</v>
      </c>
      <c r="Y695" t="s">
        <v>13047</v>
      </c>
      <c r="Z695" t="s">
        <v>13048</v>
      </c>
      <c r="AA695" t="s">
        <v>13049</v>
      </c>
      <c r="AB695" t="s">
        <v>13050</v>
      </c>
      <c r="AC695" t="s">
        <v>13051</v>
      </c>
      <c r="AD695" t="s">
        <v>13052</v>
      </c>
      <c r="AE695" t="s">
        <v>13053</v>
      </c>
      <c r="AF695" t="s">
        <v>74</v>
      </c>
      <c r="AG695">
        <v>14</v>
      </c>
      <c r="AH695">
        <v>2</v>
      </c>
      <c r="AI695">
        <v>3</v>
      </c>
      <c r="AJ695">
        <v>0</v>
      </c>
      <c r="AK695">
        <v>7</v>
      </c>
      <c r="AL695" t="s">
        <v>7449</v>
      </c>
      <c r="AM695" t="s">
        <v>187</v>
      </c>
      <c r="AN695" t="s">
        <v>7450</v>
      </c>
      <c r="AO695" t="s">
        <v>13054</v>
      </c>
      <c r="AP695" t="s">
        <v>13055</v>
      </c>
      <c r="AQ695" t="s">
        <v>74</v>
      </c>
      <c r="AR695" t="s">
        <v>13056</v>
      </c>
      <c r="AS695" t="s">
        <v>13057</v>
      </c>
      <c r="AT695" t="s">
        <v>12991</v>
      </c>
      <c r="AU695">
        <v>2016</v>
      </c>
      <c r="AV695">
        <v>43</v>
      </c>
      <c r="AW695">
        <v>7</v>
      </c>
      <c r="AX695" t="s">
        <v>74</v>
      </c>
      <c r="AY695" t="s">
        <v>74</v>
      </c>
      <c r="AZ695" t="s">
        <v>74</v>
      </c>
      <c r="BA695" t="s">
        <v>74</v>
      </c>
      <c r="BB695">
        <v>612</v>
      </c>
      <c r="BC695">
        <v>618</v>
      </c>
      <c r="BD695" t="s">
        <v>74</v>
      </c>
      <c r="BE695" t="s">
        <v>13058</v>
      </c>
      <c r="BF695" t="str">
        <f>HYPERLINK("http://dx.doi.org/10.1134/S1062359016070189","http://dx.doi.org/10.1134/S1062359016070189")</f>
        <v>http://dx.doi.org/10.1134/S1062359016070189</v>
      </c>
      <c r="BG695" t="s">
        <v>74</v>
      </c>
      <c r="BH695" t="s">
        <v>74</v>
      </c>
      <c r="BI695">
        <v>7</v>
      </c>
      <c r="BJ695" t="s">
        <v>13059</v>
      </c>
      <c r="BK695" t="s">
        <v>101</v>
      </c>
      <c r="BL695" t="s">
        <v>13060</v>
      </c>
      <c r="BM695" t="s">
        <v>13061</v>
      </c>
      <c r="BN695" t="s">
        <v>74</v>
      </c>
      <c r="BO695" t="s">
        <v>74</v>
      </c>
      <c r="BP695" t="s">
        <v>74</v>
      </c>
      <c r="BQ695" t="s">
        <v>74</v>
      </c>
      <c r="BR695" t="s">
        <v>105</v>
      </c>
      <c r="BS695" t="s">
        <v>13062</v>
      </c>
      <c r="BT695" t="str">
        <f>HYPERLINK("https%3A%2F%2Fwww.webofscience.com%2Fwos%2Fwoscc%2Ffull-record%2FWOS:000394336000004","View Full Record in Web of Science")</f>
        <v>View Full Record in Web of Science</v>
      </c>
    </row>
    <row r="696" spans="1:72" x14ac:dyDescent="0.15">
      <c r="A696" t="s">
        <v>72</v>
      </c>
      <c r="B696" t="s">
        <v>13063</v>
      </c>
      <c r="C696" t="s">
        <v>74</v>
      </c>
      <c r="D696" t="s">
        <v>74</v>
      </c>
      <c r="E696" t="s">
        <v>74</v>
      </c>
      <c r="F696" t="s">
        <v>13064</v>
      </c>
      <c r="G696" t="s">
        <v>74</v>
      </c>
      <c r="H696" t="s">
        <v>74</v>
      </c>
      <c r="I696" t="s">
        <v>13065</v>
      </c>
      <c r="J696" t="s">
        <v>13041</v>
      </c>
      <c r="K696" t="s">
        <v>74</v>
      </c>
      <c r="L696" t="s">
        <v>74</v>
      </c>
      <c r="M696" t="s">
        <v>78</v>
      </c>
      <c r="N696" t="s">
        <v>79</v>
      </c>
      <c r="O696" t="s">
        <v>74</v>
      </c>
      <c r="P696" t="s">
        <v>74</v>
      </c>
      <c r="Q696" t="s">
        <v>74</v>
      </c>
      <c r="R696" t="s">
        <v>74</v>
      </c>
      <c r="S696" t="s">
        <v>74</v>
      </c>
      <c r="T696" t="s">
        <v>13066</v>
      </c>
      <c r="U696" t="s">
        <v>13067</v>
      </c>
      <c r="V696" t="s">
        <v>13068</v>
      </c>
      <c r="W696" t="s">
        <v>13069</v>
      </c>
      <c r="X696" t="s">
        <v>13070</v>
      </c>
      <c r="Y696" t="s">
        <v>13071</v>
      </c>
      <c r="Z696" t="s">
        <v>13072</v>
      </c>
      <c r="AA696" t="s">
        <v>13073</v>
      </c>
      <c r="AB696" t="s">
        <v>74</v>
      </c>
      <c r="AC696" t="s">
        <v>13074</v>
      </c>
      <c r="AD696" t="s">
        <v>13075</v>
      </c>
      <c r="AE696" t="s">
        <v>13076</v>
      </c>
      <c r="AF696" t="s">
        <v>74</v>
      </c>
      <c r="AG696">
        <v>43</v>
      </c>
      <c r="AH696">
        <v>0</v>
      </c>
      <c r="AI696">
        <v>0</v>
      </c>
      <c r="AJ696">
        <v>0</v>
      </c>
      <c r="AK696">
        <v>3</v>
      </c>
      <c r="AL696" t="s">
        <v>7449</v>
      </c>
      <c r="AM696" t="s">
        <v>187</v>
      </c>
      <c r="AN696" t="s">
        <v>7450</v>
      </c>
      <c r="AO696" t="s">
        <v>13054</v>
      </c>
      <c r="AP696" t="s">
        <v>13055</v>
      </c>
      <c r="AQ696" t="s">
        <v>74</v>
      </c>
      <c r="AR696" t="s">
        <v>13056</v>
      </c>
      <c r="AS696" t="s">
        <v>13057</v>
      </c>
      <c r="AT696" t="s">
        <v>12991</v>
      </c>
      <c r="AU696">
        <v>2016</v>
      </c>
      <c r="AV696">
        <v>43</v>
      </c>
      <c r="AW696">
        <v>7</v>
      </c>
      <c r="AX696" t="s">
        <v>74</v>
      </c>
      <c r="AY696" t="s">
        <v>74</v>
      </c>
      <c r="AZ696" t="s">
        <v>74</v>
      </c>
      <c r="BA696" t="s">
        <v>74</v>
      </c>
      <c r="BB696">
        <v>619</v>
      </c>
      <c r="BC696">
        <v>627</v>
      </c>
      <c r="BD696" t="s">
        <v>74</v>
      </c>
      <c r="BE696" t="s">
        <v>13077</v>
      </c>
      <c r="BF696" t="str">
        <f>HYPERLINK("http://dx.doi.org/10.1134/S1062359016070050","http://dx.doi.org/10.1134/S1062359016070050")</f>
        <v>http://dx.doi.org/10.1134/S1062359016070050</v>
      </c>
      <c r="BG696" t="s">
        <v>74</v>
      </c>
      <c r="BH696" t="s">
        <v>74</v>
      </c>
      <c r="BI696">
        <v>9</v>
      </c>
      <c r="BJ696" t="s">
        <v>13059</v>
      </c>
      <c r="BK696" t="s">
        <v>101</v>
      </c>
      <c r="BL696" t="s">
        <v>13060</v>
      </c>
      <c r="BM696" t="s">
        <v>13061</v>
      </c>
      <c r="BN696" t="s">
        <v>74</v>
      </c>
      <c r="BO696" t="s">
        <v>74</v>
      </c>
      <c r="BP696" t="s">
        <v>74</v>
      </c>
      <c r="BQ696" t="s">
        <v>74</v>
      </c>
      <c r="BR696" t="s">
        <v>105</v>
      </c>
      <c r="BS696" t="s">
        <v>13078</v>
      </c>
      <c r="BT696" t="str">
        <f>HYPERLINK("https%3A%2F%2Fwww.webofscience.com%2Fwos%2Fwoscc%2Ffull-record%2FWOS:000394336000005","View Full Record in Web of Science")</f>
        <v>View Full Record in Web of Science</v>
      </c>
    </row>
    <row r="697" spans="1:72" x14ac:dyDescent="0.15">
      <c r="A697" t="s">
        <v>72</v>
      </c>
      <c r="B697" t="s">
        <v>13079</v>
      </c>
      <c r="C697" t="s">
        <v>74</v>
      </c>
      <c r="D697" t="s">
        <v>74</v>
      </c>
      <c r="E697" t="s">
        <v>74</v>
      </c>
      <c r="F697" t="s">
        <v>13080</v>
      </c>
      <c r="G697" t="s">
        <v>74</v>
      </c>
      <c r="H697" t="s">
        <v>74</v>
      </c>
      <c r="I697" t="s">
        <v>13081</v>
      </c>
      <c r="J697" t="s">
        <v>13082</v>
      </c>
      <c r="K697" t="s">
        <v>74</v>
      </c>
      <c r="L697" t="s">
        <v>74</v>
      </c>
      <c r="M697" t="s">
        <v>78</v>
      </c>
      <c r="N697" t="s">
        <v>79</v>
      </c>
      <c r="O697" t="s">
        <v>74</v>
      </c>
      <c r="P697" t="s">
        <v>74</v>
      </c>
      <c r="Q697" t="s">
        <v>74</v>
      </c>
      <c r="R697" t="s">
        <v>74</v>
      </c>
      <c r="S697" t="s">
        <v>74</v>
      </c>
      <c r="T697" t="s">
        <v>13083</v>
      </c>
      <c r="U697" t="s">
        <v>13084</v>
      </c>
      <c r="V697" t="s">
        <v>13085</v>
      </c>
      <c r="W697" t="s">
        <v>13086</v>
      </c>
      <c r="X697" t="s">
        <v>13087</v>
      </c>
      <c r="Y697" t="s">
        <v>13088</v>
      </c>
      <c r="Z697" t="s">
        <v>13089</v>
      </c>
      <c r="AA697" t="s">
        <v>13090</v>
      </c>
      <c r="AB697" t="s">
        <v>13091</v>
      </c>
      <c r="AC697" t="s">
        <v>13092</v>
      </c>
      <c r="AD697" t="s">
        <v>13093</v>
      </c>
      <c r="AE697" t="s">
        <v>13094</v>
      </c>
      <c r="AF697" t="s">
        <v>74</v>
      </c>
      <c r="AG697">
        <v>47</v>
      </c>
      <c r="AH697">
        <v>15</v>
      </c>
      <c r="AI697">
        <v>15</v>
      </c>
      <c r="AJ697">
        <v>0</v>
      </c>
      <c r="AK697">
        <v>8</v>
      </c>
      <c r="AL697" t="s">
        <v>13095</v>
      </c>
      <c r="AM697" t="s">
        <v>13096</v>
      </c>
      <c r="AN697" t="s">
        <v>13097</v>
      </c>
      <c r="AO697" t="s">
        <v>13098</v>
      </c>
      <c r="AP697" t="s">
        <v>74</v>
      </c>
      <c r="AQ697" t="s">
        <v>74</v>
      </c>
      <c r="AR697" t="s">
        <v>13099</v>
      </c>
      <c r="AS697" t="s">
        <v>13100</v>
      </c>
      <c r="AT697" t="s">
        <v>12991</v>
      </c>
      <c r="AU697">
        <v>2016</v>
      </c>
      <c r="AV697">
        <v>36</v>
      </c>
      <c r="AW697" t="s">
        <v>74</v>
      </c>
      <c r="AX697" t="s">
        <v>74</v>
      </c>
      <c r="AY697" t="s">
        <v>74</v>
      </c>
      <c r="AZ697" t="s">
        <v>74</v>
      </c>
      <c r="BA697" t="s">
        <v>74</v>
      </c>
      <c r="BB697">
        <v>25</v>
      </c>
      <c r="BC697">
        <v>44</v>
      </c>
      <c r="BD697" t="s">
        <v>74</v>
      </c>
      <c r="BE697" t="s">
        <v>74</v>
      </c>
      <c r="BF697" t="s">
        <v>74</v>
      </c>
      <c r="BG697" t="s">
        <v>74</v>
      </c>
      <c r="BH697" t="s">
        <v>74</v>
      </c>
      <c r="BI697">
        <v>20</v>
      </c>
      <c r="BJ697" t="s">
        <v>747</v>
      </c>
      <c r="BK697" t="s">
        <v>2057</v>
      </c>
      <c r="BL697" t="s">
        <v>747</v>
      </c>
      <c r="BM697" t="s">
        <v>13101</v>
      </c>
      <c r="BN697" t="s">
        <v>74</v>
      </c>
      <c r="BO697" t="s">
        <v>74</v>
      </c>
      <c r="BP697" t="s">
        <v>74</v>
      </c>
      <c r="BQ697" t="s">
        <v>74</v>
      </c>
      <c r="BR697" t="s">
        <v>105</v>
      </c>
      <c r="BS697" t="s">
        <v>13102</v>
      </c>
      <c r="BT697" t="str">
        <f>HYPERLINK("https%3A%2F%2Fwww.webofscience.com%2Fwos%2Fwoscc%2Ffull-record%2FWOS:000397092900002","View Full Record in Web of Science")</f>
        <v>View Full Record in Web of Science</v>
      </c>
    </row>
    <row r="698" spans="1:72" x14ac:dyDescent="0.15">
      <c r="A698" t="s">
        <v>72</v>
      </c>
      <c r="B698" t="s">
        <v>13103</v>
      </c>
      <c r="C698" t="s">
        <v>74</v>
      </c>
      <c r="D698" t="s">
        <v>74</v>
      </c>
      <c r="E698" t="s">
        <v>74</v>
      </c>
      <c r="F698" t="s">
        <v>13104</v>
      </c>
      <c r="G698" t="s">
        <v>74</v>
      </c>
      <c r="H698" t="s">
        <v>74</v>
      </c>
      <c r="I698" t="s">
        <v>13105</v>
      </c>
      <c r="J698" t="s">
        <v>2411</v>
      </c>
      <c r="K698" t="s">
        <v>74</v>
      </c>
      <c r="L698" t="s">
        <v>74</v>
      </c>
      <c r="M698" t="s">
        <v>78</v>
      </c>
      <c r="N698" t="s">
        <v>79</v>
      </c>
      <c r="O698" t="s">
        <v>74</v>
      </c>
      <c r="P698" t="s">
        <v>74</v>
      </c>
      <c r="Q698" t="s">
        <v>74</v>
      </c>
      <c r="R698" t="s">
        <v>74</v>
      </c>
      <c r="S698" t="s">
        <v>74</v>
      </c>
      <c r="T698" t="s">
        <v>13106</v>
      </c>
      <c r="U698" t="s">
        <v>13107</v>
      </c>
      <c r="V698" t="s">
        <v>13108</v>
      </c>
      <c r="W698" t="s">
        <v>13109</v>
      </c>
      <c r="X698" t="s">
        <v>13110</v>
      </c>
      <c r="Y698" t="s">
        <v>13111</v>
      </c>
      <c r="Z698" t="s">
        <v>13112</v>
      </c>
      <c r="AA698" t="s">
        <v>74</v>
      </c>
      <c r="AB698" t="s">
        <v>13113</v>
      </c>
      <c r="AC698" t="s">
        <v>13114</v>
      </c>
      <c r="AD698" t="s">
        <v>13115</v>
      </c>
      <c r="AE698" t="s">
        <v>13116</v>
      </c>
      <c r="AF698" t="s">
        <v>74</v>
      </c>
      <c r="AG698">
        <v>117</v>
      </c>
      <c r="AH698">
        <v>28</v>
      </c>
      <c r="AI698">
        <v>30</v>
      </c>
      <c r="AJ698">
        <v>0</v>
      </c>
      <c r="AK698">
        <v>6</v>
      </c>
      <c r="AL698" t="s">
        <v>264</v>
      </c>
      <c r="AM698" t="s">
        <v>169</v>
      </c>
      <c r="AN698" t="s">
        <v>265</v>
      </c>
      <c r="AO698" t="s">
        <v>2424</v>
      </c>
      <c r="AP698" t="s">
        <v>2425</v>
      </c>
      <c r="AQ698" t="s">
        <v>74</v>
      </c>
      <c r="AR698" t="s">
        <v>2426</v>
      </c>
      <c r="AS698" t="s">
        <v>2427</v>
      </c>
      <c r="AT698" t="s">
        <v>12991</v>
      </c>
      <c r="AU698">
        <v>2016</v>
      </c>
      <c r="AV698">
        <v>40</v>
      </c>
      <c r="AW698" t="s">
        <v>74</v>
      </c>
      <c r="AX698" t="s">
        <v>74</v>
      </c>
      <c r="AY698" t="s">
        <v>74</v>
      </c>
      <c r="AZ698" t="s">
        <v>74</v>
      </c>
      <c r="BA698" t="s">
        <v>74</v>
      </c>
      <c r="BB698">
        <v>91</v>
      </c>
      <c r="BC698">
        <v>106</v>
      </c>
      <c r="BD698" t="s">
        <v>74</v>
      </c>
      <c r="BE698" t="s">
        <v>13117</v>
      </c>
      <c r="BF698" t="str">
        <f>HYPERLINK("http://dx.doi.org/10.1016/j.gr.2016.08.005","http://dx.doi.org/10.1016/j.gr.2016.08.005")</f>
        <v>http://dx.doi.org/10.1016/j.gr.2016.08.005</v>
      </c>
      <c r="BG698" t="s">
        <v>74</v>
      </c>
      <c r="BH698" t="s">
        <v>74</v>
      </c>
      <c r="BI698">
        <v>16</v>
      </c>
      <c r="BJ698" t="s">
        <v>669</v>
      </c>
      <c r="BK698" t="s">
        <v>101</v>
      </c>
      <c r="BL698" t="s">
        <v>670</v>
      </c>
      <c r="BM698" t="s">
        <v>13118</v>
      </c>
      <c r="BN698" t="s">
        <v>74</v>
      </c>
      <c r="BO698" t="s">
        <v>301</v>
      </c>
      <c r="BP698" t="s">
        <v>74</v>
      </c>
      <c r="BQ698" t="s">
        <v>74</v>
      </c>
      <c r="BR698" t="s">
        <v>105</v>
      </c>
      <c r="BS698" t="s">
        <v>13119</v>
      </c>
      <c r="BT698" t="str">
        <f>HYPERLINK("https%3A%2F%2Fwww.webofscience.com%2Fwos%2Fwoscc%2Ffull-record%2FWOS:000397873100006","View Full Record in Web of Science")</f>
        <v>View Full Record in Web of Science</v>
      </c>
    </row>
    <row r="699" spans="1:72" x14ac:dyDescent="0.15">
      <c r="A699" t="s">
        <v>72</v>
      </c>
      <c r="B699" t="s">
        <v>13120</v>
      </c>
      <c r="C699" t="s">
        <v>74</v>
      </c>
      <c r="D699" t="s">
        <v>74</v>
      </c>
      <c r="E699" t="s">
        <v>74</v>
      </c>
      <c r="F699" t="s">
        <v>13121</v>
      </c>
      <c r="G699" t="s">
        <v>74</v>
      </c>
      <c r="H699" t="s">
        <v>74</v>
      </c>
      <c r="I699" t="s">
        <v>13122</v>
      </c>
      <c r="J699" t="s">
        <v>12542</v>
      </c>
      <c r="K699" t="s">
        <v>74</v>
      </c>
      <c r="L699" t="s">
        <v>74</v>
      </c>
      <c r="M699" t="s">
        <v>78</v>
      </c>
      <c r="N699" t="s">
        <v>79</v>
      </c>
      <c r="O699" t="s">
        <v>74</v>
      </c>
      <c r="P699" t="s">
        <v>74</v>
      </c>
      <c r="Q699" t="s">
        <v>74</v>
      </c>
      <c r="R699" t="s">
        <v>74</v>
      </c>
      <c r="S699" t="s">
        <v>74</v>
      </c>
      <c r="T699" t="s">
        <v>13123</v>
      </c>
      <c r="U699" t="s">
        <v>13124</v>
      </c>
      <c r="V699" t="s">
        <v>13125</v>
      </c>
      <c r="W699" t="s">
        <v>13126</v>
      </c>
      <c r="X699" t="s">
        <v>13127</v>
      </c>
      <c r="Y699" t="s">
        <v>13128</v>
      </c>
      <c r="Z699" t="s">
        <v>13129</v>
      </c>
      <c r="AA699" t="s">
        <v>13130</v>
      </c>
      <c r="AB699" t="s">
        <v>13131</v>
      </c>
      <c r="AC699" t="s">
        <v>13132</v>
      </c>
      <c r="AD699" t="s">
        <v>13133</v>
      </c>
      <c r="AE699" t="s">
        <v>13134</v>
      </c>
      <c r="AF699" t="s">
        <v>74</v>
      </c>
      <c r="AG699">
        <v>58</v>
      </c>
      <c r="AH699">
        <v>15</v>
      </c>
      <c r="AI699">
        <v>18</v>
      </c>
      <c r="AJ699">
        <v>1</v>
      </c>
      <c r="AK699">
        <v>29</v>
      </c>
      <c r="AL699" t="s">
        <v>8606</v>
      </c>
      <c r="AM699" t="s">
        <v>187</v>
      </c>
      <c r="AN699" t="s">
        <v>8607</v>
      </c>
      <c r="AO699" t="s">
        <v>12555</v>
      </c>
      <c r="AP699" t="s">
        <v>12556</v>
      </c>
      <c r="AQ699" t="s">
        <v>74</v>
      </c>
      <c r="AR699" t="s">
        <v>12557</v>
      </c>
      <c r="AS699" t="s">
        <v>12558</v>
      </c>
      <c r="AT699" t="s">
        <v>13135</v>
      </c>
      <c r="AU699">
        <v>2016</v>
      </c>
      <c r="AV699">
        <v>186</v>
      </c>
      <c r="AW699" t="s">
        <v>74</v>
      </c>
      <c r="AX699" t="s">
        <v>74</v>
      </c>
      <c r="AY699" t="s">
        <v>74</v>
      </c>
      <c r="AZ699" t="s">
        <v>74</v>
      </c>
      <c r="BA699" t="s">
        <v>74</v>
      </c>
      <c r="BB699">
        <v>358</v>
      </c>
      <c r="BC699">
        <v>371</v>
      </c>
      <c r="BD699" t="s">
        <v>74</v>
      </c>
      <c r="BE699" t="s">
        <v>13136</v>
      </c>
      <c r="BF699" t="str">
        <f>HYPERLINK("http://dx.doi.org/10.1016/j.rse.2016.09.001","http://dx.doi.org/10.1016/j.rse.2016.09.001")</f>
        <v>http://dx.doi.org/10.1016/j.rse.2016.09.001</v>
      </c>
      <c r="BG699" t="s">
        <v>74</v>
      </c>
      <c r="BH699" t="s">
        <v>74</v>
      </c>
      <c r="BI699">
        <v>14</v>
      </c>
      <c r="BJ699" t="s">
        <v>12560</v>
      </c>
      <c r="BK699" t="s">
        <v>101</v>
      </c>
      <c r="BL699" t="s">
        <v>12561</v>
      </c>
      <c r="BM699" t="s">
        <v>13137</v>
      </c>
      <c r="BN699" t="s">
        <v>74</v>
      </c>
      <c r="BO699" t="s">
        <v>74</v>
      </c>
      <c r="BP699" t="s">
        <v>74</v>
      </c>
      <c r="BQ699" t="s">
        <v>74</v>
      </c>
      <c r="BR699" t="s">
        <v>105</v>
      </c>
      <c r="BS699" t="s">
        <v>13138</v>
      </c>
      <c r="BT699" t="str">
        <f>HYPERLINK("https%3A%2F%2Fwww.webofscience.com%2Fwos%2Fwoscc%2Ffull-record%2FWOS:000396382500028","View Full Record in Web of Science")</f>
        <v>View Full Record in Web of Science</v>
      </c>
    </row>
    <row r="700" spans="1:72" x14ac:dyDescent="0.15">
      <c r="A700" t="s">
        <v>72</v>
      </c>
      <c r="B700" t="s">
        <v>13139</v>
      </c>
      <c r="C700" t="s">
        <v>74</v>
      </c>
      <c r="D700" t="s">
        <v>74</v>
      </c>
      <c r="E700" t="s">
        <v>74</v>
      </c>
      <c r="F700" t="s">
        <v>13140</v>
      </c>
      <c r="G700" t="s">
        <v>74</v>
      </c>
      <c r="H700" t="s">
        <v>74</v>
      </c>
      <c r="I700" t="s">
        <v>13141</v>
      </c>
      <c r="J700" t="s">
        <v>7892</v>
      </c>
      <c r="K700" t="s">
        <v>74</v>
      </c>
      <c r="L700" t="s">
        <v>74</v>
      </c>
      <c r="M700" t="s">
        <v>78</v>
      </c>
      <c r="N700" t="s">
        <v>2034</v>
      </c>
      <c r="O700" t="s">
        <v>74</v>
      </c>
      <c r="P700" t="s">
        <v>74</v>
      </c>
      <c r="Q700" t="s">
        <v>74</v>
      </c>
      <c r="R700" t="s">
        <v>74</v>
      </c>
      <c r="S700" t="s">
        <v>74</v>
      </c>
      <c r="T700" t="s">
        <v>13142</v>
      </c>
      <c r="U700" t="s">
        <v>13143</v>
      </c>
      <c r="V700" t="s">
        <v>13144</v>
      </c>
      <c r="W700" t="s">
        <v>13145</v>
      </c>
      <c r="X700" t="s">
        <v>13146</v>
      </c>
      <c r="Y700" t="s">
        <v>13147</v>
      </c>
      <c r="Z700" t="s">
        <v>13148</v>
      </c>
      <c r="AA700" t="s">
        <v>13149</v>
      </c>
      <c r="AB700" t="s">
        <v>13150</v>
      </c>
      <c r="AC700" t="s">
        <v>13151</v>
      </c>
      <c r="AD700" t="s">
        <v>2045</v>
      </c>
      <c r="AE700" t="s">
        <v>13152</v>
      </c>
      <c r="AF700" t="s">
        <v>74</v>
      </c>
      <c r="AG700">
        <v>91</v>
      </c>
      <c r="AH700">
        <v>19</v>
      </c>
      <c r="AI700">
        <v>21</v>
      </c>
      <c r="AJ700">
        <v>5</v>
      </c>
      <c r="AK700">
        <v>38</v>
      </c>
      <c r="AL700" t="s">
        <v>7449</v>
      </c>
      <c r="AM700" t="s">
        <v>187</v>
      </c>
      <c r="AN700" t="s">
        <v>7450</v>
      </c>
      <c r="AO700" t="s">
        <v>7902</v>
      </c>
      <c r="AP700" t="s">
        <v>7903</v>
      </c>
      <c r="AQ700" t="s">
        <v>74</v>
      </c>
      <c r="AR700" t="s">
        <v>7904</v>
      </c>
      <c r="AS700" t="s">
        <v>7905</v>
      </c>
      <c r="AT700" t="s">
        <v>12991</v>
      </c>
      <c r="AU700">
        <v>2016</v>
      </c>
      <c r="AV700">
        <v>52</v>
      </c>
      <c r="AW700">
        <v>9</v>
      </c>
      <c r="AX700" t="s">
        <v>74</v>
      </c>
      <c r="AY700" t="s">
        <v>74</v>
      </c>
      <c r="AZ700" t="s">
        <v>74</v>
      </c>
      <c r="BA700" t="s">
        <v>74</v>
      </c>
      <c r="BB700">
        <v>1012</v>
      </c>
      <c r="BC700">
        <v>1030</v>
      </c>
      <c r="BD700" t="s">
        <v>74</v>
      </c>
      <c r="BE700" t="s">
        <v>13153</v>
      </c>
      <c r="BF700" t="str">
        <f>HYPERLINK("http://dx.doi.org/10.1134/S0001433816090267","http://dx.doi.org/10.1134/S0001433816090267")</f>
        <v>http://dx.doi.org/10.1134/S0001433816090267</v>
      </c>
      <c r="BG700" t="s">
        <v>74</v>
      </c>
      <c r="BH700" t="s">
        <v>74</v>
      </c>
      <c r="BI700">
        <v>19</v>
      </c>
      <c r="BJ700" t="s">
        <v>6981</v>
      </c>
      <c r="BK700" t="s">
        <v>101</v>
      </c>
      <c r="BL700" t="s">
        <v>6981</v>
      </c>
      <c r="BM700" t="s">
        <v>13154</v>
      </c>
      <c r="BN700" t="s">
        <v>74</v>
      </c>
      <c r="BO700" t="s">
        <v>74</v>
      </c>
      <c r="BP700" t="s">
        <v>74</v>
      </c>
      <c r="BQ700" t="s">
        <v>74</v>
      </c>
      <c r="BR700" t="s">
        <v>105</v>
      </c>
      <c r="BS700" t="s">
        <v>13155</v>
      </c>
      <c r="BT700" t="str">
        <f>HYPERLINK("https%3A%2F%2Fwww.webofscience.com%2Fwos%2Fwoscc%2Ffull-record%2FWOS:000394270700013","View Full Record in Web of Science")</f>
        <v>View Full Record in Web of Science</v>
      </c>
    </row>
    <row r="701" spans="1:72" x14ac:dyDescent="0.15">
      <c r="A701" t="s">
        <v>72</v>
      </c>
      <c r="B701" t="s">
        <v>13156</v>
      </c>
      <c r="C701" t="s">
        <v>74</v>
      </c>
      <c r="D701" t="s">
        <v>74</v>
      </c>
      <c r="E701" t="s">
        <v>74</v>
      </c>
      <c r="F701" t="s">
        <v>13157</v>
      </c>
      <c r="G701" t="s">
        <v>74</v>
      </c>
      <c r="H701" t="s">
        <v>74</v>
      </c>
      <c r="I701" t="s">
        <v>13158</v>
      </c>
      <c r="J701" t="s">
        <v>7892</v>
      </c>
      <c r="K701" t="s">
        <v>74</v>
      </c>
      <c r="L701" t="s">
        <v>74</v>
      </c>
      <c r="M701" t="s">
        <v>78</v>
      </c>
      <c r="N701" t="s">
        <v>79</v>
      </c>
      <c r="O701" t="s">
        <v>74</v>
      </c>
      <c r="P701" t="s">
        <v>74</v>
      </c>
      <c r="Q701" t="s">
        <v>74</v>
      </c>
      <c r="R701" t="s">
        <v>74</v>
      </c>
      <c r="S701" t="s">
        <v>74</v>
      </c>
      <c r="T701" t="s">
        <v>13159</v>
      </c>
      <c r="U701" t="s">
        <v>13160</v>
      </c>
      <c r="V701" t="s">
        <v>13161</v>
      </c>
      <c r="W701" t="s">
        <v>13162</v>
      </c>
      <c r="X701" t="s">
        <v>13163</v>
      </c>
      <c r="Y701" t="s">
        <v>13164</v>
      </c>
      <c r="Z701" t="s">
        <v>13165</v>
      </c>
      <c r="AA701" t="s">
        <v>13166</v>
      </c>
      <c r="AB701" t="s">
        <v>13167</v>
      </c>
      <c r="AC701" t="s">
        <v>74</v>
      </c>
      <c r="AD701" t="s">
        <v>74</v>
      </c>
      <c r="AE701" t="s">
        <v>74</v>
      </c>
      <c r="AF701" t="s">
        <v>74</v>
      </c>
      <c r="AG701">
        <v>26</v>
      </c>
      <c r="AH701">
        <v>2</v>
      </c>
      <c r="AI701">
        <v>2</v>
      </c>
      <c r="AJ701">
        <v>1</v>
      </c>
      <c r="AK701">
        <v>8</v>
      </c>
      <c r="AL701" t="s">
        <v>7449</v>
      </c>
      <c r="AM701" t="s">
        <v>187</v>
      </c>
      <c r="AN701" t="s">
        <v>7450</v>
      </c>
      <c r="AO701" t="s">
        <v>7902</v>
      </c>
      <c r="AP701" t="s">
        <v>7903</v>
      </c>
      <c r="AQ701" t="s">
        <v>74</v>
      </c>
      <c r="AR701" t="s">
        <v>7904</v>
      </c>
      <c r="AS701" t="s">
        <v>7905</v>
      </c>
      <c r="AT701" t="s">
        <v>12991</v>
      </c>
      <c r="AU701">
        <v>2016</v>
      </c>
      <c r="AV701">
        <v>52</v>
      </c>
      <c r="AW701">
        <v>9</v>
      </c>
      <c r="AX701" t="s">
        <v>74</v>
      </c>
      <c r="AY701" t="s">
        <v>74</v>
      </c>
      <c r="AZ701" t="s">
        <v>74</v>
      </c>
      <c r="BA701" t="s">
        <v>74</v>
      </c>
      <c r="BB701">
        <v>1051</v>
      </c>
      <c r="BC701">
        <v>1063</v>
      </c>
      <c r="BD701" t="s">
        <v>74</v>
      </c>
      <c r="BE701" t="s">
        <v>13168</v>
      </c>
      <c r="BF701" t="str">
        <f>HYPERLINK("http://dx.doi.org/10.1134/S000143381609005X","http://dx.doi.org/10.1134/S000143381609005X")</f>
        <v>http://dx.doi.org/10.1134/S000143381609005X</v>
      </c>
      <c r="BG701" t="s">
        <v>74</v>
      </c>
      <c r="BH701" t="s">
        <v>74</v>
      </c>
      <c r="BI701">
        <v>13</v>
      </c>
      <c r="BJ701" t="s">
        <v>6981</v>
      </c>
      <c r="BK701" t="s">
        <v>101</v>
      </c>
      <c r="BL701" t="s">
        <v>6981</v>
      </c>
      <c r="BM701" t="s">
        <v>13154</v>
      </c>
      <c r="BN701" t="s">
        <v>74</v>
      </c>
      <c r="BO701" t="s">
        <v>74</v>
      </c>
      <c r="BP701" t="s">
        <v>74</v>
      </c>
      <c r="BQ701" t="s">
        <v>74</v>
      </c>
      <c r="BR701" t="s">
        <v>105</v>
      </c>
      <c r="BS701" t="s">
        <v>13169</v>
      </c>
      <c r="BT701" t="str">
        <f>HYPERLINK("https%3A%2F%2Fwww.webofscience.com%2Fwos%2Fwoscc%2Ffull-record%2FWOS:000394270700016","View Full Record in Web of Science")</f>
        <v>View Full Record in Web of Science</v>
      </c>
    </row>
    <row r="702" spans="1:72" x14ac:dyDescent="0.15">
      <c r="A702" t="s">
        <v>72</v>
      </c>
      <c r="B702" t="s">
        <v>13170</v>
      </c>
      <c r="C702" t="s">
        <v>74</v>
      </c>
      <c r="D702" t="s">
        <v>74</v>
      </c>
      <c r="E702" t="s">
        <v>74</v>
      </c>
      <c r="F702" t="s">
        <v>13171</v>
      </c>
      <c r="G702" t="s">
        <v>74</v>
      </c>
      <c r="H702" t="s">
        <v>74</v>
      </c>
      <c r="I702" t="s">
        <v>13172</v>
      </c>
      <c r="J702" t="s">
        <v>13173</v>
      </c>
      <c r="K702" t="s">
        <v>74</v>
      </c>
      <c r="L702" t="s">
        <v>74</v>
      </c>
      <c r="M702" t="s">
        <v>78</v>
      </c>
      <c r="N702" t="s">
        <v>79</v>
      </c>
      <c r="O702" t="s">
        <v>74</v>
      </c>
      <c r="P702" t="s">
        <v>74</v>
      </c>
      <c r="Q702" t="s">
        <v>74</v>
      </c>
      <c r="R702" t="s">
        <v>74</v>
      </c>
      <c r="S702" t="s">
        <v>74</v>
      </c>
      <c r="T702" t="s">
        <v>74</v>
      </c>
      <c r="U702" t="s">
        <v>13174</v>
      </c>
      <c r="V702" t="s">
        <v>13175</v>
      </c>
      <c r="W702" t="s">
        <v>13176</v>
      </c>
      <c r="X702" t="s">
        <v>13177</v>
      </c>
      <c r="Y702" t="s">
        <v>13178</v>
      </c>
      <c r="Z702" t="s">
        <v>13179</v>
      </c>
      <c r="AA702" t="s">
        <v>13180</v>
      </c>
      <c r="AB702" t="s">
        <v>74</v>
      </c>
      <c r="AC702" t="s">
        <v>13181</v>
      </c>
      <c r="AD702" t="s">
        <v>13182</v>
      </c>
      <c r="AE702" t="s">
        <v>13183</v>
      </c>
      <c r="AF702" t="s">
        <v>74</v>
      </c>
      <c r="AG702">
        <v>31</v>
      </c>
      <c r="AH702">
        <v>16</v>
      </c>
      <c r="AI702">
        <v>17</v>
      </c>
      <c r="AJ702">
        <v>0</v>
      </c>
      <c r="AK702">
        <v>4</v>
      </c>
      <c r="AL702" t="s">
        <v>13184</v>
      </c>
      <c r="AM702" t="s">
        <v>93</v>
      </c>
      <c r="AN702" t="s">
        <v>13185</v>
      </c>
      <c r="AO702" t="s">
        <v>13186</v>
      </c>
      <c r="AP702" t="s">
        <v>13187</v>
      </c>
      <c r="AQ702" t="s">
        <v>74</v>
      </c>
      <c r="AR702" t="s">
        <v>13188</v>
      </c>
      <c r="AS702" t="s">
        <v>13189</v>
      </c>
      <c r="AT702" t="s">
        <v>12991</v>
      </c>
      <c r="AU702">
        <v>2016</v>
      </c>
      <c r="AV702">
        <v>66</v>
      </c>
      <c r="AW702" t="s">
        <v>74</v>
      </c>
      <c r="AX702">
        <v>12</v>
      </c>
      <c r="AY702" t="s">
        <v>74</v>
      </c>
      <c r="AZ702" t="s">
        <v>74</v>
      </c>
      <c r="BA702" t="s">
        <v>74</v>
      </c>
      <c r="BB702">
        <v>5140</v>
      </c>
      <c r="BC702">
        <v>5144</v>
      </c>
      <c r="BD702" t="s">
        <v>74</v>
      </c>
      <c r="BE702" t="s">
        <v>13190</v>
      </c>
      <c r="BF702" t="str">
        <f>HYPERLINK("http://dx.doi.org/10.1099/ijsem.0.001486","http://dx.doi.org/10.1099/ijsem.0.001486")</f>
        <v>http://dx.doi.org/10.1099/ijsem.0.001486</v>
      </c>
      <c r="BG702" t="s">
        <v>74</v>
      </c>
      <c r="BH702" t="s">
        <v>74</v>
      </c>
      <c r="BI702">
        <v>5</v>
      </c>
      <c r="BJ702" t="s">
        <v>2026</v>
      </c>
      <c r="BK702" t="s">
        <v>101</v>
      </c>
      <c r="BL702" t="s">
        <v>2026</v>
      </c>
      <c r="BM702" t="s">
        <v>13191</v>
      </c>
      <c r="BN702">
        <v>27613602</v>
      </c>
      <c r="BO702" t="s">
        <v>672</v>
      </c>
      <c r="BP702" t="s">
        <v>74</v>
      </c>
      <c r="BQ702" t="s">
        <v>74</v>
      </c>
      <c r="BR702" t="s">
        <v>105</v>
      </c>
      <c r="BS702" t="s">
        <v>13192</v>
      </c>
      <c r="BT702" t="str">
        <f>HYPERLINK("https%3A%2F%2Fwww.webofscience.com%2Fwos%2Fwoscc%2Ffull-record%2FWOS:000393357900039","View Full Record in Web of Science")</f>
        <v>View Full Record in Web of Science</v>
      </c>
    </row>
    <row r="703" spans="1:72" x14ac:dyDescent="0.15">
      <c r="A703" t="s">
        <v>72</v>
      </c>
      <c r="B703" t="s">
        <v>13193</v>
      </c>
      <c r="C703" t="s">
        <v>74</v>
      </c>
      <c r="D703" t="s">
        <v>74</v>
      </c>
      <c r="E703" t="s">
        <v>74</v>
      </c>
      <c r="F703" t="s">
        <v>13194</v>
      </c>
      <c r="G703" t="s">
        <v>74</v>
      </c>
      <c r="H703" t="s">
        <v>74</v>
      </c>
      <c r="I703" t="s">
        <v>13195</v>
      </c>
      <c r="J703" t="s">
        <v>13173</v>
      </c>
      <c r="K703" t="s">
        <v>74</v>
      </c>
      <c r="L703" t="s">
        <v>74</v>
      </c>
      <c r="M703" t="s">
        <v>78</v>
      </c>
      <c r="N703" t="s">
        <v>79</v>
      </c>
      <c r="O703" t="s">
        <v>74</v>
      </c>
      <c r="P703" t="s">
        <v>74</v>
      </c>
      <c r="Q703" t="s">
        <v>74</v>
      </c>
      <c r="R703" t="s">
        <v>74</v>
      </c>
      <c r="S703" t="s">
        <v>74</v>
      </c>
      <c r="T703" t="s">
        <v>74</v>
      </c>
      <c r="U703" t="s">
        <v>13196</v>
      </c>
      <c r="V703" t="s">
        <v>13197</v>
      </c>
      <c r="W703" t="s">
        <v>13198</v>
      </c>
      <c r="X703" t="s">
        <v>13199</v>
      </c>
      <c r="Y703" t="s">
        <v>13200</v>
      </c>
      <c r="Z703" t="s">
        <v>13201</v>
      </c>
      <c r="AA703" t="s">
        <v>13202</v>
      </c>
      <c r="AB703" t="s">
        <v>13203</v>
      </c>
      <c r="AC703" t="s">
        <v>13204</v>
      </c>
      <c r="AD703" t="s">
        <v>13205</v>
      </c>
      <c r="AE703" t="s">
        <v>13206</v>
      </c>
      <c r="AF703" t="s">
        <v>74</v>
      </c>
      <c r="AG703">
        <v>45</v>
      </c>
      <c r="AH703">
        <v>19</v>
      </c>
      <c r="AI703">
        <v>19</v>
      </c>
      <c r="AJ703">
        <v>2</v>
      </c>
      <c r="AK703">
        <v>20</v>
      </c>
      <c r="AL703" t="s">
        <v>13184</v>
      </c>
      <c r="AM703" t="s">
        <v>93</v>
      </c>
      <c r="AN703" t="s">
        <v>13207</v>
      </c>
      <c r="AO703" t="s">
        <v>13186</v>
      </c>
      <c r="AP703" t="s">
        <v>13187</v>
      </c>
      <c r="AQ703" t="s">
        <v>74</v>
      </c>
      <c r="AR703" t="s">
        <v>13188</v>
      </c>
      <c r="AS703" t="s">
        <v>13189</v>
      </c>
      <c r="AT703" t="s">
        <v>12991</v>
      </c>
      <c r="AU703">
        <v>2016</v>
      </c>
      <c r="AV703">
        <v>66</v>
      </c>
      <c r="AW703" t="s">
        <v>74</v>
      </c>
      <c r="AX703">
        <v>12</v>
      </c>
      <c r="AY703" t="s">
        <v>74</v>
      </c>
      <c r="AZ703" t="s">
        <v>74</v>
      </c>
      <c r="BA703" t="s">
        <v>74</v>
      </c>
      <c r="BB703">
        <v>5529</v>
      </c>
      <c r="BC703">
        <v>5536</v>
      </c>
      <c r="BD703" t="s">
        <v>74</v>
      </c>
      <c r="BE703" t="s">
        <v>13208</v>
      </c>
      <c r="BF703" t="str">
        <f>HYPERLINK("http://dx.doi.org/10.1099/ijsem.0.001552","http://dx.doi.org/10.1099/ijsem.0.001552")</f>
        <v>http://dx.doi.org/10.1099/ijsem.0.001552</v>
      </c>
      <c r="BG703" t="s">
        <v>74</v>
      </c>
      <c r="BH703" t="s">
        <v>74</v>
      </c>
      <c r="BI703">
        <v>8</v>
      </c>
      <c r="BJ703" t="s">
        <v>2026</v>
      </c>
      <c r="BK703" t="s">
        <v>101</v>
      </c>
      <c r="BL703" t="s">
        <v>2026</v>
      </c>
      <c r="BM703" t="s">
        <v>13191</v>
      </c>
      <c r="BN703">
        <v>27902285</v>
      </c>
      <c r="BO703" t="s">
        <v>672</v>
      </c>
      <c r="BP703" t="s">
        <v>74</v>
      </c>
      <c r="BQ703" t="s">
        <v>74</v>
      </c>
      <c r="BR703" t="s">
        <v>105</v>
      </c>
      <c r="BS703" t="s">
        <v>13209</v>
      </c>
      <c r="BT703" t="str">
        <f>HYPERLINK("https%3A%2F%2Fwww.webofscience.com%2Fwos%2Fwoscc%2Ffull-record%2FWOS:000393357900096","View Full Record in Web of Science")</f>
        <v>View Full Record in Web of Science</v>
      </c>
    </row>
    <row r="704" spans="1:72" x14ac:dyDescent="0.15">
      <c r="A704" t="s">
        <v>72</v>
      </c>
      <c r="B704" t="s">
        <v>7030</v>
      </c>
      <c r="C704" t="s">
        <v>74</v>
      </c>
      <c r="D704" t="s">
        <v>74</v>
      </c>
      <c r="E704" t="s">
        <v>74</v>
      </c>
      <c r="F704" t="s">
        <v>7032</v>
      </c>
      <c r="G704" t="s">
        <v>74</v>
      </c>
      <c r="H704" t="s">
        <v>74</v>
      </c>
      <c r="I704" t="s">
        <v>13210</v>
      </c>
      <c r="J704" t="s">
        <v>13211</v>
      </c>
      <c r="K704" t="s">
        <v>74</v>
      </c>
      <c r="L704" t="s">
        <v>74</v>
      </c>
      <c r="M704" t="s">
        <v>78</v>
      </c>
      <c r="N704" t="s">
        <v>79</v>
      </c>
      <c r="O704" t="s">
        <v>74</v>
      </c>
      <c r="P704" t="s">
        <v>74</v>
      </c>
      <c r="Q704" t="s">
        <v>74</v>
      </c>
      <c r="R704" t="s">
        <v>74</v>
      </c>
      <c r="S704" t="s">
        <v>74</v>
      </c>
      <c r="T704" t="s">
        <v>13212</v>
      </c>
      <c r="U704" t="s">
        <v>13213</v>
      </c>
      <c r="V704" t="s">
        <v>13214</v>
      </c>
      <c r="W704" t="s">
        <v>13215</v>
      </c>
      <c r="X704" t="s">
        <v>7042</v>
      </c>
      <c r="Y704" t="s">
        <v>13216</v>
      </c>
      <c r="Z704" t="s">
        <v>13217</v>
      </c>
      <c r="AA704" t="s">
        <v>74</v>
      </c>
      <c r="AB704" t="s">
        <v>74</v>
      </c>
      <c r="AC704" t="s">
        <v>7045</v>
      </c>
      <c r="AD704" t="s">
        <v>7046</v>
      </c>
      <c r="AE704" t="s">
        <v>13218</v>
      </c>
      <c r="AF704" t="s">
        <v>74</v>
      </c>
      <c r="AG704">
        <v>132</v>
      </c>
      <c r="AH704">
        <v>2</v>
      </c>
      <c r="AI704">
        <v>2</v>
      </c>
      <c r="AJ704">
        <v>0</v>
      </c>
      <c r="AK704">
        <v>12</v>
      </c>
      <c r="AL704" t="s">
        <v>3732</v>
      </c>
      <c r="AM704" t="s">
        <v>3733</v>
      </c>
      <c r="AN704" t="s">
        <v>13219</v>
      </c>
      <c r="AO704" t="s">
        <v>13220</v>
      </c>
      <c r="AP704" t="s">
        <v>13221</v>
      </c>
      <c r="AQ704" t="s">
        <v>74</v>
      </c>
      <c r="AR704" t="s">
        <v>13222</v>
      </c>
      <c r="AS704" t="s">
        <v>13223</v>
      </c>
      <c r="AT704" t="s">
        <v>12991</v>
      </c>
      <c r="AU704">
        <v>2016</v>
      </c>
      <c r="AV704">
        <v>25</v>
      </c>
      <c r="AW704">
        <v>14</v>
      </c>
      <c r="AX704" t="s">
        <v>74</v>
      </c>
      <c r="AY704" t="s">
        <v>74</v>
      </c>
      <c r="AZ704" t="s">
        <v>74</v>
      </c>
      <c r="BA704" t="s">
        <v>74</v>
      </c>
      <c r="BB704" t="s">
        <v>74</v>
      </c>
      <c r="BC704" t="s">
        <v>74</v>
      </c>
      <c r="BD704">
        <v>1630028</v>
      </c>
      <c r="BE704" t="s">
        <v>13224</v>
      </c>
      <c r="BF704" t="str">
        <f>HYPERLINK("http://dx.doi.org/10.1142/S0218271816300287","http://dx.doi.org/10.1142/S0218271816300287")</f>
        <v>http://dx.doi.org/10.1142/S0218271816300287</v>
      </c>
      <c r="BG704" t="s">
        <v>74</v>
      </c>
      <c r="BH704" t="s">
        <v>74</v>
      </c>
      <c r="BI704">
        <v>23</v>
      </c>
      <c r="BJ704" t="s">
        <v>2635</v>
      </c>
      <c r="BK704" t="s">
        <v>101</v>
      </c>
      <c r="BL704" t="s">
        <v>2635</v>
      </c>
      <c r="BM704" t="s">
        <v>13225</v>
      </c>
      <c r="BN704" t="s">
        <v>74</v>
      </c>
      <c r="BO704" t="s">
        <v>74</v>
      </c>
      <c r="BP704" t="s">
        <v>74</v>
      </c>
      <c r="BQ704" t="s">
        <v>74</v>
      </c>
      <c r="BR704" t="s">
        <v>105</v>
      </c>
      <c r="BS704" t="s">
        <v>13226</v>
      </c>
      <c r="BT704" t="str">
        <f>HYPERLINK("https%3A%2F%2Fwww.webofscience.com%2Fwos%2Fwoscc%2Ffull-record%2FWOS:000393323300005","View Full Record in Web of Science")</f>
        <v>View Full Record in Web of Science</v>
      </c>
    </row>
    <row r="705" spans="1:72" x14ac:dyDescent="0.15">
      <c r="A705" t="s">
        <v>72</v>
      </c>
      <c r="B705" t="s">
        <v>13227</v>
      </c>
      <c r="C705" t="s">
        <v>74</v>
      </c>
      <c r="D705" t="s">
        <v>74</v>
      </c>
      <c r="E705" t="s">
        <v>74</v>
      </c>
      <c r="F705" t="s">
        <v>13228</v>
      </c>
      <c r="G705" t="s">
        <v>74</v>
      </c>
      <c r="H705" t="s">
        <v>74</v>
      </c>
      <c r="I705" t="s">
        <v>13229</v>
      </c>
      <c r="J705" t="s">
        <v>8354</v>
      </c>
      <c r="K705" t="s">
        <v>74</v>
      </c>
      <c r="L705" t="s">
        <v>74</v>
      </c>
      <c r="M705" t="s">
        <v>78</v>
      </c>
      <c r="N705" t="s">
        <v>79</v>
      </c>
      <c r="O705" t="s">
        <v>74</v>
      </c>
      <c r="P705" t="s">
        <v>74</v>
      </c>
      <c r="Q705" t="s">
        <v>74</v>
      </c>
      <c r="R705" t="s">
        <v>74</v>
      </c>
      <c r="S705" t="s">
        <v>74</v>
      </c>
      <c r="T705" t="s">
        <v>74</v>
      </c>
      <c r="U705" t="s">
        <v>13230</v>
      </c>
      <c r="V705" t="s">
        <v>13231</v>
      </c>
      <c r="W705" t="s">
        <v>13232</v>
      </c>
      <c r="X705" t="s">
        <v>13233</v>
      </c>
      <c r="Y705" t="s">
        <v>13234</v>
      </c>
      <c r="Z705" t="s">
        <v>13235</v>
      </c>
      <c r="AA705" t="s">
        <v>13236</v>
      </c>
      <c r="AB705" t="s">
        <v>13237</v>
      </c>
      <c r="AC705" t="s">
        <v>13238</v>
      </c>
      <c r="AD705" t="s">
        <v>13239</v>
      </c>
      <c r="AE705" t="s">
        <v>13240</v>
      </c>
      <c r="AF705" t="s">
        <v>74</v>
      </c>
      <c r="AG705">
        <v>118</v>
      </c>
      <c r="AH705">
        <v>17</v>
      </c>
      <c r="AI705">
        <v>19</v>
      </c>
      <c r="AJ705">
        <v>2</v>
      </c>
      <c r="AK705">
        <v>13</v>
      </c>
      <c r="AL705" t="s">
        <v>661</v>
      </c>
      <c r="AM705" t="s">
        <v>142</v>
      </c>
      <c r="AN705" t="s">
        <v>662</v>
      </c>
      <c r="AO705" t="s">
        <v>8366</v>
      </c>
      <c r="AP705" t="s">
        <v>8367</v>
      </c>
      <c r="AQ705" t="s">
        <v>74</v>
      </c>
      <c r="AR705" t="s">
        <v>8368</v>
      </c>
      <c r="AS705" t="s">
        <v>8369</v>
      </c>
      <c r="AT705" t="s">
        <v>12991</v>
      </c>
      <c r="AU705">
        <v>2016</v>
      </c>
      <c r="AV705">
        <v>121</v>
      </c>
      <c r="AW705">
        <v>12</v>
      </c>
      <c r="AX705" t="s">
        <v>74</v>
      </c>
      <c r="AY705" t="s">
        <v>74</v>
      </c>
      <c r="AZ705" t="s">
        <v>74</v>
      </c>
      <c r="BA705" t="s">
        <v>74</v>
      </c>
      <c r="BB705">
        <v>8749</v>
      </c>
      <c r="BC705">
        <v>8769</v>
      </c>
      <c r="BD705" t="s">
        <v>74</v>
      </c>
      <c r="BE705" t="s">
        <v>13241</v>
      </c>
      <c r="BF705" t="str">
        <f>HYPERLINK("http://dx.doi.org/10.1002/2016JC012008","http://dx.doi.org/10.1002/2016JC012008")</f>
        <v>http://dx.doi.org/10.1002/2016JC012008</v>
      </c>
      <c r="BG705" t="s">
        <v>74</v>
      </c>
      <c r="BH705" t="s">
        <v>74</v>
      </c>
      <c r="BI705">
        <v>21</v>
      </c>
      <c r="BJ705" t="s">
        <v>2164</v>
      </c>
      <c r="BK705" t="s">
        <v>101</v>
      </c>
      <c r="BL705" t="s">
        <v>2164</v>
      </c>
      <c r="BM705" t="s">
        <v>13242</v>
      </c>
      <c r="BN705" t="s">
        <v>74</v>
      </c>
      <c r="BO705" t="s">
        <v>13243</v>
      </c>
      <c r="BP705" t="s">
        <v>74</v>
      </c>
      <c r="BQ705" t="s">
        <v>74</v>
      </c>
      <c r="BR705" t="s">
        <v>105</v>
      </c>
      <c r="BS705" t="s">
        <v>13244</v>
      </c>
      <c r="BT705" t="str">
        <f>HYPERLINK("https%3A%2F%2Fwww.webofscience.com%2Fwos%2Fwoscc%2Ffull-record%2FWOS:000393140400019","View Full Record in Web of Science")</f>
        <v>View Full Record in Web of Science</v>
      </c>
    </row>
    <row r="706" spans="1:72" x14ac:dyDescent="0.15">
      <c r="A706" t="s">
        <v>72</v>
      </c>
      <c r="B706" t="s">
        <v>13245</v>
      </c>
      <c r="C706" t="s">
        <v>74</v>
      </c>
      <c r="D706" t="s">
        <v>74</v>
      </c>
      <c r="E706" t="s">
        <v>74</v>
      </c>
      <c r="F706" t="s">
        <v>13246</v>
      </c>
      <c r="G706" t="s">
        <v>74</v>
      </c>
      <c r="H706" t="s">
        <v>74</v>
      </c>
      <c r="I706" t="s">
        <v>13247</v>
      </c>
      <c r="J706" t="s">
        <v>2617</v>
      </c>
      <c r="K706" t="s">
        <v>74</v>
      </c>
      <c r="L706" t="s">
        <v>74</v>
      </c>
      <c r="M706" t="s">
        <v>78</v>
      </c>
      <c r="N706" t="s">
        <v>79</v>
      </c>
      <c r="O706" t="s">
        <v>74</v>
      </c>
      <c r="P706" t="s">
        <v>74</v>
      </c>
      <c r="Q706" t="s">
        <v>74</v>
      </c>
      <c r="R706" t="s">
        <v>74</v>
      </c>
      <c r="S706" t="s">
        <v>74</v>
      </c>
      <c r="T706" t="s">
        <v>74</v>
      </c>
      <c r="U706" t="s">
        <v>13248</v>
      </c>
      <c r="V706" t="s">
        <v>13249</v>
      </c>
      <c r="W706" t="s">
        <v>13250</v>
      </c>
      <c r="X706" t="s">
        <v>13251</v>
      </c>
      <c r="Y706" t="s">
        <v>13252</v>
      </c>
      <c r="Z706" t="s">
        <v>13253</v>
      </c>
      <c r="AA706" t="s">
        <v>13254</v>
      </c>
      <c r="AB706" t="s">
        <v>13255</v>
      </c>
      <c r="AC706" t="s">
        <v>13256</v>
      </c>
      <c r="AD706" t="s">
        <v>13257</v>
      </c>
      <c r="AE706" t="s">
        <v>13258</v>
      </c>
      <c r="AF706" t="s">
        <v>74</v>
      </c>
      <c r="AG706">
        <v>37</v>
      </c>
      <c r="AH706">
        <v>33</v>
      </c>
      <c r="AI706">
        <v>33</v>
      </c>
      <c r="AJ706">
        <v>0</v>
      </c>
      <c r="AK706">
        <v>7</v>
      </c>
      <c r="AL706" t="s">
        <v>661</v>
      </c>
      <c r="AM706" t="s">
        <v>142</v>
      </c>
      <c r="AN706" t="s">
        <v>662</v>
      </c>
      <c r="AO706" t="s">
        <v>2630</v>
      </c>
      <c r="AP706" t="s">
        <v>2631</v>
      </c>
      <c r="AQ706" t="s">
        <v>74</v>
      </c>
      <c r="AR706" t="s">
        <v>2632</v>
      </c>
      <c r="AS706" t="s">
        <v>2633</v>
      </c>
      <c r="AT706" t="s">
        <v>12991</v>
      </c>
      <c r="AU706">
        <v>2016</v>
      </c>
      <c r="AV706">
        <v>121</v>
      </c>
      <c r="AW706">
        <v>12</v>
      </c>
      <c r="AX706" t="s">
        <v>74</v>
      </c>
      <c r="AY706" t="s">
        <v>74</v>
      </c>
      <c r="AZ706" t="s">
        <v>74</v>
      </c>
      <c r="BA706" t="s">
        <v>74</v>
      </c>
      <c r="BB706">
        <v>11620</v>
      </c>
      <c r="BC706">
        <v>11636</v>
      </c>
      <c r="BD706" t="s">
        <v>74</v>
      </c>
      <c r="BE706" t="s">
        <v>13259</v>
      </c>
      <c r="BF706" t="str">
        <f>HYPERLINK("http://dx.doi.org/10.1002/2016JA023515","http://dx.doi.org/10.1002/2016JA023515")</f>
        <v>http://dx.doi.org/10.1002/2016JA023515</v>
      </c>
      <c r="BG706" t="s">
        <v>74</v>
      </c>
      <c r="BH706" t="s">
        <v>74</v>
      </c>
      <c r="BI706">
        <v>17</v>
      </c>
      <c r="BJ706" t="s">
        <v>2635</v>
      </c>
      <c r="BK706" t="s">
        <v>101</v>
      </c>
      <c r="BL706" t="s">
        <v>2635</v>
      </c>
      <c r="BM706" t="s">
        <v>13260</v>
      </c>
      <c r="BN706" t="s">
        <v>74</v>
      </c>
      <c r="BO706" t="s">
        <v>506</v>
      </c>
      <c r="BP706" t="s">
        <v>74</v>
      </c>
      <c r="BQ706" t="s">
        <v>74</v>
      </c>
      <c r="BR706" t="s">
        <v>105</v>
      </c>
      <c r="BS706" t="s">
        <v>13261</v>
      </c>
      <c r="BT706" t="str">
        <f>HYPERLINK("https%3A%2F%2Fwww.webofscience.com%2Fwos%2Fwoscc%2Ffull-record%2FWOS:000393183300003","View Full Record in Web of Science")</f>
        <v>View Full Record in Web of Science</v>
      </c>
    </row>
    <row r="707" spans="1:72" x14ac:dyDescent="0.15">
      <c r="A707" t="s">
        <v>72</v>
      </c>
      <c r="B707" t="s">
        <v>13262</v>
      </c>
      <c r="C707" t="s">
        <v>74</v>
      </c>
      <c r="D707" t="s">
        <v>74</v>
      </c>
      <c r="E707" t="s">
        <v>74</v>
      </c>
      <c r="F707" t="s">
        <v>13263</v>
      </c>
      <c r="G707" t="s">
        <v>74</v>
      </c>
      <c r="H707" t="s">
        <v>74</v>
      </c>
      <c r="I707" t="s">
        <v>13264</v>
      </c>
      <c r="J707" t="s">
        <v>13265</v>
      </c>
      <c r="K707" t="s">
        <v>74</v>
      </c>
      <c r="L707" t="s">
        <v>74</v>
      </c>
      <c r="M707" t="s">
        <v>78</v>
      </c>
      <c r="N707" t="s">
        <v>52</v>
      </c>
      <c r="O707" t="s">
        <v>74</v>
      </c>
      <c r="P707" t="s">
        <v>74</v>
      </c>
      <c r="Q707" t="s">
        <v>74</v>
      </c>
      <c r="R707" t="s">
        <v>74</v>
      </c>
      <c r="S707" t="s">
        <v>74</v>
      </c>
      <c r="T707" t="s">
        <v>74</v>
      </c>
      <c r="U707" t="s">
        <v>74</v>
      </c>
      <c r="V707" t="s">
        <v>74</v>
      </c>
      <c r="W707" t="s">
        <v>13266</v>
      </c>
      <c r="X707" t="s">
        <v>13267</v>
      </c>
      <c r="Y707" t="s">
        <v>74</v>
      </c>
      <c r="Z707" t="s">
        <v>74</v>
      </c>
      <c r="AA707" t="s">
        <v>13268</v>
      </c>
      <c r="AB707" t="s">
        <v>13269</v>
      </c>
      <c r="AC707" t="s">
        <v>74</v>
      </c>
      <c r="AD707" t="s">
        <v>74</v>
      </c>
      <c r="AE707" t="s">
        <v>74</v>
      </c>
      <c r="AF707" t="s">
        <v>74</v>
      </c>
      <c r="AG707">
        <v>0</v>
      </c>
      <c r="AH707">
        <v>0</v>
      </c>
      <c r="AI707">
        <v>0</v>
      </c>
      <c r="AJ707">
        <v>0</v>
      </c>
      <c r="AK707">
        <v>7</v>
      </c>
      <c r="AL707" t="s">
        <v>13270</v>
      </c>
      <c r="AM707" t="s">
        <v>13271</v>
      </c>
      <c r="AN707" t="s">
        <v>13272</v>
      </c>
      <c r="AO707" t="s">
        <v>13273</v>
      </c>
      <c r="AP707" t="s">
        <v>74</v>
      </c>
      <c r="AQ707" t="s">
        <v>74</v>
      </c>
      <c r="AR707" t="s">
        <v>13274</v>
      </c>
      <c r="AS707" t="s">
        <v>13275</v>
      </c>
      <c r="AT707" t="s">
        <v>12991</v>
      </c>
      <c r="AU707">
        <v>2016</v>
      </c>
      <c r="AV707">
        <v>48</v>
      </c>
      <c r="AW707">
        <v>4</v>
      </c>
      <c r="AX707" t="s">
        <v>74</v>
      </c>
      <c r="AY707" t="s">
        <v>74</v>
      </c>
      <c r="AZ707" t="s">
        <v>74</v>
      </c>
      <c r="BA707" t="s">
        <v>74</v>
      </c>
      <c r="BB707">
        <v>384</v>
      </c>
      <c r="BC707">
        <v>385</v>
      </c>
      <c r="BD707" t="s">
        <v>74</v>
      </c>
      <c r="BE707" t="s">
        <v>74</v>
      </c>
      <c r="BF707" t="s">
        <v>74</v>
      </c>
      <c r="BG707" t="s">
        <v>74</v>
      </c>
      <c r="BH707" t="s">
        <v>74</v>
      </c>
      <c r="BI707">
        <v>2</v>
      </c>
      <c r="BJ707" t="s">
        <v>643</v>
      </c>
      <c r="BK707" t="s">
        <v>101</v>
      </c>
      <c r="BL707" t="s">
        <v>643</v>
      </c>
      <c r="BM707" t="s">
        <v>13276</v>
      </c>
      <c r="BN707" t="s">
        <v>74</v>
      </c>
      <c r="BO707" t="s">
        <v>74</v>
      </c>
      <c r="BP707" t="s">
        <v>74</v>
      </c>
      <c r="BQ707" t="s">
        <v>74</v>
      </c>
      <c r="BR707" t="s">
        <v>105</v>
      </c>
      <c r="BS707" t="s">
        <v>13277</v>
      </c>
      <c r="BT707" t="str">
        <f>HYPERLINK("https%3A%2F%2Fwww.webofscience.com%2Fwos%2Fwoscc%2Ffull-record%2FWOS:000392955800235","View Full Record in Web of Science")</f>
        <v>View Full Record in Web of Science</v>
      </c>
    </row>
    <row r="708" spans="1:72" x14ac:dyDescent="0.15">
      <c r="A708" t="s">
        <v>72</v>
      </c>
      <c r="B708" t="s">
        <v>13278</v>
      </c>
      <c r="C708" t="s">
        <v>74</v>
      </c>
      <c r="D708" t="s">
        <v>74</v>
      </c>
      <c r="E708" t="s">
        <v>74</v>
      </c>
      <c r="F708" t="s">
        <v>13279</v>
      </c>
      <c r="G708" t="s">
        <v>74</v>
      </c>
      <c r="H708" t="s">
        <v>74</v>
      </c>
      <c r="I708" t="s">
        <v>13280</v>
      </c>
      <c r="J708" t="s">
        <v>13281</v>
      </c>
      <c r="K708" t="s">
        <v>74</v>
      </c>
      <c r="L708" t="s">
        <v>74</v>
      </c>
      <c r="M708" t="s">
        <v>78</v>
      </c>
      <c r="N708" t="s">
        <v>79</v>
      </c>
      <c r="O708" t="s">
        <v>74</v>
      </c>
      <c r="P708" t="s">
        <v>74</v>
      </c>
      <c r="Q708" t="s">
        <v>74</v>
      </c>
      <c r="R708" t="s">
        <v>74</v>
      </c>
      <c r="S708" t="s">
        <v>74</v>
      </c>
      <c r="T708" t="s">
        <v>74</v>
      </c>
      <c r="U708" t="s">
        <v>13282</v>
      </c>
      <c r="V708" t="s">
        <v>13283</v>
      </c>
      <c r="W708" t="s">
        <v>13284</v>
      </c>
      <c r="X708" t="s">
        <v>13285</v>
      </c>
      <c r="Y708" t="s">
        <v>13286</v>
      </c>
      <c r="Z708" t="s">
        <v>13287</v>
      </c>
      <c r="AA708" t="s">
        <v>13288</v>
      </c>
      <c r="AB708" t="s">
        <v>13289</v>
      </c>
      <c r="AC708" t="s">
        <v>13290</v>
      </c>
      <c r="AD708" t="s">
        <v>13290</v>
      </c>
      <c r="AE708" t="s">
        <v>13291</v>
      </c>
      <c r="AF708" t="s">
        <v>74</v>
      </c>
      <c r="AG708">
        <v>37</v>
      </c>
      <c r="AH708">
        <v>1</v>
      </c>
      <c r="AI708">
        <v>1</v>
      </c>
      <c r="AJ708">
        <v>0</v>
      </c>
      <c r="AK708">
        <v>5</v>
      </c>
      <c r="AL708" t="s">
        <v>9474</v>
      </c>
      <c r="AM708" t="s">
        <v>9475</v>
      </c>
      <c r="AN708" t="s">
        <v>9476</v>
      </c>
      <c r="AO708" t="s">
        <v>13292</v>
      </c>
      <c r="AP708" t="s">
        <v>13293</v>
      </c>
      <c r="AQ708" t="s">
        <v>74</v>
      </c>
      <c r="AR708" t="s">
        <v>13294</v>
      </c>
      <c r="AS708" t="s">
        <v>13295</v>
      </c>
      <c r="AT708" t="s">
        <v>12991</v>
      </c>
      <c r="AU708">
        <v>2016</v>
      </c>
      <c r="AV708">
        <v>8</v>
      </c>
      <c r="AW708">
        <v>6</v>
      </c>
      <c r="AX708" t="s">
        <v>74</v>
      </c>
      <c r="AY708" t="s">
        <v>74</v>
      </c>
      <c r="AZ708" t="s">
        <v>74</v>
      </c>
      <c r="BA708" t="s">
        <v>74</v>
      </c>
      <c r="BB708">
        <v>751</v>
      </c>
      <c r="BC708">
        <v>756</v>
      </c>
      <c r="BD708" t="s">
        <v>74</v>
      </c>
      <c r="BE708" t="s">
        <v>13296</v>
      </c>
      <c r="BF708" t="str">
        <f>HYPERLINK("http://dx.doi.org/10.1130/L566.1","http://dx.doi.org/10.1130/L566.1")</f>
        <v>http://dx.doi.org/10.1130/L566.1</v>
      </c>
      <c r="BG708" t="s">
        <v>74</v>
      </c>
      <c r="BH708" t="s">
        <v>74</v>
      </c>
      <c r="BI708">
        <v>6</v>
      </c>
      <c r="BJ708" t="s">
        <v>10169</v>
      </c>
      <c r="BK708" t="s">
        <v>101</v>
      </c>
      <c r="BL708" t="s">
        <v>10169</v>
      </c>
      <c r="BM708" t="s">
        <v>13297</v>
      </c>
      <c r="BN708" t="s">
        <v>74</v>
      </c>
      <c r="BO708" t="s">
        <v>941</v>
      </c>
      <c r="BP708" t="s">
        <v>74</v>
      </c>
      <c r="BQ708" t="s">
        <v>74</v>
      </c>
      <c r="BR708" t="s">
        <v>105</v>
      </c>
      <c r="BS708" t="s">
        <v>13298</v>
      </c>
      <c r="BT708" t="str">
        <f>HYPERLINK("https%3A%2F%2Fwww.webofscience.com%2Fwos%2Fwoscc%2Ffull-record%2FWOS:000393059000011","View Full Record in Web of Science")</f>
        <v>View Full Record in Web of Science</v>
      </c>
    </row>
    <row r="709" spans="1:72" x14ac:dyDescent="0.15">
      <c r="A709" t="s">
        <v>72</v>
      </c>
      <c r="B709" t="s">
        <v>13299</v>
      </c>
      <c r="C709" t="s">
        <v>74</v>
      </c>
      <c r="D709" t="s">
        <v>74</v>
      </c>
      <c r="E709" t="s">
        <v>74</v>
      </c>
      <c r="F709" t="s">
        <v>13300</v>
      </c>
      <c r="G709" t="s">
        <v>74</v>
      </c>
      <c r="H709" t="s">
        <v>74</v>
      </c>
      <c r="I709" t="s">
        <v>13301</v>
      </c>
      <c r="J709" t="s">
        <v>13302</v>
      </c>
      <c r="K709" t="s">
        <v>74</v>
      </c>
      <c r="L709" t="s">
        <v>74</v>
      </c>
      <c r="M709" t="s">
        <v>78</v>
      </c>
      <c r="N709" t="s">
        <v>79</v>
      </c>
      <c r="O709" t="s">
        <v>74</v>
      </c>
      <c r="P709" t="s">
        <v>74</v>
      </c>
      <c r="Q709" t="s">
        <v>74</v>
      </c>
      <c r="R709" t="s">
        <v>74</v>
      </c>
      <c r="S709" t="s">
        <v>74</v>
      </c>
      <c r="T709" t="s">
        <v>13303</v>
      </c>
      <c r="U709" t="s">
        <v>13304</v>
      </c>
      <c r="V709" t="s">
        <v>13305</v>
      </c>
      <c r="W709" t="s">
        <v>13306</v>
      </c>
      <c r="X709" t="s">
        <v>13307</v>
      </c>
      <c r="Y709" t="s">
        <v>74</v>
      </c>
      <c r="Z709" t="s">
        <v>13308</v>
      </c>
      <c r="AA709" t="s">
        <v>74</v>
      </c>
      <c r="AB709" t="s">
        <v>74</v>
      </c>
      <c r="AC709" t="s">
        <v>13309</v>
      </c>
      <c r="AD709" t="s">
        <v>13309</v>
      </c>
      <c r="AE709" t="s">
        <v>13310</v>
      </c>
      <c r="AF709" t="s">
        <v>74</v>
      </c>
      <c r="AG709">
        <v>89</v>
      </c>
      <c r="AH709">
        <v>8</v>
      </c>
      <c r="AI709">
        <v>10</v>
      </c>
      <c r="AJ709">
        <v>1</v>
      </c>
      <c r="AK709">
        <v>18</v>
      </c>
      <c r="AL709" t="s">
        <v>13311</v>
      </c>
      <c r="AM709" t="s">
        <v>13312</v>
      </c>
      <c r="AN709" t="s">
        <v>13313</v>
      </c>
      <c r="AO709" t="s">
        <v>13314</v>
      </c>
      <c r="AP709" t="s">
        <v>13315</v>
      </c>
      <c r="AQ709" t="s">
        <v>74</v>
      </c>
      <c r="AR709" t="s">
        <v>13302</v>
      </c>
      <c r="AS709" t="s">
        <v>13316</v>
      </c>
      <c r="AT709" t="s">
        <v>12991</v>
      </c>
      <c r="AU709">
        <v>2016</v>
      </c>
      <c r="AV709">
        <v>56</v>
      </c>
      <c r="AW709">
        <v>4</v>
      </c>
      <c r="AX709" t="s">
        <v>74</v>
      </c>
      <c r="AY709" t="s">
        <v>74</v>
      </c>
      <c r="AZ709" t="s">
        <v>74</v>
      </c>
      <c r="BA709" t="s">
        <v>74</v>
      </c>
      <c r="BB709">
        <v>451</v>
      </c>
      <c r="BC709">
        <v>461</v>
      </c>
      <c r="BD709" t="s">
        <v>74</v>
      </c>
      <c r="BE709" t="s">
        <v>13317</v>
      </c>
      <c r="BF709" t="str">
        <f>HYPERLINK("http://dx.doi.org/10.1051/acarologia/20164135","http://dx.doi.org/10.1051/acarologia/20164135")</f>
        <v>http://dx.doi.org/10.1051/acarologia/20164135</v>
      </c>
      <c r="BG709" t="s">
        <v>74</v>
      </c>
      <c r="BH709" t="s">
        <v>74</v>
      </c>
      <c r="BI709">
        <v>11</v>
      </c>
      <c r="BJ709" t="s">
        <v>7264</v>
      </c>
      <c r="BK709" t="s">
        <v>101</v>
      </c>
      <c r="BL709" t="s">
        <v>7264</v>
      </c>
      <c r="BM709" t="s">
        <v>13318</v>
      </c>
      <c r="BN709" t="s">
        <v>74</v>
      </c>
      <c r="BO709" t="s">
        <v>725</v>
      </c>
      <c r="BP709" t="s">
        <v>74</v>
      </c>
      <c r="BQ709" t="s">
        <v>74</v>
      </c>
      <c r="BR709" t="s">
        <v>105</v>
      </c>
      <c r="BS709" t="s">
        <v>13319</v>
      </c>
      <c r="BT709" t="str">
        <f>HYPERLINK("https%3A%2F%2Fwww.webofscience.com%2Fwos%2Fwoscc%2Ffull-record%2FWOS:000392602700002","View Full Record in Web of Science")</f>
        <v>View Full Record in Web of Science</v>
      </c>
    </row>
    <row r="710" spans="1:72" x14ac:dyDescent="0.15">
      <c r="A710" t="s">
        <v>72</v>
      </c>
      <c r="B710" t="s">
        <v>13320</v>
      </c>
      <c r="C710" t="s">
        <v>74</v>
      </c>
      <c r="D710" t="s">
        <v>74</v>
      </c>
      <c r="E710" t="s">
        <v>74</v>
      </c>
      <c r="F710" t="s">
        <v>13321</v>
      </c>
      <c r="G710" t="s">
        <v>74</v>
      </c>
      <c r="H710" t="s">
        <v>74</v>
      </c>
      <c r="I710" t="s">
        <v>13322</v>
      </c>
      <c r="J710" t="s">
        <v>13323</v>
      </c>
      <c r="K710" t="s">
        <v>74</v>
      </c>
      <c r="L710" t="s">
        <v>74</v>
      </c>
      <c r="M710" t="s">
        <v>78</v>
      </c>
      <c r="N710" t="s">
        <v>79</v>
      </c>
      <c r="O710" t="s">
        <v>74</v>
      </c>
      <c r="P710" t="s">
        <v>74</v>
      </c>
      <c r="Q710" t="s">
        <v>74</v>
      </c>
      <c r="R710" t="s">
        <v>74</v>
      </c>
      <c r="S710" t="s">
        <v>74</v>
      </c>
      <c r="T710" t="s">
        <v>13324</v>
      </c>
      <c r="U710" t="s">
        <v>13325</v>
      </c>
      <c r="V710" t="s">
        <v>13326</v>
      </c>
      <c r="W710" t="s">
        <v>13327</v>
      </c>
      <c r="X710" t="s">
        <v>13328</v>
      </c>
      <c r="Y710" t="s">
        <v>13329</v>
      </c>
      <c r="Z710" t="s">
        <v>13330</v>
      </c>
      <c r="AA710" t="s">
        <v>13331</v>
      </c>
      <c r="AB710" t="s">
        <v>13332</v>
      </c>
      <c r="AC710" t="s">
        <v>13333</v>
      </c>
      <c r="AD710" t="s">
        <v>13334</v>
      </c>
      <c r="AE710" t="s">
        <v>13335</v>
      </c>
      <c r="AF710" t="s">
        <v>74</v>
      </c>
      <c r="AG710">
        <v>46</v>
      </c>
      <c r="AH710">
        <v>23</v>
      </c>
      <c r="AI710">
        <v>30</v>
      </c>
      <c r="AJ710">
        <v>1</v>
      </c>
      <c r="AK710">
        <v>25</v>
      </c>
      <c r="AL710" t="s">
        <v>13336</v>
      </c>
      <c r="AM710" t="s">
        <v>13337</v>
      </c>
      <c r="AN710" t="s">
        <v>13338</v>
      </c>
      <c r="AO710" t="s">
        <v>13339</v>
      </c>
      <c r="AP710" t="s">
        <v>74</v>
      </c>
      <c r="AQ710" t="s">
        <v>74</v>
      </c>
      <c r="AR710" t="s">
        <v>13340</v>
      </c>
      <c r="AS710" t="s">
        <v>13341</v>
      </c>
      <c r="AT710" t="s">
        <v>12991</v>
      </c>
      <c r="AU710">
        <v>2016</v>
      </c>
      <c r="AV710">
        <v>10</v>
      </c>
      <c r="AW710">
        <v>4</v>
      </c>
      <c r="AX710" t="s">
        <v>74</v>
      </c>
      <c r="AY710" t="s">
        <v>74</v>
      </c>
      <c r="AZ710" t="s">
        <v>74</v>
      </c>
      <c r="BA710" t="s">
        <v>74</v>
      </c>
      <c r="BB710">
        <v>2182</v>
      </c>
      <c r="BC710">
        <v>2202</v>
      </c>
      <c r="BD710" t="s">
        <v>74</v>
      </c>
      <c r="BE710" t="s">
        <v>13342</v>
      </c>
      <c r="BF710" t="str">
        <f>HYPERLINK("http://dx.doi.org/10.1214/16-AOAS970","http://dx.doi.org/10.1214/16-AOAS970")</f>
        <v>http://dx.doi.org/10.1214/16-AOAS970</v>
      </c>
      <c r="BG710" t="s">
        <v>74</v>
      </c>
      <c r="BH710" t="s">
        <v>74</v>
      </c>
      <c r="BI710">
        <v>21</v>
      </c>
      <c r="BJ710" t="s">
        <v>13343</v>
      </c>
      <c r="BK710" t="s">
        <v>101</v>
      </c>
      <c r="BL710" t="s">
        <v>13344</v>
      </c>
      <c r="BM710" t="s">
        <v>13345</v>
      </c>
      <c r="BN710" t="s">
        <v>74</v>
      </c>
      <c r="BO710" t="s">
        <v>463</v>
      </c>
      <c r="BP710" t="s">
        <v>74</v>
      </c>
      <c r="BQ710" t="s">
        <v>74</v>
      </c>
      <c r="BR710" t="s">
        <v>105</v>
      </c>
      <c r="BS710" t="s">
        <v>13346</v>
      </c>
      <c r="BT710" t="str">
        <f>HYPERLINK("https%3A%2F%2Fwww.webofscience.com%2Fwos%2Fwoscc%2Ffull-record%2FWOS:000392819100022","View Full Record in Web of Science")</f>
        <v>View Full Record in Web of Science</v>
      </c>
    </row>
    <row r="711" spans="1:72" x14ac:dyDescent="0.15">
      <c r="A711" t="s">
        <v>72</v>
      </c>
      <c r="B711" t="s">
        <v>13347</v>
      </c>
      <c r="C711" t="s">
        <v>74</v>
      </c>
      <c r="D711" t="s">
        <v>74</v>
      </c>
      <c r="E711" t="s">
        <v>74</v>
      </c>
      <c r="F711" t="s">
        <v>13348</v>
      </c>
      <c r="G711" t="s">
        <v>74</v>
      </c>
      <c r="H711" t="s">
        <v>74</v>
      </c>
      <c r="I711" t="s">
        <v>13349</v>
      </c>
      <c r="J711" t="s">
        <v>13323</v>
      </c>
      <c r="K711" t="s">
        <v>74</v>
      </c>
      <c r="L711" t="s">
        <v>74</v>
      </c>
      <c r="M711" t="s">
        <v>78</v>
      </c>
      <c r="N711" t="s">
        <v>79</v>
      </c>
      <c r="O711" t="s">
        <v>74</v>
      </c>
      <c r="P711" t="s">
        <v>74</v>
      </c>
      <c r="Q711" t="s">
        <v>74</v>
      </c>
      <c r="R711" t="s">
        <v>74</v>
      </c>
      <c r="S711" t="s">
        <v>74</v>
      </c>
      <c r="T711" t="s">
        <v>13350</v>
      </c>
      <c r="U711" t="s">
        <v>13351</v>
      </c>
      <c r="V711" t="s">
        <v>13352</v>
      </c>
      <c r="W711" t="s">
        <v>13353</v>
      </c>
      <c r="X711" t="s">
        <v>13354</v>
      </c>
      <c r="Y711" t="s">
        <v>13355</v>
      </c>
      <c r="Z711" t="s">
        <v>13356</v>
      </c>
      <c r="AA711" t="s">
        <v>13357</v>
      </c>
      <c r="AB711" t="s">
        <v>13358</v>
      </c>
      <c r="AC711" t="s">
        <v>13359</v>
      </c>
      <c r="AD711" t="s">
        <v>13360</v>
      </c>
      <c r="AE711" t="s">
        <v>13361</v>
      </c>
      <c r="AF711" t="s">
        <v>74</v>
      </c>
      <c r="AG711">
        <v>45</v>
      </c>
      <c r="AH711">
        <v>9</v>
      </c>
      <c r="AI711">
        <v>9</v>
      </c>
      <c r="AJ711">
        <v>0</v>
      </c>
      <c r="AK711">
        <v>7</v>
      </c>
      <c r="AL711" t="s">
        <v>13336</v>
      </c>
      <c r="AM711" t="s">
        <v>13337</v>
      </c>
      <c r="AN711" t="s">
        <v>13338</v>
      </c>
      <c r="AO711" t="s">
        <v>13339</v>
      </c>
      <c r="AP711" t="s">
        <v>74</v>
      </c>
      <c r="AQ711" t="s">
        <v>74</v>
      </c>
      <c r="AR711" t="s">
        <v>13340</v>
      </c>
      <c r="AS711" t="s">
        <v>13341</v>
      </c>
      <c r="AT711" t="s">
        <v>12991</v>
      </c>
      <c r="AU711">
        <v>2016</v>
      </c>
      <c r="AV711">
        <v>10</v>
      </c>
      <c r="AW711">
        <v>4</v>
      </c>
      <c r="AX711" t="s">
        <v>74</v>
      </c>
      <c r="AY711" t="s">
        <v>74</v>
      </c>
      <c r="AZ711" t="s">
        <v>74</v>
      </c>
      <c r="BA711" t="s">
        <v>74</v>
      </c>
      <c r="BB711">
        <v>2274</v>
      </c>
      <c r="BC711">
        <v>2302</v>
      </c>
      <c r="BD711" t="s">
        <v>74</v>
      </c>
      <c r="BE711" t="s">
        <v>13362</v>
      </c>
      <c r="BF711" t="str">
        <f>HYPERLINK("http://dx.doi.org/10.1214/16-AOAS979","http://dx.doi.org/10.1214/16-AOAS979")</f>
        <v>http://dx.doi.org/10.1214/16-AOAS979</v>
      </c>
      <c r="BG711" t="s">
        <v>74</v>
      </c>
      <c r="BH711" t="s">
        <v>74</v>
      </c>
      <c r="BI711">
        <v>29</v>
      </c>
      <c r="BJ711" t="s">
        <v>13343</v>
      </c>
      <c r="BK711" t="s">
        <v>101</v>
      </c>
      <c r="BL711" t="s">
        <v>13344</v>
      </c>
      <c r="BM711" t="s">
        <v>13345</v>
      </c>
      <c r="BN711" t="s">
        <v>74</v>
      </c>
      <c r="BO711" t="s">
        <v>396</v>
      </c>
      <c r="BP711" t="s">
        <v>74</v>
      </c>
      <c r="BQ711" t="s">
        <v>74</v>
      </c>
      <c r="BR711" t="s">
        <v>105</v>
      </c>
      <c r="BS711" t="s">
        <v>13363</v>
      </c>
      <c r="BT711" t="str">
        <f>HYPERLINK("https%3A%2F%2Fwww.webofscience.com%2Fwos%2Fwoscc%2Ffull-record%2FWOS:000392819100026","View Full Record in Web of Science")</f>
        <v>View Full Record in Web of Science</v>
      </c>
    </row>
    <row r="712" spans="1:72" x14ac:dyDescent="0.15">
      <c r="A712" t="s">
        <v>72</v>
      </c>
      <c r="B712" t="s">
        <v>13364</v>
      </c>
      <c r="C712" t="s">
        <v>74</v>
      </c>
      <c r="D712" t="s">
        <v>74</v>
      </c>
      <c r="E712" t="s">
        <v>74</v>
      </c>
      <c r="F712" t="s">
        <v>13365</v>
      </c>
      <c r="G712" t="s">
        <v>74</v>
      </c>
      <c r="H712" t="s">
        <v>74</v>
      </c>
      <c r="I712" t="s">
        <v>13366</v>
      </c>
      <c r="J712" t="s">
        <v>13367</v>
      </c>
      <c r="K712" t="s">
        <v>74</v>
      </c>
      <c r="L712" t="s">
        <v>74</v>
      </c>
      <c r="M712" t="s">
        <v>78</v>
      </c>
      <c r="N712" t="s">
        <v>79</v>
      </c>
      <c r="O712" t="s">
        <v>74</v>
      </c>
      <c r="P712" t="s">
        <v>74</v>
      </c>
      <c r="Q712" t="s">
        <v>74</v>
      </c>
      <c r="R712" t="s">
        <v>74</v>
      </c>
      <c r="S712" t="s">
        <v>74</v>
      </c>
      <c r="T712" t="s">
        <v>74</v>
      </c>
      <c r="U712" t="s">
        <v>13368</v>
      </c>
      <c r="V712" t="s">
        <v>13369</v>
      </c>
      <c r="W712" t="s">
        <v>13370</v>
      </c>
      <c r="X712" t="s">
        <v>13371</v>
      </c>
      <c r="Y712" t="s">
        <v>13372</v>
      </c>
      <c r="Z712" t="s">
        <v>13373</v>
      </c>
      <c r="AA712" t="s">
        <v>13374</v>
      </c>
      <c r="AB712" t="s">
        <v>13375</v>
      </c>
      <c r="AC712" t="s">
        <v>13376</v>
      </c>
      <c r="AD712" t="s">
        <v>13377</v>
      </c>
      <c r="AE712" t="s">
        <v>13378</v>
      </c>
      <c r="AF712" t="s">
        <v>74</v>
      </c>
      <c r="AG712">
        <v>110</v>
      </c>
      <c r="AH712">
        <v>32</v>
      </c>
      <c r="AI712">
        <v>33</v>
      </c>
      <c r="AJ712">
        <v>2</v>
      </c>
      <c r="AK712">
        <v>52</v>
      </c>
      <c r="AL712" t="s">
        <v>2377</v>
      </c>
      <c r="AM712" t="s">
        <v>2378</v>
      </c>
      <c r="AN712" t="s">
        <v>2379</v>
      </c>
      <c r="AO712" t="s">
        <v>13379</v>
      </c>
      <c r="AP712" t="s">
        <v>13380</v>
      </c>
      <c r="AQ712" t="s">
        <v>74</v>
      </c>
      <c r="AR712" t="s">
        <v>13381</v>
      </c>
      <c r="AS712" t="s">
        <v>13382</v>
      </c>
      <c r="AT712" t="s">
        <v>12991</v>
      </c>
      <c r="AU712">
        <v>2016</v>
      </c>
      <c r="AV712">
        <v>18</v>
      </c>
      <c r="AW712">
        <v>12</v>
      </c>
      <c r="AX712" t="s">
        <v>74</v>
      </c>
      <c r="AY712" t="s">
        <v>74</v>
      </c>
      <c r="AZ712" t="s">
        <v>74</v>
      </c>
      <c r="BA712" t="s">
        <v>74</v>
      </c>
      <c r="BB712">
        <v>5249</v>
      </c>
      <c r="BC712">
        <v>5264</v>
      </c>
      <c r="BD712" t="s">
        <v>74</v>
      </c>
      <c r="BE712" t="s">
        <v>13383</v>
      </c>
      <c r="BF712" t="str">
        <f>HYPERLINK("http://dx.doi.org/10.1111/1462-2920.13566","http://dx.doi.org/10.1111/1462-2920.13566")</f>
        <v>http://dx.doi.org/10.1111/1462-2920.13566</v>
      </c>
      <c r="BG712" t="s">
        <v>74</v>
      </c>
      <c r="BH712" t="s">
        <v>74</v>
      </c>
      <c r="BI712">
        <v>16</v>
      </c>
      <c r="BJ712" t="s">
        <v>2026</v>
      </c>
      <c r="BK712" t="s">
        <v>101</v>
      </c>
      <c r="BL712" t="s">
        <v>2026</v>
      </c>
      <c r="BM712" t="s">
        <v>13384</v>
      </c>
      <c r="BN712">
        <v>27709755</v>
      </c>
      <c r="BO712" t="s">
        <v>74</v>
      </c>
      <c r="BP712" t="s">
        <v>74</v>
      </c>
      <c r="BQ712" t="s">
        <v>74</v>
      </c>
      <c r="BR712" t="s">
        <v>105</v>
      </c>
      <c r="BS712" t="s">
        <v>13385</v>
      </c>
      <c r="BT712" t="str">
        <f>HYPERLINK("https%3A%2F%2Fwww.webofscience.com%2Fwos%2Fwoscc%2Ffull-record%2FWOS:000392946900070","View Full Record in Web of Science")</f>
        <v>View Full Record in Web of Science</v>
      </c>
    </row>
    <row r="713" spans="1:72" x14ac:dyDescent="0.15">
      <c r="A713" t="s">
        <v>72</v>
      </c>
      <c r="B713" t="s">
        <v>13386</v>
      </c>
      <c r="C713" t="s">
        <v>74</v>
      </c>
      <c r="D713" t="s">
        <v>74</v>
      </c>
      <c r="E713" t="s">
        <v>74</v>
      </c>
      <c r="F713" t="s">
        <v>13387</v>
      </c>
      <c r="G713" t="s">
        <v>74</v>
      </c>
      <c r="H713" t="s">
        <v>74</v>
      </c>
      <c r="I713" t="s">
        <v>13388</v>
      </c>
      <c r="J713" t="s">
        <v>2364</v>
      </c>
      <c r="K713" t="s">
        <v>74</v>
      </c>
      <c r="L713" t="s">
        <v>74</v>
      </c>
      <c r="M713" t="s">
        <v>78</v>
      </c>
      <c r="N713" t="s">
        <v>79</v>
      </c>
      <c r="O713" t="s">
        <v>74</v>
      </c>
      <c r="P713" t="s">
        <v>74</v>
      </c>
      <c r="Q713" t="s">
        <v>74</v>
      </c>
      <c r="R713" t="s">
        <v>74</v>
      </c>
      <c r="S713" t="s">
        <v>74</v>
      </c>
      <c r="T713" t="s">
        <v>13389</v>
      </c>
      <c r="U713" t="s">
        <v>13390</v>
      </c>
      <c r="V713" t="s">
        <v>13391</v>
      </c>
      <c r="W713" t="s">
        <v>13392</v>
      </c>
      <c r="X713" t="s">
        <v>13393</v>
      </c>
      <c r="Y713" t="s">
        <v>13394</v>
      </c>
      <c r="Z713" t="s">
        <v>13395</v>
      </c>
      <c r="AA713" t="s">
        <v>13396</v>
      </c>
      <c r="AB713" t="s">
        <v>13397</v>
      </c>
      <c r="AC713" t="s">
        <v>13398</v>
      </c>
      <c r="AD713" t="s">
        <v>13399</v>
      </c>
      <c r="AE713" t="s">
        <v>13400</v>
      </c>
      <c r="AF713" t="s">
        <v>74</v>
      </c>
      <c r="AG713">
        <v>34</v>
      </c>
      <c r="AH713">
        <v>5</v>
      </c>
      <c r="AI713">
        <v>6</v>
      </c>
      <c r="AJ713">
        <v>0</v>
      </c>
      <c r="AK713">
        <v>17</v>
      </c>
      <c r="AL713" t="s">
        <v>2377</v>
      </c>
      <c r="AM713" t="s">
        <v>2378</v>
      </c>
      <c r="AN713" t="s">
        <v>2379</v>
      </c>
      <c r="AO713" t="s">
        <v>2380</v>
      </c>
      <c r="AP713" t="s">
        <v>2381</v>
      </c>
      <c r="AQ713" t="s">
        <v>74</v>
      </c>
      <c r="AR713" t="s">
        <v>2382</v>
      </c>
      <c r="AS713" t="s">
        <v>2383</v>
      </c>
      <c r="AT713" t="s">
        <v>12991</v>
      </c>
      <c r="AU713">
        <v>2016</v>
      </c>
      <c r="AV713">
        <v>283</v>
      </c>
      <c r="AW713">
        <v>23</v>
      </c>
      <c r="AX713" t="s">
        <v>74</v>
      </c>
      <c r="AY713" t="s">
        <v>74</v>
      </c>
      <c r="AZ713" t="s">
        <v>74</v>
      </c>
      <c r="BA713" t="s">
        <v>74</v>
      </c>
      <c r="BB713">
        <v>4370</v>
      </c>
      <c r="BC713">
        <v>4385</v>
      </c>
      <c r="BD713" t="s">
        <v>74</v>
      </c>
      <c r="BE713" t="s">
        <v>13401</v>
      </c>
      <c r="BF713" t="str">
        <f>HYPERLINK("http://dx.doi.org/10.1111/febs.13929","http://dx.doi.org/10.1111/febs.13929")</f>
        <v>http://dx.doi.org/10.1111/febs.13929</v>
      </c>
      <c r="BG713" t="s">
        <v>74</v>
      </c>
      <c r="BH713" t="s">
        <v>74</v>
      </c>
      <c r="BI713">
        <v>16</v>
      </c>
      <c r="BJ713" t="s">
        <v>1107</v>
      </c>
      <c r="BK713" t="s">
        <v>101</v>
      </c>
      <c r="BL713" t="s">
        <v>1107</v>
      </c>
      <c r="BM713" t="s">
        <v>13402</v>
      </c>
      <c r="BN713">
        <v>27754607</v>
      </c>
      <c r="BO713" t="s">
        <v>506</v>
      </c>
      <c r="BP713" t="s">
        <v>74</v>
      </c>
      <c r="BQ713" t="s">
        <v>74</v>
      </c>
      <c r="BR713" t="s">
        <v>105</v>
      </c>
      <c r="BS713" t="s">
        <v>13403</v>
      </c>
      <c r="BT713" t="str">
        <f>HYPERLINK("https%3A%2F%2Fwww.webofscience.com%2Fwos%2Fwoscc%2Ffull-record%2FWOS:000392742500013","View Full Record in Web of Science")</f>
        <v>View Full Record in Web of Science</v>
      </c>
    </row>
    <row r="714" spans="1:72" x14ac:dyDescent="0.15">
      <c r="A714" t="s">
        <v>72</v>
      </c>
      <c r="B714" t="s">
        <v>13404</v>
      </c>
      <c r="C714" t="s">
        <v>74</v>
      </c>
      <c r="D714" t="s">
        <v>74</v>
      </c>
      <c r="E714" t="s">
        <v>74</v>
      </c>
      <c r="F714" t="s">
        <v>13405</v>
      </c>
      <c r="G714" t="s">
        <v>74</v>
      </c>
      <c r="H714" t="s">
        <v>74</v>
      </c>
      <c r="I714" t="s">
        <v>13406</v>
      </c>
      <c r="J714" t="s">
        <v>13407</v>
      </c>
      <c r="K714" t="s">
        <v>74</v>
      </c>
      <c r="L714" t="s">
        <v>74</v>
      </c>
      <c r="M714" t="s">
        <v>78</v>
      </c>
      <c r="N714" t="s">
        <v>79</v>
      </c>
      <c r="O714" t="s">
        <v>74</v>
      </c>
      <c r="P714" t="s">
        <v>74</v>
      </c>
      <c r="Q714" t="s">
        <v>74</v>
      </c>
      <c r="R714" t="s">
        <v>74</v>
      </c>
      <c r="S714" t="s">
        <v>74</v>
      </c>
      <c r="T714" t="s">
        <v>74</v>
      </c>
      <c r="U714" t="s">
        <v>13408</v>
      </c>
      <c r="V714" t="s">
        <v>13409</v>
      </c>
      <c r="W714" t="s">
        <v>13410</v>
      </c>
      <c r="X714" t="s">
        <v>13411</v>
      </c>
      <c r="Y714" t="s">
        <v>13412</v>
      </c>
      <c r="Z714" t="s">
        <v>74</v>
      </c>
      <c r="AA714" t="s">
        <v>13413</v>
      </c>
      <c r="AB714" t="s">
        <v>13414</v>
      </c>
      <c r="AC714" t="s">
        <v>13415</v>
      </c>
      <c r="AD714" t="s">
        <v>13415</v>
      </c>
      <c r="AE714" t="s">
        <v>13416</v>
      </c>
      <c r="AF714" t="s">
        <v>74</v>
      </c>
      <c r="AG714">
        <v>29</v>
      </c>
      <c r="AH714">
        <v>37</v>
      </c>
      <c r="AI714">
        <v>42</v>
      </c>
      <c r="AJ714">
        <v>0</v>
      </c>
      <c r="AK714">
        <v>14</v>
      </c>
      <c r="AL714" t="s">
        <v>9474</v>
      </c>
      <c r="AM714" t="s">
        <v>9475</v>
      </c>
      <c r="AN714" t="s">
        <v>9476</v>
      </c>
      <c r="AO714" t="s">
        <v>13417</v>
      </c>
      <c r="AP714" t="s">
        <v>13418</v>
      </c>
      <c r="AQ714" t="s">
        <v>74</v>
      </c>
      <c r="AR714" t="s">
        <v>13407</v>
      </c>
      <c r="AS714" t="s">
        <v>670</v>
      </c>
      <c r="AT714" t="s">
        <v>12991</v>
      </c>
      <c r="AU714">
        <v>2016</v>
      </c>
      <c r="AV714">
        <v>44</v>
      </c>
      <c r="AW714">
        <v>12</v>
      </c>
      <c r="AX714" t="s">
        <v>74</v>
      </c>
      <c r="AY714" t="s">
        <v>74</v>
      </c>
      <c r="AZ714" t="s">
        <v>74</v>
      </c>
      <c r="BA714" t="s">
        <v>74</v>
      </c>
      <c r="BB714">
        <v>1019</v>
      </c>
      <c r="BC714">
        <v>1022</v>
      </c>
      <c r="BD714" t="s">
        <v>74</v>
      </c>
      <c r="BE714" t="s">
        <v>13419</v>
      </c>
      <c r="BF714" t="str">
        <f>HYPERLINK("http://dx.doi.org/10.1130/G38350.1","http://dx.doi.org/10.1130/G38350.1")</f>
        <v>http://dx.doi.org/10.1130/G38350.1</v>
      </c>
      <c r="BG714" t="s">
        <v>74</v>
      </c>
      <c r="BH714" t="s">
        <v>74</v>
      </c>
      <c r="BI714">
        <v>4</v>
      </c>
      <c r="BJ714" t="s">
        <v>670</v>
      </c>
      <c r="BK714" t="s">
        <v>101</v>
      </c>
      <c r="BL714" t="s">
        <v>670</v>
      </c>
      <c r="BM714" t="s">
        <v>13420</v>
      </c>
      <c r="BN714" t="s">
        <v>74</v>
      </c>
      <c r="BO714" t="s">
        <v>74</v>
      </c>
      <c r="BP714" t="s">
        <v>74</v>
      </c>
      <c r="BQ714" t="s">
        <v>74</v>
      </c>
      <c r="BR714" t="s">
        <v>105</v>
      </c>
      <c r="BS714" t="s">
        <v>13421</v>
      </c>
      <c r="BT714" t="str">
        <f>HYPERLINK("https%3A%2F%2Fwww.webofscience.com%2Fwos%2Fwoscc%2Ffull-record%2FWOS:000392733800013","View Full Record in Web of Science")</f>
        <v>View Full Record in Web of Science</v>
      </c>
    </row>
    <row r="715" spans="1:72" x14ac:dyDescent="0.15">
      <c r="A715" t="s">
        <v>72</v>
      </c>
      <c r="B715" t="s">
        <v>13422</v>
      </c>
      <c r="C715" t="s">
        <v>74</v>
      </c>
      <c r="D715" t="s">
        <v>74</v>
      </c>
      <c r="E715" t="s">
        <v>74</v>
      </c>
      <c r="F715" t="s">
        <v>13423</v>
      </c>
      <c r="G715" t="s">
        <v>74</v>
      </c>
      <c r="H715" t="s">
        <v>74</v>
      </c>
      <c r="I715" t="s">
        <v>13424</v>
      </c>
      <c r="J715" t="s">
        <v>13425</v>
      </c>
      <c r="K715" t="s">
        <v>74</v>
      </c>
      <c r="L715" t="s">
        <v>74</v>
      </c>
      <c r="M715" t="s">
        <v>78</v>
      </c>
      <c r="N715" t="s">
        <v>79</v>
      </c>
      <c r="O715" t="s">
        <v>74</v>
      </c>
      <c r="P715" t="s">
        <v>74</v>
      </c>
      <c r="Q715" t="s">
        <v>74</v>
      </c>
      <c r="R715" t="s">
        <v>74</v>
      </c>
      <c r="S715" t="s">
        <v>74</v>
      </c>
      <c r="T715" t="s">
        <v>13426</v>
      </c>
      <c r="U715" t="s">
        <v>13427</v>
      </c>
      <c r="V715" t="s">
        <v>13428</v>
      </c>
      <c r="W715" t="s">
        <v>13429</v>
      </c>
      <c r="X715" t="s">
        <v>13430</v>
      </c>
      <c r="Y715" t="s">
        <v>13431</v>
      </c>
      <c r="Z715" t="s">
        <v>13432</v>
      </c>
      <c r="AA715" t="s">
        <v>13433</v>
      </c>
      <c r="AB715" t="s">
        <v>13434</v>
      </c>
      <c r="AC715" t="s">
        <v>13435</v>
      </c>
      <c r="AD715" t="s">
        <v>13435</v>
      </c>
      <c r="AE715" t="s">
        <v>13436</v>
      </c>
      <c r="AF715" t="s">
        <v>74</v>
      </c>
      <c r="AG715">
        <v>35</v>
      </c>
      <c r="AH715">
        <v>8</v>
      </c>
      <c r="AI715">
        <v>8</v>
      </c>
      <c r="AJ715">
        <v>1</v>
      </c>
      <c r="AK715">
        <v>21</v>
      </c>
      <c r="AL715" t="s">
        <v>8532</v>
      </c>
      <c r="AM715" t="s">
        <v>8533</v>
      </c>
      <c r="AN715" t="s">
        <v>8534</v>
      </c>
      <c r="AO715" t="s">
        <v>74</v>
      </c>
      <c r="AP715" t="s">
        <v>13437</v>
      </c>
      <c r="AQ715" t="s">
        <v>74</v>
      </c>
      <c r="AR715" t="s">
        <v>13438</v>
      </c>
      <c r="AS715" t="s">
        <v>13439</v>
      </c>
      <c r="AT715" t="s">
        <v>12991</v>
      </c>
      <c r="AU715">
        <v>2016</v>
      </c>
      <c r="AV715">
        <v>14</v>
      </c>
      <c r="AW715">
        <v>12</v>
      </c>
      <c r="AX715" t="s">
        <v>74</v>
      </c>
      <c r="AY715" t="s">
        <v>74</v>
      </c>
      <c r="AZ715" t="s">
        <v>74</v>
      </c>
      <c r="BA715" t="s">
        <v>74</v>
      </c>
      <c r="BB715" t="s">
        <v>74</v>
      </c>
      <c r="BC715" t="s">
        <v>74</v>
      </c>
      <c r="BD715">
        <v>219</v>
      </c>
      <c r="BE715" t="s">
        <v>13440</v>
      </c>
      <c r="BF715" t="str">
        <f>HYPERLINK("http://dx.doi.org/10.3390/md14120219","http://dx.doi.org/10.3390/md14120219")</f>
        <v>http://dx.doi.org/10.3390/md14120219</v>
      </c>
      <c r="BG715" t="s">
        <v>74</v>
      </c>
      <c r="BH715" t="s">
        <v>74</v>
      </c>
      <c r="BI715">
        <v>13</v>
      </c>
      <c r="BJ715" t="s">
        <v>13441</v>
      </c>
      <c r="BK715" t="s">
        <v>101</v>
      </c>
      <c r="BL715" t="s">
        <v>6485</v>
      </c>
      <c r="BM715" t="s">
        <v>13442</v>
      </c>
      <c r="BN715">
        <v>27916863</v>
      </c>
      <c r="BO715" t="s">
        <v>1368</v>
      </c>
      <c r="BP715" t="s">
        <v>74</v>
      </c>
      <c r="BQ715" t="s">
        <v>74</v>
      </c>
      <c r="BR715" t="s">
        <v>105</v>
      </c>
      <c r="BS715" t="s">
        <v>13443</v>
      </c>
      <c r="BT715" t="str">
        <f>HYPERLINK("https%3A%2F%2Fwww.webofscience.com%2Fwos%2Fwoscc%2Ffull-record%2FWOS:000392486100003","View Full Record in Web of Science")</f>
        <v>View Full Record in Web of Science</v>
      </c>
    </row>
    <row r="716" spans="1:72" x14ac:dyDescent="0.15">
      <c r="A716" t="s">
        <v>72</v>
      </c>
      <c r="B716" t="s">
        <v>13444</v>
      </c>
      <c r="C716" t="s">
        <v>74</v>
      </c>
      <c r="D716" t="s">
        <v>74</v>
      </c>
      <c r="E716" t="s">
        <v>74</v>
      </c>
      <c r="F716" t="s">
        <v>13445</v>
      </c>
      <c r="G716" t="s">
        <v>74</v>
      </c>
      <c r="H716" t="s">
        <v>74</v>
      </c>
      <c r="I716" t="s">
        <v>13446</v>
      </c>
      <c r="J716" t="s">
        <v>13447</v>
      </c>
      <c r="K716" t="s">
        <v>74</v>
      </c>
      <c r="L716" t="s">
        <v>74</v>
      </c>
      <c r="M716" t="s">
        <v>78</v>
      </c>
      <c r="N716" t="s">
        <v>79</v>
      </c>
      <c r="O716" t="s">
        <v>74</v>
      </c>
      <c r="P716" t="s">
        <v>74</v>
      </c>
      <c r="Q716" t="s">
        <v>74</v>
      </c>
      <c r="R716" t="s">
        <v>74</v>
      </c>
      <c r="S716" t="s">
        <v>74</v>
      </c>
      <c r="T716" t="s">
        <v>13448</v>
      </c>
      <c r="U716" t="s">
        <v>13449</v>
      </c>
      <c r="V716" t="s">
        <v>13450</v>
      </c>
      <c r="W716" t="s">
        <v>13451</v>
      </c>
      <c r="X716" t="s">
        <v>13452</v>
      </c>
      <c r="Y716" t="s">
        <v>13453</v>
      </c>
      <c r="Z716" t="s">
        <v>13454</v>
      </c>
      <c r="AA716" t="s">
        <v>13455</v>
      </c>
      <c r="AB716" t="s">
        <v>13456</v>
      </c>
      <c r="AC716" t="s">
        <v>13457</v>
      </c>
      <c r="AD716" t="s">
        <v>13458</v>
      </c>
      <c r="AE716" t="s">
        <v>13459</v>
      </c>
      <c r="AF716" t="s">
        <v>74</v>
      </c>
      <c r="AG716">
        <v>57</v>
      </c>
      <c r="AH716">
        <v>5</v>
      </c>
      <c r="AI716">
        <v>5</v>
      </c>
      <c r="AJ716">
        <v>0</v>
      </c>
      <c r="AK716">
        <v>4</v>
      </c>
      <c r="AL716" t="s">
        <v>3497</v>
      </c>
      <c r="AM716" t="s">
        <v>3498</v>
      </c>
      <c r="AN716" t="s">
        <v>3499</v>
      </c>
      <c r="AO716" t="s">
        <v>13460</v>
      </c>
      <c r="AP716" t="s">
        <v>74</v>
      </c>
      <c r="AQ716" t="s">
        <v>74</v>
      </c>
      <c r="AR716" t="s">
        <v>13461</v>
      </c>
      <c r="AS716" t="s">
        <v>13462</v>
      </c>
      <c r="AT716" t="s">
        <v>12991</v>
      </c>
      <c r="AU716">
        <v>2016</v>
      </c>
      <c r="AV716">
        <v>64</v>
      </c>
      <c r="AW716">
        <v>6</v>
      </c>
      <c r="AX716" t="s">
        <v>74</v>
      </c>
      <c r="AY716" t="s">
        <v>74</v>
      </c>
      <c r="AZ716" t="s">
        <v>74</v>
      </c>
      <c r="BA716" t="s">
        <v>74</v>
      </c>
      <c r="BB716">
        <v>2630</v>
      </c>
      <c r="BC716">
        <v>2649</v>
      </c>
      <c r="BD716" t="s">
        <v>74</v>
      </c>
      <c r="BE716" t="s">
        <v>13463</v>
      </c>
      <c r="BF716" t="str">
        <f>HYPERLINK("http://dx.doi.org/10.1515/acgeo-2016-0096","http://dx.doi.org/10.1515/acgeo-2016-0096")</f>
        <v>http://dx.doi.org/10.1515/acgeo-2016-0096</v>
      </c>
      <c r="BG716" t="s">
        <v>74</v>
      </c>
      <c r="BH716" t="s">
        <v>74</v>
      </c>
      <c r="BI716">
        <v>20</v>
      </c>
      <c r="BJ716" t="s">
        <v>299</v>
      </c>
      <c r="BK716" t="s">
        <v>101</v>
      </c>
      <c r="BL716" t="s">
        <v>299</v>
      </c>
      <c r="BM716" t="s">
        <v>13464</v>
      </c>
      <c r="BN716" t="s">
        <v>74</v>
      </c>
      <c r="BO716" t="s">
        <v>301</v>
      </c>
      <c r="BP716" t="s">
        <v>74</v>
      </c>
      <c r="BQ716" t="s">
        <v>74</v>
      </c>
      <c r="BR716" t="s">
        <v>105</v>
      </c>
      <c r="BS716" t="s">
        <v>13465</v>
      </c>
      <c r="BT716" t="str">
        <f>HYPERLINK("https%3A%2F%2Fwww.webofscience.com%2Fwos%2Fwoscc%2Ffull-record%2FWOS:000391967700030","View Full Record in Web of Science")</f>
        <v>View Full Record in Web of Science</v>
      </c>
    </row>
    <row r="717" spans="1:72" x14ac:dyDescent="0.15">
      <c r="A717" t="s">
        <v>72</v>
      </c>
      <c r="B717" t="s">
        <v>13466</v>
      </c>
      <c r="C717" t="s">
        <v>74</v>
      </c>
      <c r="D717" t="s">
        <v>74</v>
      </c>
      <c r="E717" t="s">
        <v>74</v>
      </c>
      <c r="F717" t="s">
        <v>13467</v>
      </c>
      <c r="G717" t="s">
        <v>74</v>
      </c>
      <c r="H717" t="s">
        <v>74</v>
      </c>
      <c r="I717" t="s">
        <v>13468</v>
      </c>
      <c r="J717" t="s">
        <v>13469</v>
      </c>
      <c r="K717" t="s">
        <v>74</v>
      </c>
      <c r="L717" t="s">
        <v>74</v>
      </c>
      <c r="M717" t="s">
        <v>78</v>
      </c>
      <c r="N717" t="s">
        <v>79</v>
      </c>
      <c r="O717" t="s">
        <v>74</v>
      </c>
      <c r="P717" t="s">
        <v>74</v>
      </c>
      <c r="Q717" t="s">
        <v>74</v>
      </c>
      <c r="R717" t="s">
        <v>74</v>
      </c>
      <c r="S717" t="s">
        <v>74</v>
      </c>
      <c r="T717" t="s">
        <v>74</v>
      </c>
      <c r="U717" t="s">
        <v>13470</v>
      </c>
      <c r="V717" t="s">
        <v>13471</v>
      </c>
      <c r="W717" t="s">
        <v>13472</v>
      </c>
      <c r="X717" t="s">
        <v>13473</v>
      </c>
      <c r="Y717" t="s">
        <v>13474</v>
      </c>
      <c r="Z717" t="s">
        <v>13475</v>
      </c>
      <c r="AA717" t="s">
        <v>13476</v>
      </c>
      <c r="AB717" t="s">
        <v>13477</v>
      </c>
      <c r="AC717" t="s">
        <v>13478</v>
      </c>
      <c r="AD717" t="s">
        <v>13479</v>
      </c>
      <c r="AE717" t="s">
        <v>13480</v>
      </c>
      <c r="AF717" t="s">
        <v>74</v>
      </c>
      <c r="AG717">
        <v>42</v>
      </c>
      <c r="AH717">
        <v>38</v>
      </c>
      <c r="AI717">
        <v>38</v>
      </c>
      <c r="AJ717">
        <v>2</v>
      </c>
      <c r="AK717">
        <v>15</v>
      </c>
      <c r="AL717" t="s">
        <v>211</v>
      </c>
      <c r="AM717" t="s">
        <v>187</v>
      </c>
      <c r="AN717" t="s">
        <v>2131</v>
      </c>
      <c r="AO717" t="s">
        <v>13481</v>
      </c>
      <c r="AP717" t="s">
        <v>13482</v>
      </c>
      <c r="AQ717" t="s">
        <v>74</v>
      </c>
      <c r="AR717" t="s">
        <v>13483</v>
      </c>
      <c r="AS717" t="s">
        <v>13484</v>
      </c>
      <c r="AT717" t="s">
        <v>12991</v>
      </c>
      <c r="AU717">
        <v>2016</v>
      </c>
      <c r="AV717">
        <v>36</v>
      </c>
      <c r="AW717">
        <v>6</v>
      </c>
      <c r="AX717" t="s">
        <v>74</v>
      </c>
      <c r="AY717" t="s">
        <v>74</v>
      </c>
      <c r="AZ717" t="s">
        <v>74</v>
      </c>
      <c r="BA717" t="s">
        <v>74</v>
      </c>
      <c r="BB717">
        <v>457</v>
      </c>
      <c r="BC717">
        <v>464</v>
      </c>
      <c r="BD717" t="s">
        <v>74</v>
      </c>
      <c r="BE717" t="s">
        <v>13485</v>
      </c>
      <c r="BF717" t="str">
        <f>HYPERLINK("http://dx.doi.org/10.1007/s00367-016-0468-0","http://dx.doi.org/10.1007/s00367-016-0468-0")</f>
        <v>http://dx.doi.org/10.1007/s00367-016-0468-0</v>
      </c>
      <c r="BG717" t="s">
        <v>74</v>
      </c>
      <c r="BH717" t="s">
        <v>74</v>
      </c>
      <c r="BI717">
        <v>8</v>
      </c>
      <c r="BJ717" t="s">
        <v>13486</v>
      </c>
      <c r="BK717" t="s">
        <v>101</v>
      </c>
      <c r="BL717" t="s">
        <v>13487</v>
      </c>
      <c r="BM717" t="s">
        <v>13488</v>
      </c>
      <c r="BN717" t="s">
        <v>74</v>
      </c>
      <c r="BO717" t="s">
        <v>74</v>
      </c>
      <c r="BP717" t="s">
        <v>74</v>
      </c>
      <c r="BQ717" t="s">
        <v>74</v>
      </c>
      <c r="BR717" t="s">
        <v>105</v>
      </c>
      <c r="BS717" t="s">
        <v>13489</v>
      </c>
      <c r="BT717" t="str">
        <f>HYPERLINK("https%3A%2F%2Fwww.webofscience.com%2Fwos%2Fwoscc%2Ffull-record%2FWOS:000392313300005","View Full Record in Web of Science")</f>
        <v>View Full Record in Web of Science</v>
      </c>
    </row>
    <row r="718" spans="1:72" x14ac:dyDescent="0.15">
      <c r="A718" t="s">
        <v>72</v>
      </c>
      <c r="B718" t="s">
        <v>13490</v>
      </c>
      <c r="C718" t="s">
        <v>74</v>
      </c>
      <c r="D718" t="s">
        <v>74</v>
      </c>
      <c r="E718" t="s">
        <v>74</v>
      </c>
      <c r="F718" t="s">
        <v>13491</v>
      </c>
      <c r="G718" t="s">
        <v>74</v>
      </c>
      <c r="H718" t="s">
        <v>74</v>
      </c>
      <c r="I718" t="s">
        <v>13492</v>
      </c>
      <c r="J718" t="s">
        <v>13493</v>
      </c>
      <c r="K718" t="s">
        <v>74</v>
      </c>
      <c r="L718" t="s">
        <v>74</v>
      </c>
      <c r="M718" t="s">
        <v>78</v>
      </c>
      <c r="N718" t="s">
        <v>79</v>
      </c>
      <c r="O718" t="s">
        <v>74</v>
      </c>
      <c r="P718" t="s">
        <v>74</v>
      </c>
      <c r="Q718" t="s">
        <v>74</v>
      </c>
      <c r="R718" t="s">
        <v>74</v>
      </c>
      <c r="S718" t="s">
        <v>74</v>
      </c>
      <c r="T718" t="s">
        <v>13494</v>
      </c>
      <c r="U718" t="s">
        <v>13495</v>
      </c>
      <c r="V718" t="s">
        <v>13496</v>
      </c>
      <c r="W718" t="s">
        <v>13497</v>
      </c>
      <c r="X718" t="s">
        <v>13498</v>
      </c>
      <c r="Y718" t="s">
        <v>13499</v>
      </c>
      <c r="Z718" t="s">
        <v>13500</v>
      </c>
      <c r="AA718" t="s">
        <v>13501</v>
      </c>
      <c r="AB718" t="s">
        <v>13502</v>
      </c>
      <c r="AC718" t="s">
        <v>13503</v>
      </c>
      <c r="AD718" t="s">
        <v>13504</v>
      </c>
      <c r="AE718" t="s">
        <v>13505</v>
      </c>
      <c r="AF718" t="s">
        <v>74</v>
      </c>
      <c r="AG718">
        <v>37</v>
      </c>
      <c r="AH718">
        <v>6</v>
      </c>
      <c r="AI718">
        <v>6</v>
      </c>
      <c r="AJ718">
        <v>1</v>
      </c>
      <c r="AK718">
        <v>18</v>
      </c>
      <c r="AL718" t="s">
        <v>13506</v>
      </c>
      <c r="AM718" t="s">
        <v>8533</v>
      </c>
      <c r="AN718" t="s">
        <v>8534</v>
      </c>
      <c r="AO718" t="s">
        <v>13507</v>
      </c>
      <c r="AP718" t="s">
        <v>74</v>
      </c>
      <c r="AQ718" t="s">
        <v>74</v>
      </c>
      <c r="AR718" t="s">
        <v>13508</v>
      </c>
      <c r="AS718" t="s">
        <v>13509</v>
      </c>
      <c r="AT718" t="s">
        <v>12991</v>
      </c>
      <c r="AU718">
        <v>2016</v>
      </c>
      <c r="AV718">
        <v>17</v>
      </c>
      <c r="AW718">
        <v>12</v>
      </c>
      <c r="AX718" t="s">
        <v>74</v>
      </c>
      <c r="AY718" t="s">
        <v>74</v>
      </c>
      <c r="AZ718" t="s">
        <v>74</v>
      </c>
      <c r="BA718" t="s">
        <v>74</v>
      </c>
      <c r="BB718" t="s">
        <v>74</v>
      </c>
      <c r="BC718" t="s">
        <v>74</v>
      </c>
      <c r="BD718">
        <v>2067</v>
      </c>
      <c r="BE718" t="s">
        <v>13510</v>
      </c>
      <c r="BF718" t="str">
        <f>HYPERLINK("http://dx.doi.org/10.3390/ijms17122067","http://dx.doi.org/10.3390/ijms17122067")</f>
        <v>http://dx.doi.org/10.3390/ijms17122067</v>
      </c>
      <c r="BG718" t="s">
        <v>74</v>
      </c>
      <c r="BH718" t="s">
        <v>74</v>
      </c>
      <c r="BI718">
        <v>12</v>
      </c>
      <c r="BJ718" t="s">
        <v>13511</v>
      </c>
      <c r="BK718" t="s">
        <v>101</v>
      </c>
      <c r="BL718" t="s">
        <v>5818</v>
      </c>
      <c r="BM718" t="s">
        <v>13512</v>
      </c>
      <c r="BN718" t="s">
        <v>74</v>
      </c>
      <c r="BO718" t="s">
        <v>3339</v>
      </c>
      <c r="BP718" t="s">
        <v>74</v>
      </c>
      <c r="BQ718" t="s">
        <v>74</v>
      </c>
      <c r="BR718" t="s">
        <v>105</v>
      </c>
      <c r="BS718" t="s">
        <v>13513</v>
      </c>
      <c r="BT718" t="str">
        <f>HYPERLINK("https%3A%2F%2Fwww.webofscience.com%2Fwos%2Fwoscc%2Ffull-record%2FWOS:000392280500111","View Full Record in Web of Science")</f>
        <v>View Full Record in Web of Science</v>
      </c>
    </row>
    <row r="719" spans="1:72" x14ac:dyDescent="0.15">
      <c r="A719" t="s">
        <v>72</v>
      </c>
      <c r="B719" t="s">
        <v>13514</v>
      </c>
      <c r="C719" t="s">
        <v>74</v>
      </c>
      <c r="D719" t="s">
        <v>74</v>
      </c>
      <c r="E719" t="s">
        <v>74</v>
      </c>
      <c r="F719" t="s">
        <v>13515</v>
      </c>
      <c r="G719" t="s">
        <v>74</v>
      </c>
      <c r="H719" t="s">
        <v>74</v>
      </c>
      <c r="I719" t="s">
        <v>13516</v>
      </c>
      <c r="J719" t="s">
        <v>13517</v>
      </c>
      <c r="K719" t="s">
        <v>74</v>
      </c>
      <c r="L719" t="s">
        <v>74</v>
      </c>
      <c r="M719" t="s">
        <v>78</v>
      </c>
      <c r="N719" t="s">
        <v>79</v>
      </c>
      <c r="O719" t="s">
        <v>74</v>
      </c>
      <c r="P719" t="s">
        <v>74</v>
      </c>
      <c r="Q719" t="s">
        <v>74</v>
      </c>
      <c r="R719" t="s">
        <v>74</v>
      </c>
      <c r="S719" t="s">
        <v>74</v>
      </c>
      <c r="T719" t="s">
        <v>13518</v>
      </c>
      <c r="U719" t="s">
        <v>13519</v>
      </c>
      <c r="V719" t="s">
        <v>13520</v>
      </c>
      <c r="W719" t="s">
        <v>13521</v>
      </c>
      <c r="X719" t="s">
        <v>13522</v>
      </c>
      <c r="Y719" t="s">
        <v>13523</v>
      </c>
      <c r="Z719" t="s">
        <v>13524</v>
      </c>
      <c r="AA719" t="s">
        <v>74</v>
      </c>
      <c r="AB719" t="s">
        <v>13525</v>
      </c>
      <c r="AC719" t="s">
        <v>13526</v>
      </c>
      <c r="AD719" t="s">
        <v>13527</v>
      </c>
      <c r="AE719" t="s">
        <v>13528</v>
      </c>
      <c r="AF719" t="s">
        <v>74</v>
      </c>
      <c r="AG719">
        <v>43</v>
      </c>
      <c r="AH719">
        <v>9</v>
      </c>
      <c r="AI719">
        <v>9</v>
      </c>
      <c r="AJ719">
        <v>1</v>
      </c>
      <c r="AK719">
        <v>9</v>
      </c>
      <c r="AL719" t="s">
        <v>211</v>
      </c>
      <c r="AM719" t="s">
        <v>212</v>
      </c>
      <c r="AN719" t="s">
        <v>213</v>
      </c>
      <c r="AO719" t="s">
        <v>13529</v>
      </c>
      <c r="AP719" t="s">
        <v>13530</v>
      </c>
      <c r="AQ719" t="s">
        <v>74</v>
      </c>
      <c r="AR719" t="s">
        <v>13531</v>
      </c>
      <c r="AS719" t="s">
        <v>13532</v>
      </c>
      <c r="AT719" t="s">
        <v>12991</v>
      </c>
      <c r="AU719">
        <v>2016</v>
      </c>
      <c r="AV719">
        <v>37</v>
      </c>
      <c r="AW719">
        <v>4</v>
      </c>
      <c r="AX719" t="s">
        <v>74</v>
      </c>
      <c r="AY719" t="s">
        <v>74</v>
      </c>
      <c r="AZ719" t="s">
        <v>74</v>
      </c>
      <c r="BA719" t="s">
        <v>74</v>
      </c>
      <c r="BB719">
        <v>313</v>
      </c>
      <c r="BC719">
        <v>324</v>
      </c>
      <c r="BD719" t="s">
        <v>74</v>
      </c>
      <c r="BE719" t="s">
        <v>13533</v>
      </c>
      <c r="BF719" t="str">
        <f>HYPERLINK("http://dx.doi.org/10.1007/s11001-016-9296-x","http://dx.doi.org/10.1007/s11001-016-9296-x")</f>
        <v>http://dx.doi.org/10.1007/s11001-016-9296-x</v>
      </c>
      <c r="BG719" t="s">
        <v>74</v>
      </c>
      <c r="BH719" t="s">
        <v>74</v>
      </c>
      <c r="BI719">
        <v>12</v>
      </c>
      <c r="BJ719" t="s">
        <v>13534</v>
      </c>
      <c r="BK719" t="s">
        <v>101</v>
      </c>
      <c r="BL719" t="s">
        <v>13534</v>
      </c>
      <c r="BM719" t="s">
        <v>13535</v>
      </c>
      <c r="BN719" t="s">
        <v>74</v>
      </c>
      <c r="BO719" t="s">
        <v>396</v>
      </c>
      <c r="BP719" t="s">
        <v>74</v>
      </c>
      <c r="BQ719" t="s">
        <v>74</v>
      </c>
      <c r="BR719" t="s">
        <v>105</v>
      </c>
      <c r="BS719" t="s">
        <v>13536</v>
      </c>
      <c r="BT719" t="str">
        <f>HYPERLINK("https%3A%2F%2Fwww.webofscience.com%2Fwos%2Fwoscc%2Ffull-record%2FWOS:000392080000006","View Full Record in Web of Science")</f>
        <v>View Full Record in Web of Science</v>
      </c>
    </row>
    <row r="720" spans="1:72" x14ac:dyDescent="0.15">
      <c r="A720" t="s">
        <v>72</v>
      </c>
      <c r="B720" t="s">
        <v>13537</v>
      </c>
      <c r="C720" t="s">
        <v>74</v>
      </c>
      <c r="D720" t="s">
        <v>74</v>
      </c>
      <c r="E720" t="s">
        <v>74</v>
      </c>
      <c r="F720" t="s">
        <v>13538</v>
      </c>
      <c r="G720" t="s">
        <v>74</v>
      </c>
      <c r="H720" t="s">
        <v>74</v>
      </c>
      <c r="I720" t="s">
        <v>13539</v>
      </c>
      <c r="J720" t="s">
        <v>8519</v>
      </c>
      <c r="K720" t="s">
        <v>74</v>
      </c>
      <c r="L720" t="s">
        <v>74</v>
      </c>
      <c r="M720" t="s">
        <v>78</v>
      </c>
      <c r="N720" t="s">
        <v>79</v>
      </c>
      <c r="O720" t="s">
        <v>74</v>
      </c>
      <c r="P720" t="s">
        <v>74</v>
      </c>
      <c r="Q720" t="s">
        <v>74</v>
      </c>
      <c r="R720" t="s">
        <v>74</v>
      </c>
      <c r="S720" t="s">
        <v>74</v>
      </c>
      <c r="T720" t="s">
        <v>13540</v>
      </c>
      <c r="U720" t="s">
        <v>13541</v>
      </c>
      <c r="V720" t="s">
        <v>13542</v>
      </c>
      <c r="W720" t="s">
        <v>13543</v>
      </c>
      <c r="X720" t="s">
        <v>13544</v>
      </c>
      <c r="Y720" t="s">
        <v>13545</v>
      </c>
      <c r="Z720" t="s">
        <v>13546</v>
      </c>
      <c r="AA720" t="s">
        <v>13547</v>
      </c>
      <c r="AB720" t="s">
        <v>13548</v>
      </c>
      <c r="AC720" t="s">
        <v>13549</v>
      </c>
      <c r="AD720" t="s">
        <v>13550</v>
      </c>
      <c r="AE720" t="s">
        <v>13551</v>
      </c>
      <c r="AF720" t="s">
        <v>74</v>
      </c>
      <c r="AG720">
        <v>41</v>
      </c>
      <c r="AH720">
        <v>87</v>
      </c>
      <c r="AI720">
        <v>88</v>
      </c>
      <c r="AJ720">
        <v>2</v>
      </c>
      <c r="AK720">
        <v>22</v>
      </c>
      <c r="AL720" t="s">
        <v>13506</v>
      </c>
      <c r="AM720" t="s">
        <v>8533</v>
      </c>
      <c r="AN720" t="s">
        <v>8534</v>
      </c>
      <c r="AO720" t="s">
        <v>8535</v>
      </c>
      <c r="AP720" t="s">
        <v>74</v>
      </c>
      <c r="AQ720" t="s">
        <v>74</v>
      </c>
      <c r="AR720" t="s">
        <v>8536</v>
      </c>
      <c r="AS720" t="s">
        <v>8537</v>
      </c>
      <c r="AT720" t="s">
        <v>12991</v>
      </c>
      <c r="AU720">
        <v>2016</v>
      </c>
      <c r="AV720">
        <v>8</v>
      </c>
      <c r="AW720">
        <v>12</v>
      </c>
      <c r="AX720" t="s">
        <v>74</v>
      </c>
      <c r="AY720" t="s">
        <v>74</v>
      </c>
      <c r="AZ720" t="s">
        <v>74</v>
      </c>
      <c r="BA720" t="s">
        <v>74</v>
      </c>
      <c r="BB720" t="s">
        <v>74</v>
      </c>
      <c r="BC720" t="s">
        <v>74</v>
      </c>
      <c r="BD720">
        <v>1038</v>
      </c>
      <c r="BE720" t="s">
        <v>13552</v>
      </c>
      <c r="BF720" t="str">
        <f>HYPERLINK("http://dx.doi.org/10.3390/rs8121038","http://dx.doi.org/10.3390/rs8121038")</f>
        <v>http://dx.doi.org/10.3390/rs8121038</v>
      </c>
      <c r="BG720" t="s">
        <v>74</v>
      </c>
      <c r="BH720" t="s">
        <v>74</v>
      </c>
      <c r="BI720">
        <v>16</v>
      </c>
      <c r="BJ720" t="s">
        <v>8539</v>
      </c>
      <c r="BK720" t="s">
        <v>101</v>
      </c>
      <c r="BL720" t="s">
        <v>8540</v>
      </c>
      <c r="BM720" t="s">
        <v>13553</v>
      </c>
      <c r="BN720" t="s">
        <v>74</v>
      </c>
      <c r="BO720" t="s">
        <v>892</v>
      </c>
      <c r="BP720" t="s">
        <v>74</v>
      </c>
      <c r="BQ720" t="s">
        <v>74</v>
      </c>
      <c r="BR720" t="s">
        <v>105</v>
      </c>
      <c r="BS720" t="s">
        <v>13554</v>
      </c>
      <c r="BT720" t="str">
        <f>HYPERLINK("https%3A%2F%2Fwww.webofscience.com%2Fwos%2Fwoscc%2Ffull-record%2FWOS:000392489400067","View Full Record in Web of Science")</f>
        <v>View Full Record in Web of Science</v>
      </c>
    </row>
    <row r="721" spans="1:72" x14ac:dyDescent="0.15">
      <c r="A721" t="s">
        <v>72</v>
      </c>
      <c r="B721" t="s">
        <v>13555</v>
      </c>
      <c r="C721" t="s">
        <v>74</v>
      </c>
      <c r="D721" t="s">
        <v>74</v>
      </c>
      <c r="E721" t="s">
        <v>74</v>
      </c>
      <c r="F721" t="s">
        <v>13556</v>
      </c>
      <c r="G721" t="s">
        <v>74</v>
      </c>
      <c r="H721" t="s">
        <v>74</v>
      </c>
      <c r="I721" t="s">
        <v>13557</v>
      </c>
      <c r="J721" t="s">
        <v>9113</v>
      </c>
      <c r="K721" t="s">
        <v>74</v>
      </c>
      <c r="L721" t="s">
        <v>74</v>
      </c>
      <c r="M721" t="s">
        <v>78</v>
      </c>
      <c r="N721" t="s">
        <v>79</v>
      </c>
      <c r="O721" t="s">
        <v>74</v>
      </c>
      <c r="P721" t="s">
        <v>74</v>
      </c>
      <c r="Q721" t="s">
        <v>74</v>
      </c>
      <c r="R721" t="s">
        <v>74</v>
      </c>
      <c r="S721" t="s">
        <v>74</v>
      </c>
      <c r="T721" t="s">
        <v>13558</v>
      </c>
      <c r="U721" t="s">
        <v>13559</v>
      </c>
      <c r="V721" t="s">
        <v>13560</v>
      </c>
      <c r="W721" t="s">
        <v>13561</v>
      </c>
      <c r="X721" t="s">
        <v>13562</v>
      </c>
      <c r="Y721" t="s">
        <v>13563</v>
      </c>
      <c r="Z721" t="s">
        <v>13564</v>
      </c>
      <c r="AA721" t="s">
        <v>13565</v>
      </c>
      <c r="AB721" t="s">
        <v>13566</v>
      </c>
      <c r="AC721" t="s">
        <v>13567</v>
      </c>
      <c r="AD721" t="s">
        <v>13568</v>
      </c>
      <c r="AE721" t="s">
        <v>13569</v>
      </c>
      <c r="AF721" t="s">
        <v>74</v>
      </c>
      <c r="AG721">
        <v>33</v>
      </c>
      <c r="AH721">
        <v>8</v>
      </c>
      <c r="AI721">
        <v>8</v>
      </c>
      <c r="AJ721">
        <v>2</v>
      </c>
      <c r="AK721">
        <v>32</v>
      </c>
      <c r="AL721" t="s">
        <v>211</v>
      </c>
      <c r="AM721" t="s">
        <v>187</v>
      </c>
      <c r="AN721" t="s">
        <v>2131</v>
      </c>
      <c r="AO721" t="s">
        <v>9125</v>
      </c>
      <c r="AP721" t="s">
        <v>9126</v>
      </c>
      <c r="AQ721" t="s">
        <v>74</v>
      </c>
      <c r="AR721" t="s">
        <v>9127</v>
      </c>
      <c r="AS721" t="s">
        <v>9128</v>
      </c>
      <c r="AT721" t="s">
        <v>12991</v>
      </c>
      <c r="AU721">
        <v>2016</v>
      </c>
      <c r="AV721">
        <v>35</v>
      </c>
      <c r="AW721">
        <v>12</v>
      </c>
      <c r="AX721" t="s">
        <v>74</v>
      </c>
      <c r="AY721" t="s">
        <v>74</v>
      </c>
      <c r="AZ721" t="s">
        <v>74</v>
      </c>
      <c r="BA721" t="s">
        <v>74</v>
      </c>
      <c r="BB721">
        <v>28</v>
      </c>
      <c r="BC721">
        <v>37</v>
      </c>
      <c r="BD721" t="s">
        <v>74</v>
      </c>
      <c r="BE721" t="s">
        <v>13570</v>
      </c>
      <c r="BF721" t="str">
        <f>HYPERLINK("http://dx.doi.org/10.1007/s13131-016-0959-x","http://dx.doi.org/10.1007/s13131-016-0959-x")</f>
        <v>http://dx.doi.org/10.1007/s13131-016-0959-x</v>
      </c>
      <c r="BG721" t="s">
        <v>74</v>
      </c>
      <c r="BH721" t="s">
        <v>74</v>
      </c>
      <c r="BI721">
        <v>10</v>
      </c>
      <c r="BJ721" t="s">
        <v>2164</v>
      </c>
      <c r="BK721" t="s">
        <v>101</v>
      </c>
      <c r="BL721" t="s">
        <v>2164</v>
      </c>
      <c r="BM721" t="s">
        <v>13571</v>
      </c>
      <c r="BN721" t="s">
        <v>74</v>
      </c>
      <c r="BO721" t="s">
        <v>74</v>
      </c>
      <c r="BP721" t="s">
        <v>74</v>
      </c>
      <c r="BQ721" t="s">
        <v>74</v>
      </c>
      <c r="BR721" t="s">
        <v>105</v>
      </c>
      <c r="BS721" t="s">
        <v>13572</v>
      </c>
      <c r="BT721" t="str">
        <f>HYPERLINK("https%3A%2F%2Fwww.webofscience.com%2Fwos%2Fwoscc%2Ffull-record%2FWOS:000391423600004","View Full Record in Web of Science")</f>
        <v>View Full Record in Web of Science</v>
      </c>
    </row>
    <row r="722" spans="1:72" x14ac:dyDescent="0.15">
      <c r="A722" t="s">
        <v>72</v>
      </c>
      <c r="B722" t="s">
        <v>13573</v>
      </c>
      <c r="C722" t="s">
        <v>74</v>
      </c>
      <c r="D722" t="s">
        <v>74</v>
      </c>
      <c r="E722" t="s">
        <v>74</v>
      </c>
      <c r="F722" t="s">
        <v>13574</v>
      </c>
      <c r="G722" t="s">
        <v>74</v>
      </c>
      <c r="H722" t="s">
        <v>74</v>
      </c>
      <c r="I722" t="s">
        <v>13575</v>
      </c>
      <c r="J722" t="s">
        <v>13576</v>
      </c>
      <c r="K722" t="s">
        <v>74</v>
      </c>
      <c r="L722" t="s">
        <v>74</v>
      </c>
      <c r="M722" t="s">
        <v>78</v>
      </c>
      <c r="N722" t="s">
        <v>2034</v>
      </c>
      <c r="O722" t="s">
        <v>74</v>
      </c>
      <c r="P722" t="s">
        <v>74</v>
      </c>
      <c r="Q722" t="s">
        <v>74</v>
      </c>
      <c r="R722" t="s">
        <v>74</v>
      </c>
      <c r="S722" t="s">
        <v>74</v>
      </c>
      <c r="T722" t="s">
        <v>13577</v>
      </c>
      <c r="U722" t="s">
        <v>13578</v>
      </c>
      <c r="V722" t="s">
        <v>13579</v>
      </c>
      <c r="W722" t="s">
        <v>13580</v>
      </c>
      <c r="X722" t="s">
        <v>13581</v>
      </c>
      <c r="Y722" t="s">
        <v>13582</v>
      </c>
      <c r="Z722" t="s">
        <v>13583</v>
      </c>
      <c r="AA722" t="s">
        <v>13584</v>
      </c>
      <c r="AB722" t="s">
        <v>74</v>
      </c>
      <c r="AC722" t="s">
        <v>74</v>
      </c>
      <c r="AD722" t="s">
        <v>74</v>
      </c>
      <c r="AE722" t="s">
        <v>74</v>
      </c>
      <c r="AF722" t="s">
        <v>74</v>
      </c>
      <c r="AG722">
        <v>116</v>
      </c>
      <c r="AH722">
        <v>13</v>
      </c>
      <c r="AI722">
        <v>13</v>
      </c>
      <c r="AJ722">
        <v>0</v>
      </c>
      <c r="AK722">
        <v>6</v>
      </c>
      <c r="AL722" t="s">
        <v>12336</v>
      </c>
      <c r="AM722" t="s">
        <v>4377</v>
      </c>
      <c r="AN722" t="s">
        <v>12337</v>
      </c>
      <c r="AO722" t="s">
        <v>13585</v>
      </c>
      <c r="AP722" t="s">
        <v>13586</v>
      </c>
      <c r="AQ722" t="s">
        <v>74</v>
      </c>
      <c r="AR722" t="s">
        <v>13576</v>
      </c>
      <c r="AS722" t="s">
        <v>13587</v>
      </c>
      <c r="AT722" t="s">
        <v>12991</v>
      </c>
      <c r="AU722">
        <v>2016</v>
      </c>
      <c r="AV722">
        <v>38</v>
      </c>
      <c r="AW722">
        <v>4</v>
      </c>
      <c r="AX722" t="s">
        <v>74</v>
      </c>
      <c r="AY722" t="s">
        <v>74</v>
      </c>
      <c r="AZ722" t="s">
        <v>74</v>
      </c>
      <c r="BA722" t="s">
        <v>74</v>
      </c>
      <c r="BB722">
        <v>515</v>
      </c>
      <c r="BC722">
        <v>541</v>
      </c>
      <c r="BD722" t="s">
        <v>74</v>
      </c>
      <c r="BE722" t="s">
        <v>13588</v>
      </c>
      <c r="BF722" t="str">
        <f>HYPERLINK("http://dx.doi.org/10.5252/g2016n4a4","http://dx.doi.org/10.5252/g2016n4a4")</f>
        <v>http://dx.doi.org/10.5252/g2016n4a4</v>
      </c>
      <c r="BG722" t="s">
        <v>74</v>
      </c>
      <c r="BH722" t="s">
        <v>74</v>
      </c>
      <c r="BI722">
        <v>27</v>
      </c>
      <c r="BJ722" t="s">
        <v>2699</v>
      </c>
      <c r="BK722" t="s">
        <v>101</v>
      </c>
      <c r="BL722" t="s">
        <v>2699</v>
      </c>
      <c r="BM722" t="s">
        <v>13589</v>
      </c>
      <c r="BN722" t="s">
        <v>74</v>
      </c>
      <c r="BO722" t="s">
        <v>378</v>
      </c>
      <c r="BP722" t="s">
        <v>74</v>
      </c>
      <c r="BQ722" t="s">
        <v>74</v>
      </c>
      <c r="BR722" t="s">
        <v>105</v>
      </c>
      <c r="BS722" t="s">
        <v>13590</v>
      </c>
      <c r="BT722" t="str">
        <f>HYPERLINK("https%3A%2F%2Fwww.webofscience.com%2Fwos%2Fwoscc%2Ffull-record%2FWOS:000391778600004","View Full Record in Web of Science")</f>
        <v>View Full Record in Web of Science</v>
      </c>
    </row>
    <row r="723" spans="1:72" x14ac:dyDescent="0.15">
      <c r="A723" t="s">
        <v>72</v>
      </c>
      <c r="B723" t="s">
        <v>13591</v>
      </c>
      <c r="C723" t="s">
        <v>74</v>
      </c>
      <c r="D723" t="s">
        <v>74</v>
      </c>
      <c r="E723" t="s">
        <v>74</v>
      </c>
      <c r="F723" t="s">
        <v>13592</v>
      </c>
      <c r="G723" t="s">
        <v>74</v>
      </c>
      <c r="H723" t="s">
        <v>74</v>
      </c>
      <c r="I723" t="s">
        <v>13593</v>
      </c>
      <c r="J723" t="s">
        <v>77</v>
      </c>
      <c r="K723" t="s">
        <v>74</v>
      </c>
      <c r="L723" t="s">
        <v>74</v>
      </c>
      <c r="M723" t="s">
        <v>78</v>
      </c>
      <c r="N723" t="s">
        <v>79</v>
      </c>
      <c r="O723" t="s">
        <v>74</v>
      </c>
      <c r="P723" t="s">
        <v>74</v>
      </c>
      <c r="Q723" t="s">
        <v>74</v>
      </c>
      <c r="R723" t="s">
        <v>74</v>
      </c>
      <c r="S723" t="s">
        <v>74</v>
      </c>
      <c r="T723" t="s">
        <v>13594</v>
      </c>
      <c r="U723" t="s">
        <v>13595</v>
      </c>
      <c r="V723" t="s">
        <v>13596</v>
      </c>
      <c r="W723" t="s">
        <v>13597</v>
      </c>
      <c r="X723" t="s">
        <v>13598</v>
      </c>
      <c r="Y723" t="s">
        <v>13599</v>
      </c>
      <c r="Z723" t="s">
        <v>13600</v>
      </c>
      <c r="AA723" t="s">
        <v>13601</v>
      </c>
      <c r="AB723" t="s">
        <v>13602</v>
      </c>
      <c r="AC723" t="s">
        <v>13603</v>
      </c>
      <c r="AD723" t="s">
        <v>13604</v>
      </c>
      <c r="AE723" t="s">
        <v>13605</v>
      </c>
      <c r="AF723" t="s">
        <v>74</v>
      </c>
      <c r="AG723">
        <v>78</v>
      </c>
      <c r="AH723">
        <v>9</v>
      </c>
      <c r="AI723">
        <v>9</v>
      </c>
      <c r="AJ723">
        <v>3</v>
      </c>
      <c r="AK723">
        <v>31</v>
      </c>
      <c r="AL723" t="s">
        <v>92</v>
      </c>
      <c r="AM723" t="s">
        <v>93</v>
      </c>
      <c r="AN723" t="s">
        <v>94</v>
      </c>
      <c r="AO723" t="s">
        <v>95</v>
      </c>
      <c r="AP723" t="s">
        <v>74</v>
      </c>
      <c r="AQ723" t="s">
        <v>74</v>
      </c>
      <c r="AR723" t="s">
        <v>96</v>
      </c>
      <c r="AS723" t="s">
        <v>97</v>
      </c>
      <c r="AT723" t="s">
        <v>12991</v>
      </c>
      <c r="AU723">
        <v>2016</v>
      </c>
      <c r="AV723">
        <v>3</v>
      </c>
      <c r="AW723">
        <v>12</v>
      </c>
      <c r="AX723" t="s">
        <v>74</v>
      </c>
      <c r="AY723" t="s">
        <v>74</v>
      </c>
      <c r="AZ723" t="s">
        <v>74</v>
      </c>
      <c r="BA723" t="s">
        <v>74</v>
      </c>
      <c r="BB723" t="s">
        <v>74</v>
      </c>
      <c r="BC723" t="s">
        <v>74</v>
      </c>
      <c r="BD723">
        <v>160296</v>
      </c>
      <c r="BE723" t="s">
        <v>13606</v>
      </c>
      <c r="BF723" t="str">
        <f>HYPERLINK("http://dx.doi.org/10.1098/rsos.160296","http://dx.doi.org/10.1098/rsos.160296")</f>
        <v>http://dx.doi.org/10.1098/rsos.160296</v>
      </c>
      <c r="BG723" t="s">
        <v>74</v>
      </c>
      <c r="BH723" t="s">
        <v>74</v>
      </c>
      <c r="BI723">
        <v>11</v>
      </c>
      <c r="BJ723" t="s">
        <v>100</v>
      </c>
      <c r="BK723" t="s">
        <v>101</v>
      </c>
      <c r="BL723" t="s">
        <v>102</v>
      </c>
      <c r="BM723" t="s">
        <v>13607</v>
      </c>
      <c r="BN723">
        <v>28083092</v>
      </c>
      <c r="BO723" t="s">
        <v>13608</v>
      </c>
      <c r="BP723" t="s">
        <v>74</v>
      </c>
      <c r="BQ723" t="s">
        <v>74</v>
      </c>
      <c r="BR723" t="s">
        <v>105</v>
      </c>
      <c r="BS723" t="s">
        <v>13609</v>
      </c>
      <c r="BT723" t="str">
        <f>HYPERLINK("https%3A%2F%2Fwww.webofscience.com%2Fwos%2Fwoscc%2Ffull-record%2FWOS:000391731800005","View Full Record in Web of Science")</f>
        <v>View Full Record in Web of Science</v>
      </c>
    </row>
    <row r="724" spans="1:72" x14ac:dyDescent="0.15">
      <c r="A724" t="s">
        <v>72</v>
      </c>
      <c r="B724" t="s">
        <v>13610</v>
      </c>
      <c r="C724" t="s">
        <v>74</v>
      </c>
      <c r="D724" t="s">
        <v>74</v>
      </c>
      <c r="E724" t="s">
        <v>74</v>
      </c>
      <c r="F724" t="s">
        <v>13611</v>
      </c>
      <c r="G724" t="s">
        <v>74</v>
      </c>
      <c r="H724" t="s">
        <v>74</v>
      </c>
      <c r="I724" t="s">
        <v>13612</v>
      </c>
      <c r="J724" t="s">
        <v>13613</v>
      </c>
      <c r="K724" t="s">
        <v>74</v>
      </c>
      <c r="L724" t="s">
        <v>74</v>
      </c>
      <c r="M724" t="s">
        <v>78</v>
      </c>
      <c r="N724" t="s">
        <v>79</v>
      </c>
      <c r="O724" t="s">
        <v>74</v>
      </c>
      <c r="P724" t="s">
        <v>74</v>
      </c>
      <c r="Q724" t="s">
        <v>74</v>
      </c>
      <c r="R724" t="s">
        <v>74</v>
      </c>
      <c r="S724" t="s">
        <v>74</v>
      </c>
      <c r="T724" t="s">
        <v>13614</v>
      </c>
      <c r="U724" t="s">
        <v>13615</v>
      </c>
      <c r="V724" t="s">
        <v>13616</v>
      </c>
      <c r="W724" t="s">
        <v>13617</v>
      </c>
      <c r="X724" t="s">
        <v>13618</v>
      </c>
      <c r="Y724" t="s">
        <v>13619</v>
      </c>
      <c r="Z724" t="s">
        <v>13620</v>
      </c>
      <c r="AA724" t="s">
        <v>13621</v>
      </c>
      <c r="AB724" t="s">
        <v>13622</v>
      </c>
      <c r="AC724" t="s">
        <v>13623</v>
      </c>
      <c r="AD724" t="s">
        <v>13624</v>
      </c>
      <c r="AE724" t="s">
        <v>13625</v>
      </c>
      <c r="AF724" t="s">
        <v>74</v>
      </c>
      <c r="AG724">
        <v>83</v>
      </c>
      <c r="AH724">
        <v>14</v>
      </c>
      <c r="AI724">
        <v>14</v>
      </c>
      <c r="AJ724">
        <v>0</v>
      </c>
      <c r="AK724">
        <v>6</v>
      </c>
      <c r="AL724" t="s">
        <v>9170</v>
      </c>
      <c r="AM724" t="s">
        <v>93</v>
      </c>
      <c r="AN724" t="s">
        <v>9171</v>
      </c>
      <c r="AO724" t="s">
        <v>13626</v>
      </c>
      <c r="AP724" t="s">
        <v>13627</v>
      </c>
      <c r="AQ724" t="s">
        <v>74</v>
      </c>
      <c r="AR724" t="s">
        <v>13628</v>
      </c>
      <c r="AS724" t="s">
        <v>13629</v>
      </c>
      <c r="AT724" t="s">
        <v>12991</v>
      </c>
      <c r="AU724">
        <v>2016</v>
      </c>
      <c r="AV724">
        <v>46</v>
      </c>
      <c r="AW724">
        <v>6</v>
      </c>
      <c r="AX724" t="s">
        <v>74</v>
      </c>
      <c r="AY724" t="s">
        <v>74</v>
      </c>
      <c r="AZ724" t="s">
        <v>74</v>
      </c>
      <c r="BA724" t="s">
        <v>74</v>
      </c>
      <c r="BB724">
        <v>809</v>
      </c>
      <c r="BC724">
        <v>832</v>
      </c>
      <c r="BD724" t="s">
        <v>74</v>
      </c>
      <c r="BE724" t="s">
        <v>13630</v>
      </c>
      <c r="BF724" t="str">
        <f>HYPERLINK("http://dx.doi.org/10.1177/0306312716636249","http://dx.doi.org/10.1177/0306312716636249")</f>
        <v>http://dx.doi.org/10.1177/0306312716636249</v>
      </c>
      <c r="BG724" t="s">
        <v>74</v>
      </c>
      <c r="BH724" t="s">
        <v>74</v>
      </c>
      <c r="BI724">
        <v>24</v>
      </c>
      <c r="BJ724" t="s">
        <v>5749</v>
      </c>
      <c r="BK724" t="s">
        <v>13631</v>
      </c>
      <c r="BL724" t="s">
        <v>5750</v>
      </c>
      <c r="BM724" t="s">
        <v>13632</v>
      </c>
      <c r="BN724">
        <v>28025914</v>
      </c>
      <c r="BO724" t="s">
        <v>2028</v>
      </c>
      <c r="BP724" t="s">
        <v>74</v>
      </c>
      <c r="BQ724" t="s">
        <v>74</v>
      </c>
      <c r="BR724" t="s">
        <v>105</v>
      </c>
      <c r="BS724" t="s">
        <v>13633</v>
      </c>
      <c r="BT724" t="str">
        <f>HYPERLINK("https%3A%2F%2Fwww.webofscience.com%2Fwos%2Fwoscc%2Ffull-record%2FWOS:000391553800002","View Full Record in Web of Science")</f>
        <v>View Full Record in Web of Science</v>
      </c>
    </row>
    <row r="725" spans="1:72" x14ac:dyDescent="0.15">
      <c r="A725" t="s">
        <v>72</v>
      </c>
      <c r="B725" t="s">
        <v>13634</v>
      </c>
      <c r="C725" t="s">
        <v>74</v>
      </c>
      <c r="D725" t="s">
        <v>74</v>
      </c>
      <c r="E725" t="s">
        <v>74</v>
      </c>
      <c r="F725" t="s">
        <v>13635</v>
      </c>
      <c r="G725" t="s">
        <v>74</v>
      </c>
      <c r="H725" t="s">
        <v>74</v>
      </c>
      <c r="I725" t="s">
        <v>13636</v>
      </c>
      <c r="J725" t="s">
        <v>13637</v>
      </c>
      <c r="K725" t="s">
        <v>74</v>
      </c>
      <c r="L725" t="s">
        <v>74</v>
      </c>
      <c r="M725" t="s">
        <v>78</v>
      </c>
      <c r="N725" t="s">
        <v>79</v>
      </c>
      <c r="O725" t="s">
        <v>74</v>
      </c>
      <c r="P725" t="s">
        <v>74</v>
      </c>
      <c r="Q725" t="s">
        <v>74</v>
      </c>
      <c r="R725" t="s">
        <v>74</v>
      </c>
      <c r="S725" t="s">
        <v>74</v>
      </c>
      <c r="T725" t="s">
        <v>74</v>
      </c>
      <c r="U725" t="s">
        <v>13638</v>
      </c>
      <c r="V725" t="s">
        <v>13639</v>
      </c>
      <c r="W725" t="s">
        <v>13640</v>
      </c>
      <c r="X725" t="s">
        <v>7940</v>
      </c>
      <c r="Y725" t="s">
        <v>13641</v>
      </c>
      <c r="Z725" t="s">
        <v>13642</v>
      </c>
      <c r="AA725" t="s">
        <v>74</v>
      </c>
      <c r="AB725" t="s">
        <v>74</v>
      </c>
      <c r="AC725" t="s">
        <v>13643</v>
      </c>
      <c r="AD725" t="s">
        <v>13644</v>
      </c>
      <c r="AE725" t="s">
        <v>13645</v>
      </c>
      <c r="AF725" t="s">
        <v>74</v>
      </c>
      <c r="AG725">
        <v>62</v>
      </c>
      <c r="AH725">
        <v>8</v>
      </c>
      <c r="AI725">
        <v>8</v>
      </c>
      <c r="AJ725">
        <v>1</v>
      </c>
      <c r="AK725">
        <v>9</v>
      </c>
      <c r="AL725" t="s">
        <v>2603</v>
      </c>
      <c r="AM725" t="s">
        <v>2604</v>
      </c>
      <c r="AN725" t="s">
        <v>13646</v>
      </c>
      <c r="AO725" t="s">
        <v>13647</v>
      </c>
      <c r="AP725" t="s">
        <v>13648</v>
      </c>
      <c r="AQ725" t="s">
        <v>74</v>
      </c>
      <c r="AR725" t="s">
        <v>13649</v>
      </c>
      <c r="AS725" t="s">
        <v>13650</v>
      </c>
      <c r="AT725" t="s">
        <v>12991</v>
      </c>
      <c r="AU725">
        <v>2016</v>
      </c>
      <c r="AV725">
        <v>31</v>
      </c>
      <c r="AW725">
        <v>6</v>
      </c>
      <c r="AX725" t="s">
        <v>74</v>
      </c>
      <c r="AY725" t="s">
        <v>74</v>
      </c>
      <c r="AZ725" t="s">
        <v>74</v>
      </c>
      <c r="BA725" t="s">
        <v>74</v>
      </c>
      <c r="BB725">
        <v>1947</v>
      </c>
      <c r="BC725">
        <v>1960</v>
      </c>
      <c r="BD725" t="s">
        <v>74</v>
      </c>
      <c r="BE725" t="s">
        <v>13651</v>
      </c>
      <c r="BF725" t="str">
        <f>HYPERLINK("http://dx.doi.org/10.1175/WAF-D-15-0155.1","http://dx.doi.org/10.1175/WAF-D-15-0155.1")</f>
        <v>http://dx.doi.org/10.1175/WAF-D-15-0155.1</v>
      </c>
      <c r="BG725" t="s">
        <v>74</v>
      </c>
      <c r="BH725" t="s">
        <v>74</v>
      </c>
      <c r="BI725">
        <v>14</v>
      </c>
      <c r="BJ725" t="s">
        <v>747</v>
      </c>
      <c r="BK725" t="s">
        <v>101</v>
      </c>
      <c r="BL725" t="s">
        <v>747</v>
      </c>
      <c r="BM725" t="s">
        <v>13652</v>
      </c>
      <c r="BN725" t="s">
        <v>74</v>
      </c>
      <c r="BO725" t="s">
        <v>301</v>
      </c>
      <c r="BP725" t="s">
        <v>74</v>
      </c>
      <c r="BQ725" t="s">
        <v>74</v>
      </c>
      <c r="BR725" t="s">
        <v>105</v>
      </c>
      <c r="BS725" t="s">
        <v>13653</v>
      </c>
      <c r="BT725" t="str">
        <f>HYPERLINK("https%3A%2F%2Fwww.webofscience.com%2Fwos%2Fwoscc%2Ffull-record%2FWOS:000391518700011","View Full Record in Web of Science")</f>
        <v>View Full Record in Web of Science</v>
      </c>
    </row>
    <row r="726" spans="1:72" x14ac:dyDescent="0.15">
      <c r="A726" t="s">
        <v>72</v>
      </c>
      <c r="B726" t="s">
        <v>13654</v>
      </c>
      <c r="C726" t="s">
        <v>74</v>
      </c>
      <c r="D726" t="s">
        <v>74</v>
      </c>
      <c r="E726" t="s">
        <v>74</v>
      </c>
      <c r="F726" t="s">
        <v>13655</v>
      </c>
      <c r="G726" t="s">
        <v>74</v>
      </c>
      <c r="H726" t="s">
        <v>74</v>
      </c>
      <c r="I726" t="s">
        <v>13656</v>
      </c>
      <c r="J726" t="s">
        <v>13657</v>
      </c>
      <c r="K726" t="s">
        <v>74</v>
      </c>
      <c r="L726" t="s">
        <v>74</v>
      </c>
      <c r="M726" t="s">
        <v>78</v>
      </c>
      <c r="N726" t="s">
        <v>79</v>
      </c>
      <c r="O726" t="s">
        <v>74</v>
      </c>
      <c r="P726" t="s">
        <v>74</v>
      </c>
      <c r="Q726" t="s">
        <v>74</v>
      </c>
      <c r="R726" t="s">
        <v>74</v>
      </c>
      <c r="S726" t="s">
        <v>74</v>
      </c>
      <c r="T726" t="s">
        <v>13658</v>
      </c>
      <c r="U726" t="s">
        <v>13659</v>
      </c>
      <c r="V726" t="s">
        <v>13660</v>
      </c>
      <c r="W726" t="s">
        <v>13661</v>
      </c>
      <c r="X726" t="s">
        <v>13662</v>
      </c>
      <c r="Y726" t="s">
        <v>13663</v>
      </c>
      <c r="Z726" t="s">
        <v>13664</v>
      </c>
      <c r="AA726" t="s">
        <v>13665</v>
      </c>
      <c r="AB726" t="s">
        <v>13666</v>
      </c>
      <c r="AC726" t="s">
        <v>13667</v>
      </c>
      <c r="AD726" t="s">
        <v>2045</v>
      </c>
      <c r="AE726" t="s">
        <v>13668</v>
      </c>
      <c r="AF726" t="s">
        <v>74</v>
      </c>
      <c r="AG726">
        <v>59</v>
      </c>
      <c r="AH726">
        <v>4</v>
      </c>
      <c r="AI726">
        <v>4</v>
      </c>
      <c r="AJ726">
        <v>0</v>
      </c>
      <c r="AK726">
        <v>15</v>
      </c>
      <c r="AL726" t="s">
        <v>211</v>
      </c>
      <c r="AM726" t="s">
        <v>187</v>
      </c>
      <c r="AN726" t="s">
        <v>2131</v>
      </c>
      <c r="AO726" t="s">
        <v>13669</v>
      </c>
      <c r="AP726" t="s">
        <v>13670</v>
      </c>
      <c r="AQ726" t="s">
        <v>74</v>
      </c>
      <c r="AR726" t="s">
        <v>13671</v>
      </c>
      <c r="AS726" t="s">
        <v>13672</v>
      </c>
      <c r="AT726" t="s">
        <v>12991</v>
      </c>
      <c r="AU726">
        <v>2016</v>
      </c>
      <c r="AV726">
        <v>75</v>
      </c>
      <c r="AW726">
        <v>23</v>
      </c>
      <c r="AX726" t="s">
        <v>74</v>
      </c>
      <c r="AY726" t="s">
        <v>74</v>
      </c>
      <c r="AZ726" t="s">
        <v>74</v>
      </c>
      <c r="BA726" t="s">
        <v>74</v>
      </c>
      <c r="BB726" t="s">
        <v>74</v>
      </c>
      <c r="BC726" t="s">
        <v>74</v>
      </c>
      <c r="BD726">
        <v>1488</v>
      </c>
      <c r="BE726" t="s">
        <v>13673</v>
      </c>
      <c r="BF726" t="str">
        <f>HYPERLINK("http://dx.doi.org/10.1007/s12665-016-6295-9","http://dx.doi.org/10.1007/s12665-016-6295-9")</f>
        <v>http://dx.doi.org/10.1007/s12665-016-6295-9</v>
      </c>
      <c r="BG726" t="s">
        <v>74</v>
      </c>
      <c r="BH726" t="s">
        <v>74</v>
      </c>
      <c r="BI726">
        <v>15</v>
      </c>
      <c r="BJ726" t="s">
        <v>13674</v>
      </c>
      <c r="BK726" t="s">
        <v>101</v>
      </c>
      <c r="BL726" t="s">
        <v>13675</v>
      </c>
      <c r="BM726" t="s">
        <v>13676</v>
      </c>
      <c r="BN726" t="s">
        <v>74</v>
      </c>
      <c r="BO726" t="s">
        <v>74</v>
      </c>
      <c r="BP726" t="s">
        <v>74</v>
      </c>
      <c r="BQ726" t="s">
        <v>74</v>
      </c>
      <c r="BR726" t="s">
        <v>105</v>
      </c>
      <c r="BS726" t="s">
        <v>13677</v>
      </c>
      <c r="BT726" t="str">
        <f>HYPERLINK("https%3A%2F%2Fwww.webofscience.com%2Fwos%2Fwoscc%2Ffull-record%2FWOS:000391380300024","View Full Record in Web of Science")</f>
        <v>View Full Record in Web of Science</v>
      </c>
    </row>
    <row r="727" spans="1:72" x14ac:dyDescent="0.15">
      <c r="A727" t="s">
        <v>72</v>
      </c>
      <c r="B727" t="s">
        <v>13678</v>
      </c>
      <c r="C727" t="s">
        <v>74</v>
      </c>
      <c r="D727" t="s">
        <v>74</v>
      </c>
      <c r="E727" t="s">
        <v>74</v>
      </c>
      <c r="F727" t="s">
        <v>13679</v>
      </c>
      <c r="G727" t="s">
        <v>74</v>
      </c>
      <c r="H727" t="s">
        <v>74</v>
      </c>
      <c r="I727" t="s">
        <v>13680</v>
      </c>
      <c r="J727" t="s">
        <v>8783</v>
      </c>
      <c r="K727" t="s">
        <v>74</v>
      </c>
      <c r="L727" t="s">
        <v>74</v>
      </c>
      <c r="M727" t="s">
        <v>78</v>
      </c>
      <c r="N727" t="s">
        <v>79</v>
      </c>
      <c r="O727" t="s">
        <v>74</v>
      </c>
      <c r="P727" t="s">
        <v>74</v>
      </c>
      <c r="Q727" t="s">
        <v>74</v>
      </c>
      <c r="R727" t="s">
        <v>74</v>
      </c>
      <c r="S727" t="s">
        <v>74</v>
      </c>
      <c r="T727" t="s">
        <v>74</v>
      </c>
      <c r="U727" t="s">
        <v>13681</v>
      </c>
      <c r="V727" t="s">
        <v>13682</v>
      </c>
      <c r="W727" t="s">
        <v>13683</v>
      </c>
      <c r="X727" t="s">
        <v>13684</v>
      </c>
      <c r="Y727" t="s">
        <v>13685</v>
      </c>
      <c r="Z727" t="s">
        <v>13686</v>
      </c>
      <c r="AA727" t="s">
        <v>74</v>
      </c>
      <c r="AB727" t="s">
        <v>74</v>
      </c>
      <c r="AC727" t="s">
        <v>74</v>
      </c>
      <c r="AD727" t="s">
        <v>74</v>
      </c>
      <c r="AE727" t="s">
        <v>74</v>
      </c>
      <c r="AF727" t="s">
        <v>74</v>
      </c>
      <c r="AG727">
        <v>88</v>
      </c>
      <c r="AH727">
        <v>3</v>
      </c>
      <c r="AI727">
        <v>4</v>
      </c>
      <c r="AJ727">
        <v>0</v>
      </c>
      <c r="AK727">
        <v>19</v>
      </c>
      <c r="AL727" t="s">
        <v>2603</v>
      </c>
      <c r="AM727" t="s">
        <v>2604</v>
      </c>
      <c r="AN727" t="s">
        <v>2605</v>
      </c>
      <c r="AO727" t="s">
        <v>8794</v>
      </c>
      <c r="AP727" t="s">
        <v>8795</v>
      </c>
      <c r="AQ727" t="s">
        <v>74</v>
      </c>
      <c r="AR727" t="s">
        <v>8796</v>
      </c>
      <c r="AS727" t="s">
        <v>8797</v>
      </c>
      <c r="AT727" t="s">
        <v>12991</v>
      </c>
      <c r="AU727">
        <v>2016</v>
      </c>
      <c r="AV727">
        <v>46</v>
      </c>
      <c r="AW727">
        <v>12</v>
      </c>
      <c r="AX727" t="s">
        <v>74</v>
      </c>
      <c r="AY727" t="s">
        <v>74</v>
      </c>
      <c r="AZ727" t="s">
        <v>74</v>
      </c>
      <c r="BA727" t="s">
        <v>74</v>
      </c>
      <c r="BB727">
        <v>3751</v>
      </c>
      <c r="BC727">
        <v>3775</v>
      </c>
      <c r="BD727" t="s">
        <v>74</v>
      </c>
      <c r="BE727" t="s">
        <v>13687</v>
      </c>
      <c r="BF727" t="str">
        <f>HYPERLINK("http://dx.doi.org/10.1175/JPO-D-16-0152.1","http://dx.doi.org/10.1175/JPO-D-16-0152.1")</f>
        <v>http://dx.doi.org/10.1175/JPO-D-16-0152.1</v>
      </c>
      <c r="BG727" t="s">
        <v>74</v>
      </c>
      <c r="BH727" t="s">
        <v>74</v>
      </c>
      <c r="BI727">
        <v>25</v>
      </c>
      <c r="BJ727" t="s">
        <v>2164</v>
      </c>
      <c r="BK727" t="s">
        <v>101</v>
      </c>
      <c r="BL727" t="s">
        <v>2164</v>
      </c>
      <c r="BM727" t="s">
        <v>13688</v>
      </c>
      <c r="BN727" t="s">
        <v>74</v>
      </c>
      <c r="BO727" t="s">
        <v>463</v>
      </c>
      <c r="BP727" t="s">
        <v>74</v>
      </c>
      <c r="BQ727" t="s">
        <v>74</v>
      </c>
      <c r="BR727" t="s">
        <v>105</v>
      </c>
      <c r="BS727" t="s">
        <v>13689</v>
      </c>
      <c r="BT727" t="str">
        <f>HYPERLINK("https%3A%2F%2Fwww.webofscience.com%2Fwos%2Fwoscc%2Ffull-record%2FWOS:000391349300015","View Full Record in Web of Science")</f>
        <v>View Full Record in Web of Science</v>
      </c>
    </row>
    <row r="728" spans="1:72" x14ac:dyDescent="0.15">
      <c r="A728" t="s">
        <v>72</v>
      </c>
      <c r="B728" t="s">
        <v>13690</v>
      </c>
      <c r="C728" t="s">
        <v>74</v>
      </c>
      <c r="D728" t="s">
        <v>74</v>
      </c>
      <c r="E728" t="s">
        <v>74</v>
      </c>
      <c r="F728" t="s">
        <v>13691</v>
      </c>
      <c r="G728" t="s">
        <v>74</v>
      </c>
      <c r="H728" t="s">
        <v>74</v>
      </c>
      <c r="I728" t="s">
        <v>13692</v>
      </c>
      <c r="J728" t="s">
        <v>13693</v>
      </c>
      <c r="K728" t="s">
        <v>74</v>
      </c>
      <c r="L728" t="s">
        <v>74</v>
      </c>
      <c r="M728" t="s">
        <v>78</v>
      </c>
      <c r="N728" t="s">
        <v>79</v>
      </c>
      <c r="O728" t="s">
        <v>74</v>
      </c>
      <c r="P728" t="s">
        <v>74</v>
      </c>
      <c r="Q728" t="s">
        <v>74</v>
      </c>
      <c r="R728" t="s">
        <v>74</v>
      </c>
      <c r="S728" t="s">
        <v>74</v>
      </c>
      <c r="T728" t="s">
        <v>13694</v>
      </c>
      <c r="U728" t="s">
        <v>13695</v>
      </c>
      <c r="V728" t="s">
        <v>13696</v>
      </c>
      <c r="W728" t="s">
        <v>13697</v>
      </c>
      <c r="X728" t="s">
        <v>13698</v>
      </c>
      <c r="Y728" t="s">
        <v>13699</v>
      </c>
      <c r="Z728" t="s">
        <v>13700</v>
      </c>
      <c r="AA728" t="s">
        <v>13701</v>
      </c>
      <c r="AB728" t="s">
        <v>13702</v>
      </c>
      <c r="AC728" t="s">
        <v>13703</v>
      </c>
      <c r="AD728" t="s">
        <v>13704</v>
      </c>
      <c r="AE728" t="s">
        <v>13705</v>
      </c>
      <c r="AF728" t="s">
        <v>74</v>
      </c>
      <c r="AG728">
        <v>57</v>
      </c>
      <c r="AH728">
        <v>3</v>
      </c>
      <c r="AI728">
        <v>4</v>
      </c>
      <c r="AJ728">
        <v>0</v>
      </c>
      <c r="AK728">
        <v>27</v>
      </c>
      <c r="AL728" t="s">
        <v>8532</v>
      </c>
      <c r="AM728" t="s">
        <v>8533</v>
      </c>
      <c r="AN728" t="s">
        <v>8534</v>
      </c>
      <c r="AO728" t="s">
        <v>74</v>
      </c>
      <c r="AP728" t="s">
        <v>13706</v>
      </c>
      <c r="AQ728" t="s">
        <v>74</v>
      </c>
      <c r="AR728" t="s">
        <v>13707</v>
      </c>
      <c r="AS728" t="s">
        <v>13708</v>
      </c>
      <c r="AT728" t="s">
        <v>12991</v>
      </c>
      <c r="AU728">
        <v>2016</v>
      </c>
      <c r="AV728">
        <v>16</v>
      </c>
      <c r="AW728">
        <v>12</v>
      </c>
      <c r="AX728" t="s">
        <v>74</v>
      </c>
      <c r="AY728" t="s">
        <v>74</v>
      </c>
      <c r="AZ728" t="s">
        <v>74</v>
      </c>
      <c r="BA728" t="s">
        <v>74</v>
      </c>
      <c r="BB728" t="s">
        <v>74</v>
      </c>
      <c r="BC728" t="s">
        <v>74</v>
      </c>
      <c r="BD728">
        <v>2008</v>
      </c>
      <c r="BE728" t="s">
        <v>13709</v>
      </c>
      <c r="BF728" t="str">
        <f>HYPERLINK("http://dx.doi.org/10.3390/s16122008","http://dx.doi.org/10.3390/s16122008")</f>
        <v>http://dx.doi.org/10.3390/s16122008</v>
      </c>
      <c r="BG728" t="s">
        <v>74</v>
      </c>
      <c r="BH728" t="s">
        <v>74</v>
      </c>
      <c r="BI728">
        <v>17</v>
      </c>
      <c r="BJ728" t="s">
        <v>13710</v>
      </c>
      <c r="BK728" t="s">
        <v>101</v>
      </c>
      <c r="BL728" t="s">
        <v>13711</v>
      </c>
      <c r="BM728" t="s">
        <v>13712</v>
      </c>
      <c r="BN728" t="s">
        <v>74</v>
      </c>
      <c r="BO728" t="s">
        <v>150</v>
      </c>
      <c r="BP728" t="s">
        <v>74</v>
      </c>
      <c r="BQ728" t="s">
        <v>74</v>
      </c>
      <c r="BR728" t="s">
        <v>105</v>
      </c>
      <c r="BS728" t="s">
        <v>13713</v>
      </c>
      <c r="BT728" t="str">
        <f>HYPERLINK("https%3A%2F%2Fwww.webofscience.com%2Fwos%2Fwoscc%2Ffull-record%2FWOS:000391303000028","View Full Record in Web of Science")</f>
        <v>View Full Record in Web of Science</v>
      </c>
    </row>
    <row r="729" spans="1:72" x14ac:dyDescent="0.15">
      <c r="A729" t="s">
        <v>72</v>
      </c>
      <c r="B729" t="s">
        <v>13714</v>
      </c>
      <c r="C729" t="s">
        <v>74</v>
      </c>
      <c r="D729" t="s">
        <v>74</v>
      </c>
      <c r="E729" t="s">
        <v>74</v>
      </c>
      <c r="F729" t="s">
        <v>13715</v>
      </c>
      <c r="G729" t="s">
        <v>74</v>
      </c>
      <c r="H729" t="s">
        <v>74</v>
      </c>
      <c r="I729" t="s">
        <v>13716</v>
      </c>
      <c r="J729" t="s">
        <v>13693</v>
      </c>
      <c r="K729" t="s">
        <v>74</v>
      </c>
      <c r="L729" t="s">
        <v>74</v>
      </c>
      <c r="M729" t="s">
        <v>78</v>
      </c>
      <c r="N729" t="s">
        <v>79</v>
      </c>
      <c r="O729" t="s">
        <v>74</v>
      </c>
      <c r="P729" t="s">
        <v>74</v>
      </c>
      <c r="Q729" t="s">
        <v>74</v>
      </c>
      <c r="R729" t="s">
        <v>74</v>
      </c>
      <c r="S729" t="s">
        <v>74</v>
      </c>
      <c r="T729" t="s">
        <v>13717</v>
      </c>
      <c r="U729" t="s">
        <v>13718</v>
      </c>
      <c r="V729" t="s">
        <v>13719</v>
      </c>
      <c r="W729" t="s">
        <v>13720</v>
      </c>
      <c r="X729" t="s">
        <v>13721</v>
      </c>
      <c r="Y729" t="s">
        <v>13722</v>
      </c>
      <c r="Z729" t="s">
        <v>13723</v>
      </c>
      <c r="AA729" t="s">
        <v>74</v>
      </c>
      <c r="AB729" t="s">
        <v>13724</v>
      </c>
      <c r="AC729" t="s">
        <v>13725</v>
      </c>
      <c r="AD729" t="s">
        <v>13726</v>
      </c>
      <c r="AE729" t="s">
        <v>13727</v>
      </c>
      <c r="AF729" t="s">
        <v>74</v>
      </c>
      <c r="AG729">
        <v>48</v>
      </c>
      <c r="AH729">
        <v>16</v>
      </c>
      <c r="AI729">
        <v>17</v>
      </c>
      <c r="AJ729">
        <v>3</v>
      </c>
      <c r="AK729">
        <v>18</v>
      </c>
      <c r="AL729" t="s">
        <v>8532</v>
      </c>
      <c r="AM729" t="s">
        <v>8533</v>
      </c>
      <c r="AN729" t="s">
        <v>8534</v>
      </c>
      <c r="AO729" t="s">
        <v>74</v>
      </c>
      <c r="AP729" t="s">
        <v>13706</v>
      </c>
      <c r="AQ729" t="s">
        <v>74</v>
      </c>
      <c r="AR729" t="s">
        <v>13707</v>
      </c>
      <c r="AS729" t="s">
        <v>13708</v>
      </c>
      <c r="AT729" t="s">
        <v>12991</v>
      </c>
      <c r="AU729">
        <v>2016</v>
      </c>
      <c r="AV729">
        <v>16</v>
      </c>
      <c r="AW729">
        <v>12</v>
      </c>
      <c r="AX729" t="s">
        <v>74</v>
      </c>
      <c r="AY729" t="s">
        <v>74</v>
      </c>
      <c r="AZ729" t="s">
        <v>74</v>
      </c>
      <c r="BA729" t="s">
        <v>74</v>
      </c>
      <c r="BB729" t="s">
        <v>74</v>
      </c>
      <c r="BC729" t="s">
        <v>74</v>
      </c>
      <c r="BD729">
        <v>2075</v>
      </c>
      <c r="BE729" t="s">
        <v>13728</v>
      </c>
      <c r="BF729" t="str">
        <f>HYPERLINK("http://dx.doi.org/10.3390/s16122075","http://dx.doi.org/10.3390/s16122075")</f>
        <v>http://dx.doi.org/10.3390/s16122075</v>
      </c>
      <c r="BG729" t="s">
        <v>74</v>
      </c>
      <c r="BH729" t="s">
        <v>74</v>
      </c>
      <c r="BI729">
        <v>14</v>
      </c>
      <c r="BJ729" t="s">
        <v>13710</v>
      </c>
      <c r="BK729" t="s">
        <v>101</v>
      </c>
      <c r="BL729" t="s">
        <v>13711</v>
      </c>
      <c r="BM729" t="s">
        <v>13712</v>
      </c>
      <c r="BN729">
        <v>27941596</v>
      </c>
      <c r="BO729" t="s">
        <v>1759</v>
      </c>
      <c r="BP729" t="s">
        <v>74</v>
      </c>
      <c r="BQ729" t="s">
        <v>74</v>
      </c>
      <c r="BR729" t="s">
        <v>105</v>
      </c>
      <c r="BS729" t="s">
        <v>13729</v>
      </c>
      <c r="BT729" t="str">
        <f>HYPERLINK("https%3A%2F%2Fwww.webofscience.com%2Fwos%2Fwoscc%2Ffull-record%2FWOS:000391303000095","View Full Record in Web of Science")</f>
        <v>View Full Record in Web of Science</v>
      </c>
    </row>
    <row r="730" spans="1:72" x14ac:dyDescent="0.15">
      <c r="A730" t="s">
        <v>72</v>
      </c>
      <c r="B730" t="s">
        <v>13730</v>
      </c>
      <c r="C730" t="s">
        <v>74</v>
      </c>
      <c r="D730" t="s">
        <v>74</v>
      </c>
      <c r="E730" t="s">
        <v>74</v>
      </c>
      <c r="F730" t="s">
        <v>13731</v>
      </c>
      <c r="G730" t="s">
        <v>74</v>
      </c>
      <c r="H730" t="s">
        <v>74</v>
      </c>
      <c r="I730" t="s">
        <v>13732</v>
      </c>
      <c r="J730" t="s">
        <v>13733</v>
      </c>
      <c r="K730" t="s">
        <v>74</v>
      </c>
      <c r="L730" t="s">
        <v>74</v>
      </c>
      <c r="M730" t="s">
        <v>78</v>
      </c>
      <c r="N730" t="s">
        <v>79</v>
      </c>
      <c r="O730" t="s">
        <v>74</v>
      </c>
      <c r="P730" t="s">
        <v>74</v>
      </c>
      <c r="Q730" t="s">
        <v>74</v>
      </c>
      <c r="R730" t="s">
        <v>74</v>
      </c>
      <c r="S730" t="s">
        <v>74</v>
      </c>
      <c r="T730" t="s">
        <v>13734</v>
      </c>
      <c r="U730" t="s">
        <v>13735</v>
      </c>
      <c r="V730" t="s">
        <v>13736</v>
      </c>
      <c r="W730" t="s">
        <v>13737</v>
      </c>
      <c r="X730" t="s">
        <v>13738</v>
      </c>
      <c r="Y730" t="s">
        <v>13739</v>
      </c>
      <c r="Z730" t="s">
        <v>13740</v>
      </c>
      <c r="AA730" t="s">
        <v>13741</v>
      </c>
      <c r="AB730" t="s">
        <v>13742</v>
      </c>
      <c r="AC730" t="s">
        <v>822</v>
      </c>
      <c r="AD730" t="s">
        <v>822</v>
      </c>
      <c r="AE730" t="s">
        <v>13743</v>
      </c>
      <c r="AF730" t="s">
        <v>74</v>
      </c>
      <c r="AG730">
        <v>14</v>
      </c>
      <c r="AH730">
        <v>4</v>
      </c>
      <c r="AI730">
        <v>4</v>
      </c>
      <c r="AJ730">
        <v>0</v>
      </c>
      <c r="AK730">
        <v>2</v>
      </c>
      <c r="AL730" t="s">
        <v>13744</v>
      </c>
      <c r="AM730" t="s">
        <v>13745</v>
      </c>
      <c r="AN730" t="s">
        <v>13746</v>
      </c>
      <c r="AO730" t="s">
        <v>13747</v>
      </c>
      <c r="AP730" t="s">
        <v>13748</v>
      </c>
      <c r="AQ730" t="s">
        <v>74</v>
      </c>
      <c r="AR730" t="s">
        <v>13749</v>
      </c>
      <c r="AS730" t="s">
        <v>13750</v>
      </c>
      <c r="AT730" t="s">
        <v>12991</v>
      </c>
      <c r="AU730">
        <v>2016</v>
      </c>
      <c r="AV730">
        <v>21</v>
      </c>
      <c r="AW730">
        <v>4</v>
      </c>
      <c r="AX730" t="s">
        <v>74</v>
      </c>
      <c r="AY730" t="s">
        <v>74</v>
      </c>
      <c r="AZ730" t="s">
        <v>74</v>
      </c>
      <c r="BA730" t="s">
        <v>74</v>
      </c>
      <c r="BB730">
        <v>509</v>
      </c>
      <c r="BC730">
        <v>515</v>
      </c>
      <c r="BD730" t="s">
        <v>74</v>
      </c>
      <c r="BE730" t="s">
        <v>13751</v>
      </c>
      <c r="BF730" t="str">
        <f>HYPERLINK("http://dx.doi.org/10.4283/JMAG.2016.21.4.509","http://dx.doi.org/10.4283/JMAG.2016.21.4.509")</f>
        <v>http://dx.doi.org/10.4283/JMAG.2016.21.4.509</v>
      </c>
      <c r="BG730" t="s">
        <v>74</v>
      </c>
      <c r="BH730" t="s">
        <v>74</v>
      </c>
      <c r="BI730">
        <v>7</v>
      </c>
      <c r="BJ730" t="s">
        <v>13752</v>
      </c>
      <c r="BK730" t="s">
        <v>101</v>
      </c>
      <c r="BL730" t="s">
        <v>13753</v>
      </c>
      <c r="BM730" t="s">
        <v>13754</v>
      </c>
      <c r="BN730" t="s">
        <v>74</v>
      </c>
      <c r="BO730" t="s">
        <v>672</v>
      </c>
      <c r="BP730" t="s">
        <v>74</v>
      </c>
      <c r="BQ730" t="s">
        <v>74</v>
      </c>
      <c r="BR730" t="s">
        <v>105</v>
      </c>
      <c r="BS730" t="s">
        <v>13755</v>
      </c>
      <c r="BT730" t="str">
        <f>HYPERLINK("https%3A%2F%2Fwww.webofscience.com%2Fwos%2Fwoscc%2Ffull-record%2FWOS:000391083500004","View Full Record in Web of Science")</f>
        <v>View Full Record in Web of Science</v>
      </c>
    </row>
    <row r="731" spans="1:72" x14ac:dyDescent="0.15">
      <c r="A731" t="s">
        <v>72</v>
      </c>
      <c r="B731" t="s">
        <v>13756</v>
      </c>
      <c r="C731" t="s">
        <v>74</v>
      </c>
      <c r="D731" t="s">
        <v>74</v>
      </c>
      <c r="E731" t="s">
        <v>74</v>
      </c>
      <c r="F731" t="s">
        <v>13757</v>
      </c>
      <c r="G731" t="s">
        <v>74</v>
      </c>
      <c r="H731" t="s">
        <v>74</v>
      </c>
      <c r="I731" t="s">
        <v>13758</v>
      </c>
      <c r="J731" t="s">
        <v>13759</v>
      </c>
      <c r="K731" t="s">
        <v>74</v>
      </c>
      <c r="L731" t="s">
        <v>74</v>
      </c>
      <c r="M731" t="s">
        <v>78</v>
      </c>
      <c r="N731" t="s">
        <v>79</v>
      </c>
      <c r="O731" t="s">
        <v>74</v>
      </c>
      <c r="P731" t="s">
        <v>74</v>
      </c>
      <c r="Q731" t="s">
        <v>74</v>
      </c>
      <c r="R731" t="s">
        <v>74</v>
      </c>
      <c r="S731" t="s">
        <v>74</v>
      </c>
      <c r="T731" t="s">
        <v>13760</v>
      </c>
      <c r="U731" t="s">
        <v>13761</v>
      </c>
      <c r="V731" t="s">
        <v>13762</v>
      </c>
      <c r="W731" t="s">
        <v>13763</v>
      </c>
      <c r="X731" t="s">
        <v>2805</v>
      </c>
      <c r="Y731" t="s">
        <v>13764</v>
      </c>
      <c r="Z731" t="s">
        <v>13765</v>
      </c>
      <c r="AA731" t="s">
        <v>13766</v>
      </c>
      <c r="AB731" t="s">
        <v>13767</v>
      </c>
      <c r="AC731" t="s">
        <v>74</v>
      </c>
      <c r="AD731" t="s">
        <v>74</v>
      </c>
      <c r="AE731" t="s">
        <v>74</v>
      </c>
      <c r="AF731" t="s">
        <v>74</v>
      </c>
      <c r="AG731">
        <v>33</v>
      </c>
      <c r="AH731">
        <v>16</v>
      </c>
      <c r="AI731">
        <v>16</v>
      </c>
      <c r="AJ731">
        <v>1</v>
      </c>
      <c r="AK731">
        <v>16</v>
      </c>
      <c r="AL731" t="s">
        <v>168</v>
      </c>
      <c r="AM731" t="s">
        <v>169</v>
      </c>
      <c r="AN731" t="s">
        <v>170</v>
      </c>
      <c r="AO731" t="s">
        <v>13768</v>
      </c>
      <c r="AP731" t="s">
        <v>13769</v>
      </c>
      <c r="AQ731" t="s">
        <v>74</v>
      </c>
      <c r="AR731" t="s">
        <v>13770</v>
      </c>
      <c r="AS731" t="s">
        <v>13771</v>
      </c>
      <c r="AT731" t="s">
        <v>12991</v>
      </c>
      <c r="AU731">
        <v>2016</v>
      </c>
      <c r="AV731">
        <v>175</v>
      </c>
      <c r="AW731" t="s">
        <v>74</v>
      </c>
      <c r="AX731" t="s">
        <v>74</v>
      </c>
      <c r="AY731" t="s">
        <v>74</v>
      </c>
      <c r="AZ731" t="s">
        <v>74</v>
      </c>
      <c r="BA731" t="s">
        <v>74</v>
      </c>
      <c r="BB731">
        <v>39</v>
      </c>
      <c r="BC731">
        <v>47</v>
      </c>
      <c r="BD731" t="s">
        <v>74</v>
      </c>
      <c r="BE731" t="s">
        <v>13772</v>
      </c>
      <c r="BF731" t="str">
        <f>HYPERLINK("http://dx.doi.org/10.1016/j.anireprosci.2016.10.008","http://dx.doi.org/10.1016/j.anireprosci.2016.10.008")</f>
        <v>http://dx.doi.org/10.1016/j.anireprosci.2016.10.008</v>
      </c>
      <c r="BG731" t="s">
        <v>74</v>
      </c>
      <c r="BH731" t="s">
        <v>74</v>
      </c>
      <c r="BI731">
        <v>9</v>
      </c>
      <c r="BJ731" t="s">
        <v>13773</v>
      </c>
      <c r="BK731" t="s">
        <v>101</v>
      </c>
      <c r="BL731" t="s">
        <v>13774</v>
      </c>
      <c r="BM731" t="s">
        <v>13775</v>
      </c>
      <c r="BN731">
        <v>27802873</v>
      </c>
      <c r="BO731" t="s">
        <v>74</v>
      </c>
      <c r="BP731" t="s">
        <v>74</v>
      </c>
      <c r="BQ731" t="s">
        <v>74</v>
      </c>
      <c r="BR731" t="s">
        <v>105</v>
      </c>
      <c r="BS731" t="s">
        <v>13776</v>
      </c>
      <c r="BT731" t="str">
        <f>HYPERLINK("https%3A%2F%2Fwww.webofscience.com%2Fwos%2Fwoscc%2Ffull-record%2FWOS:000390827000006","View Full Record in Web of Science")</f>
        <v>View Full Record in Web of Science</v>
      </c>
    </row>
    <row r="732" spans="1:72" x14ac:dyDescent="0.15">
      <c r="A732" t="s">
        <v>72</v>
      </c>
      <c r="B732" t="s">
        <v>13777</v>
      </c>
      <c r="C732" t="s">
        <v>74</v>
      </c>
      <c r="D732" t="s">
        <v>74</v>
      </c>
      <c r="E732" t="s">
        <v>74</v>
      </c>
      <c r="F732" t="s">
        <v>13778</v>
      </c>
      <c r="G732" t="s">
        <v>74</v>
      </c>
      <c r="H732" t="s">
        <v>74</v>
      </c>
      <c r="I732" t="s">
        <v>13779</v>
      </c>
      <c r="J732" t="s">
        <v>13780</v>
      </c>
      <c r="K732" t="s">
        <v>74</v>
      </c>
      <c r="L732" t="s">
        <v>74</v>
      </c>
      <c r="M732" t="s">
        <v>78</v>
      </c>
      <c r="N732" t="s">
        <v>79</v>
      </c>
      <c r="O732" t="s">
        <v>74</v>
      </c>
      <c r="P732" t="s">
        <v>74</v>
      </c>
      <c r="Q732" t="s">
        <v>74</v>
      </c>
      <c r="R732" t="s">
        <v>74</v>
      </c>
      <c r="S732" t="s">
        <v>74</v>
      </c>
      <c r="T732" t="s">
        <v>13781</v>
      </c>
      <c r="U732" t="s">
        <v>13782</v>
      </c>
      <c r="V732" t="s">
        <v>13783</v>
      </c>
      <c r="W732" t="s">
        <v>13784</v>
      </c>
      <c r="X732" t="s">
        <v>13785</v>
      </c>
      <c r="Y732" t="s">
        <v>13786</v>
      </c>
      <c r="Z732" t="s">
        <v>13787</v>
      </c>
      <c r="AA732" t="s">
        <v>13788</v>
      </c>
      <c r="AB732" t="s">
        <v>13789</v>
      </c>
      <c r="AC732" t="s">
        <v>13790</v>
      </c>
      <c r="AD732" t="s">
        <v>13791</v>
      </c>
      <c r="AE732" t="s">
        <v>13792</v>
      </c>
      <c r="AF732" t="s">
        <v>74</v>
      </c>
      <c r="AG732">
        <v>91</v>
      </c>
      <c r="AH732">
        <v>10</v>
      </c>
      <c r="AI732">
        <v>10</v>
      </c>
      <c r="AJ732">
        <v>0</v>
      </c>
      <c r="AK732">
        <v>21</v>
      </c>
      <c r="AL732" t="s">
        <v>264</v>
      </c>
      <c r="AM732" t="s">
        <v>169</v>
      </c>
      <c r="AN732" t="s">
        <v>265</v>
      </c>
      <c r="AO732" t="s">
        <v>13793</v>
      </c>
      <c r="AP732" t="s">
        <v>13794</v>
      </c>
      <c r="AQ732" t="s">
        <v>74</v>
      </c>
      <c r="AR732" t="s">
        <v>13795</v>
      </c>
      <c r="AS732" t="s">
        <v>13796</v>
      </c>
      <c r="AT732" t="s">
        <v>12991</v>
      </c>
      <c r="AU732">
        <v>2016</v>
      </c>
      <c r="AV732">
        <v>28</v>
      </c>
      <c r="AW732" t="s">
        <v>74</v>
      </c>
      <c r="AX732" t="s">
        <v>74</v>
      </c>
      <c r="AY732" t="s">
        <v>74</v>
      </c>
      <c r="AZ732" t="s">
        <v>74</v>
      </c>
      <c r="BA732" t="s">
        <v>74</v>
      </c>
      <c r="BB732">
        <v>145</v>
      </c>
      <c r="BC732">
        <v>157</v>
      </c>
      <c r="BD732" t="s">
        <v>74</v>
      </c>
      <c r="BE732" t="s">
        <v>13797</v>
      </c>
      <c r="BF732" t="str">
        <f>HYPERLINK("http://dx.doi.org/10.1016/j.ecocom.2016.06.003","http://dx.doi.org/10.1016/j.ecocom.2016.06.003")</f>
        <v>http://dx.doi.org/10.1016/j.ecocom.2016.06.003</v>
      </c>
      <c r="BG732" t="s">
        <v>74</v>
      </c>
      <c r="BH732" t="s">
        <v>74</v>
      </c>
      <c r="BI732">
        <v>13</v>
      </c>
      <c r="BJ732" t="s">
        <v>1739</v>
      </c>
      <c r="BK732" t="s">
        <v>101</v>
      </c>
      <c r="BL732" t="s">
        <v>178</v>
      </c>
      <c r="BM732" t="s">
        <v>13798</v>
      </c>
      <c r="BN732" t="s">
        <v>74</v>
      </c>
      <c r="BO732" t="s">
        <v>74</v>
      </c>
      <c r="BP732" t="s">
        <v>74</v>
      </c>
      <c r="BQ732" t="s">
        <v>74</v>
      </c>
      <c r="BR732" t="s">
        <v>105</v>
      </c>
      <c r="BS732" t="s">
        <v>13799</v>
      </c>
      <c r="BT732" t="str">
        <f>HYPERLINK("https%3A%2F%2Fwww.webofscience.com%2Fwos%2Fwoscc%2Ffull-record%2FWOS:000390724300014","View Full Record in Web of Science")</f>
        <v>View Full Record in Web of Science</v>
      </c>
    </row>
    <row r="733" spans="1:72" x14ac:dyDescent="0.15">
      <c r="A733" t="s">
        <v>72</v>
      </c>
      <c r="B733" t="s">
        <v>13800</v>
      </c>
      <c r="C733" t="s">
        <v>74</v>
      </c>
      <c r="D733" t="s">
        <v>74</v>
      </c>
      <c r="E733" t="s">
        <v>74</v>
      </c>
      <c r="F733" t="s">
        <v>13801</v>
      </c>
      <c r="G733" t="s">
        <v>74</v>
      </c>
      <c r="H733" t="s">
        <v>74</v>
      </c>
      <c r="I733" t="s">
        <v>13802</v>
      </c>
      <c r="J733" t="s">
        <v>2312</v>
      </c>
      <c r="K733" t="s">
        <v>74</v>
      </c>
      <c r="L733" t="s">
        <v>74</v>
      </c>
      <c r="M733" t="s">
        <v>78</v>
      </c>
      <c r="N733" t="s">
        <v>79</v>
      </c>
      <c r="O733" t="s">
        <v>74</v>
      </c>
      <c r="P733" t="s">
        <v>74</v>
      </c>
      <c r="Q733" t="s">
        <v>74</v>
      </c>
      <c r="R733" t="s">
        <v>74</v>
      </c>
      <c r="S733" t="s">
        <v>74</v>
      </c>
      <c r="T733" t="s">
        <v>13803</v>
      </c>
      <c r="U733" t="s">
        <v>13804</v>
      </c>
      <c r="V733" t="s">
        <v>13805</v>
      </c>
      <c r="W733" t="s">
        <v>13806</v>
      </c>
      <c r="X733" t="s">
        <v>13807</v>
      </c>
      <c r="Y733" t="s">
        <v>13808</v>
      </c>
      <c r="Z733" t="s">
        <v>13809</v>
      </c>
      <c r="AA733" t="s">
        <v>13810</v>
      </c>
      <c r="AB733" t="s">
        <v>74</v>
      </c>
      <c r="AC733" t="s">
        <v>13811</v>
      </c>
      <c r="AD733" t="s">
        <v>4160</v>
      </c>
      <c r="AE733" t="s">
        <v>13812</v>
      </c>
      <c r="AF733" t="s">
        <v>74</v>
      </c>
      <c r="AG733">
        <v>47</v>
      </c>
      <c r="AH733">
        <v>39</v>
      </c>
      <c r="AI733">
        <v>43</v>
      </c>
      <c r="AJ733">
        <v>5</v>
      </c>
      <c r="AK733">
        <v>121</v>
      </c>
      <c r="AL733" t="s">
        <v>2325</v>
      </c>
      <c r="AM733" t="s">
        <v>292</v>
      </c>
      <c r="AN733" t="s">
        <v>2326</v>
      </c>
      <c r="AO733" t="s">
        <v>2327</v>
      </c>
      <c r="AP733" t="s">
        <v>2328</v>
      </c>
      <c r="AQ733" t="s">
        <v>74</v>
      </c>
      <c r="AR733" t="s">
        <v>2329</v>
      </c>
      <c r="AS733" t="s">
        <v>2330</v>
      </c>
      <c r="AT733" t="s">
        <v>12991</v>
      </c>
      <c r="AU733">
        <v>2016</v>
      </c>
      <c r="AV733">
        <v>219</v>
      </c>
      <c r="AW733" t="s">
        <v>74</v>
      </c>
      <c r="AX733" t="s">
        <v>74</v>
      </c>
      <c r="AY733" t="s">
        <v>74</v>
      </c>
      <c r="AZ733" t="s">
        <v>74</v>
      </c>
      <c r="BA733" t="s">
        <v>74</v>
      </c>
      <c r="BB733">
        <v>528</v>
      </c>
      <c r="BC733">
        <v>536</v>
      </c>
      <c r="BD733" t="s">
        <v>74</v>
      </c>
      <c r="BE733" t="s">
        <v>13813</v>
      </c>
      <c r="BF733" t="str">
        <f>HYPERLINK("http://dx.doi.org/10.1016/j.envpol.2016.05.084","http://dx.doi.org/10.1016/j.envpol.2016.05.084")</f>
        <v>http://dx.doi.org/10.1016/j.envpol.2016.05.084</v>
      </c>
      <c r="BG733" t="s">
        <v>74</v>
      </c>
      <c r="BH733" t="s">
        <v>74</v>
      </c>
      <c r="BI733">
        <v>9</v>
      </c>
      <c r="BJ733" t="s">
        <v>177</v>
      </c>
      <c r="BK733" t="s">
        <v>101</v>
      </c>
      <c r="BL733" t="s">
        <v>178</v>
      </c>
      <c r="BM733" t="s">
        <v>13814</v>
      </c>
      <c r="BN733">
        <v>27318541</v>
      </c>
      <c r="BO733" t="s">
        <v>74</v>
      </c>
      <c r="BP733" t="s">
        <v>74</v>
      </c>
      <c r="BQ733" t="s">
        <v>74</v>
      </c>
      <c r="BR733" t="s">
        <v>105</v>
      </c>
      <c r="BS733" t="s">
        <v>13815</v>
      </c>
      <c r="BT733" t="str">
        <f>HYPERLINK("https%3A%2F%2Fwww.webofscience.com%2Fwos%2Fwoscc%2Ffull-record%2FWOS:000390734100060","View Full Record in Web of Science")</f>
        <v>View Full Record in Web of Science</v>
      </c>
    </row>
    <row r="734" spans="1:72" x14ac:dyDescent="0.15">
      <c r="A734" t="s">
        <v>72</v>
      </c>
      <c r="B734" t="s">
        <v>13816</v>
      </c>
      <c r="C734" t="s">
        <v>74</v>
      </c>
      <c r="D734" t="s">
        <v>74</v>
      </c>
      <c r="E734" t="s">
        <v>74</v>
      </c>
      <c r="F734" t="s">
        <v>13817</v>
      </c>
      <c r="G734" t="s">
        <v>74</v>
      </c>
      <c r="H734" t="s">
        <v>74</v>
      </c>
      <c r="I734" t="s">
        <v>13818</v>
      </c>
      <c r="J734" t="s">
        <v>2459</v>
      </c>
      <c r="K734" t="s">
        <v>74</v>
      </c>
      <c r="L734" t="s">
        <v>74</v>
      </c>
      <c r="M734" t="s">
        <v>78</v>
      </c>
      <c r="N734" t="s">
        <v>79</v>
      </c>
      <c r="O734" t="s">
        <v>74</v>
      </c>
      <c r="P734" t="s">
        <v>74</v>
      </c>
      <c r="Q734" t="s">
        <v>74</v>
      </c>
      <c r="R734" t="s">
        <v>74</v>
      </c>
      <c r="S734" t="s">
        <v>74</v>
      </c>
      <c r="T734" t="s">
        <v>13819</v>
      </c>
      <c r="U734" t="s">
        <v>13820</v>
      </c>
      <c r="V734" t="s">
        <v>13821</v>
      </c>
      <c r="W734" t="s">
        <v>13822</v>
      </c>
      <c r="X734" t="s">
        <v>13823</v>
      </c>
      <c r="Y734" t="s">
        <v>13824</v>
      </c>
      <c r="Z734" t="s">
        <v>13825</v>
      </c>
      <c r="AA734" t="s">
        <v>13826</v>
      </c>
      <c r="AB734" t="s">
        <v>13827</v>
      </c>
      <c r="AC734" t="s">
        <v>13828</v>
      </c>
      <c r="AD734" t="s">
        <v>13829</v>
      </c>
      <c r="AE734" t="s">
        <v>13830</v>
      </c>
      <c r="AF734" t="s">
        <v>74</v>
      </c>
      <c r="AG734">
        <v>86</v>
      </c>
      <c r="AH734">
        <v>37</v>
      </c>
      <c r="AI734">
        <v>40</v>
      </c>
      <c r="AJ734">
        <v>1</v>
      </c>
      <c r="AK734">
        <v>25</v>
      </c>
      <c r="AL734" t="s">
        <v>264</v>
      </c>
      <c r="AM734" t="s">
        <v>169</v>
      </c>
      <c r="AN734" t="s">
        <v>265</v>
      </c>
      <c r="AO734" t="s">
        <v>2470</v>
      </c>
      <c r="AP734" t="s">
        <v>2471</v>
      </c>
      <c r="AQ734" t="s">
        <v>74</v>
      </c>
      <c r="AR734" t="s">
        <v>2459</v>
      </c>
      <c r="AS734" t="s">
        <v>2472</v>
      </c>
      <c r="AT734" t="s">
        <v>12991</v>
      </c>
      <c r="AU734">
        <v>2016</v>
      </c>
      <c r="AV734">
        <v>60</v>
      </c>
      <c r="AW734" t="s">
        <v>74</v>
      </c>
      <c r="AX734" t="s">
        <v>74</v>
      </c>
      <c r="AY734" t="s">
        <v>74</v>
      </c>
      <c r="AZ734" t="s">
        <v>74</v>
      </c>
      <c r="BA734" t="s">
        <v>74</v>
      </c>
      <c r="BB734">
        <v>116</v>
      </c>
      <c r="BC734">
        <v>130</v>
      </c>
      <c r="BD734" t="s">
        <v>74</v>
      </c>
      <c r="BE734" t="s">
        <v>13831</v>
      </c>
      <c r="BF734" t="str">
        <f>HYPERLINK("http://dx.doi.org/10.1016/j.hal.2016.11.004","http://dx.doi.org/10.1016/j.hal.2016.11.004")</f>
        <v>http://dx.doi.org/10.1016/j.hal.2016.11.004</v>
      </c>
      <c r="BG734" t="s">
        <v>74</v>
      </c>
      <c r="BH734" t="s">
        <v>74</v>
      </c>
      <c r="BI734">
        <v>15</v>
      </c>
      <c r="BJ734" t="s">
        <v>2474</v>
      </c>
      <c r="BK734" t="s">
        <v>101</v>
      </c>
      <c r="BL734" t="s">
        <v>2474</v>
      </c>
      <c r="BM734" t="s">
        <v>13832</v>
      </c>
      <c r="BN734">
        <v>28073555</v>
      </c>
      <c r="BO734" t="s">
        <v>74</v>
      </c>
      <c r="BP734" t="s">
        <v>74</v>
      </c>
      <c r="BQ734" t="s">
        <v>74</v>
      </c>
      <c r="BR734" t="s">
        <v>105</v>
      </c>
      <c r="BS734" t="s">
        <v>13833</v>
      </c>
      <c r="BT734" t="str">
        <f>HYPERLINK("https%3A%2F%2Fwww.webofscience.com%2Fwos%2Fwoscc%2Ffull-record%2FWOS:000390516200011","View Full Record in Web of Science")</f>
        <v>View Full Record in Web of Science</v>
      </c>
    </row>
    <row r="735" spans="1:72" x14ac:dyDescent="0.15">
      <c r="A735" t="s">
        <v>72</v>
      </c>
      <c r="B735" t="s">
        <v>13834</v>
      </c>
      <c r="C735" t="s">
        <v>74</v>
      </c>
      <c r="D735" t="s">
        <v>74</v>
      </c>
      <c r="E735" t="s">
        <v>74</v>
      </c>
      <c r="F735" t="s">
        <v>13835</v>
      </c>
      <c r="G735" t="s">
        <v>74</v>
      </c>
      <c r="H735" t="s">
        <v>74</v>
      </c>
      <c r="I735" t="s">
        <v>13836</v>
      </c>
      <c r="J735" t="s">
        <v>13837</v>
      </c>
      <c r="K735" t="s">
        <v>74</v>
      </c>
      <c r="L735" t="s">
        <v>74</v>
      </c>
      <c r="M735" t="s">
        <v>78</v>
      </c>
      <c r="N735" t="s">
        <v>79</v>
      </c>
      <c r="O735" t="s">
        <v>74</v>
      </c>
      <c r="P735" t="s">
        <v>74</v>
      </c>
      <c r="Q735" t="s">
        <v>74</v>
      </c>
      <c r="R735" t="s">
        <v>74</v>
      </c>
      <c r="S735" t="s">
        <v>74</v>
      </c>
      <c r="T735" t="s">
        <v>13838</v>
      </c>
      <c r="U735" t="s">
        <v>13839</v>
      </c>
      <c r="V735" t="s">
        <v>13840</v>
      </c>
      <c r="W735" t="s">
        <v>13841</v>
      </c>
      <c r="X735" t="s">
        <v>13842</v>
      </c>
      <c r="Y735" t="s">
        <v>13843</v>
      </c>
      <c r="Z735" t="s">
        <v>13844</v>
      </c>
      <c r="AA735" t="s">
        <v>13845</v>
      </c>
      <c r="AB735" t="s">
        <v>13846</v>
      </c>
      <c r="AC735" t="s">
        <v>13847</v>
      </c>
      <c r="AD735" t="s">
        <v>13848</v>
      </c>
      <c r="AE735" t="s">
        <v>13849</v>
      </c>
      <c r="AF735" t="s">
        <v>74</v>
      </c>
      <c r="AG735">
        <v>21</v>
      </c>
      <c r="AH735">
        <v>10</v>
      </c>
      <c r="AI735">
        <v>10</v>
      </c>
      <c r="AJ735">
        <v>1</v>
      </c>
      <c r="AK735">
        <v>14</v>
      </c>
      <c r="AL735" t="s">
        <v>13850</v>
      </c>
      <c r="AM735" t="s">
        <v>13851</v>
      </c>
      <c r="AN735" t="s">
        <v>13852</v>
      </c>
      <c r="AO735" t="s">
        <v>13853</v>
      </c>
      <c r="AP735" t="s">
        <v>13854</v>
      </c>
      <c r="AQ735" t="s">
        <v>74</v>
      </c>
      <c r="AR735" t="s">
        <v>13855</v>
      </c>
      <c r="AS735" t="s">
        <v>13856</v>
      </c>
      <c r="AT735" t="s">
        <v>12991</v>
      </c>
      <c r="AU735">
        <v>2016</v>
      </c>
      <c r="AV735">
        <v>122</v>
      </c>
      <c r="AW735">
        <v>6</v>
      </c>
      <c r="AX735" t="s">
        <v>74</v>
      </c>
      <c r="AY735" t="s">
        <v>74</v>
      </c>
      <c r="AZ735" t="s">
        <v>74</v>
      </c>
      <c r="BA735" t="s">
        <v>74</v>
      </c>
      <c r="BB735">
        <v>645</v>
      </c>
      <c r="BC735">
        <v>651</v>
      </c>
      <c r="BD735" t="s">
        <v>74</v>
      </c>
      <c r="BE735" t="s">
        <v>13857</v>
      </c>
      <c r="BF735" t="str">
        <f>HYPERLINK("http://dx.doi.org/10.1016/j.jbiosc.2016.06.004","http://dx.doi.org/10.1016/j.jbiosc.2016.06.004")</f>
        <v>http://dx.doi.org/10.1016/j.jbiosc.2016.06.004</v>
      </c>
      <c r="BG735" t="s">
        <v>74</v>
      </c>
      <c r="BH735" t="s">
        <v>74</v>
      </c>
      <c r="BI735">
        <v>7</v>
      </c>
      <c r="BJ735" t="s">
        <v>13858</v>
      </c>
      <c r="BK735" t="s">
        <v>101</v>
      </c>
      <c r="BL735" t="s">
        <v>13858</v>
      </c>
      <c r="BM735" t="s">
        <v>13859</v>
      </c>
      <c r="BN735">
        <v>27401770</v>
      </c>
      <c r="BO735" t="s">
        <v>74</v>
      </c>
      <c r="BP735" t="s">
        <v>74</v>
      </c>
      <c r="BQ735" t="s">
        <v>74</v>
      </c>
      <c r="BR735" t="s">
        <v>105</v>
      </c>
      <c r="BS735" t="s">
        <v>13860</v>
      </c>
      <c r="BT735" t="str">
        <f>HYPERLINK("https%3A%2F%2Fwww.webofscience.com%2Fwos%2Fwoscc%2Ffull-record%2FWOS:000390741800001","View Full Record in Web of Science")</f>
        <v>View Full Record in Web of Science</v>
      </c>
    </row>
    <row r="736" spans="1:72" x14ac:dyDescent="0.15">
      <c r="A736" t="s">
        <v>72</v>
      </c>
      <c r="B736" t="s">
        <v>13861</v>
      </c>
      <c r="C736" t="s">
        <v>74</v>
      </c>
      <c r="D736" t="s">
        <v>74</v>
      </c>
      <c r="E736" t="s">
        <v>74</v>
      </c>
      <c r="F736" t="s">
        <v>13862</v>
      </c>
      <c r="G736" t="s">
        <v>74</v>
      </c>
      <c r="H736" t="s">
        <v>74</v>
      </c>
      <c r="I736" t="s">
        <v>13863</v>
      </c>
      <c r="J736" t="s">
        <v>13864</v>
      </c>
      <c r="K736" t="s">
        <v>74</v>
      </c>
      <c r="L736" t="s">
        <v>74</v>
      </c>
      <c r="M736" t="s">
        <v>78</v>
      </c>
      <c r="N736" t="s">
        <v>79</v>
      </c>
      <c r="O736" t="s">
        <v>74</v>
      </c>
      <c r="P736" t="s">
        <v>74</v>
      </c>
      <c r="Q736" t="s">
        <v>74</v>
      </c>
      <c r="R736" t="s">
        <v>74</v>
      </c>
      <c r="S736" t="s">
        <v>74</v>
      </c>
      <c r="T736" t="s">
        <v>13865</v>
      </c>
      <c r="U736" t="s">
        <v>13866</v>
      </c>
      <c r="V736" t="s">
        <v>13867</v>
      </c>
      <c r="W736" t="s">
        <v>13868</v>
      </c>
      <c r="X736" t="s">
        <v>13869</v>
      </c>
      <c r="Y736" t="s">
        <v>13870</v>
      </c>
      <c r="Z736" t="s">
        <v>13871</v>
      </c>
      <c r="AA736" t="s">
        <v>13872</v>
      </c>
      <c r="AB736" t="s">
        <v>13873</v>
      </c>
      <c r="AC736" t="s">
        <v>13874</v>
      </c>
      <c r="AD736" t="s">
        <v>13875</v>
      </c>
      <c r="AE736" t="s">
        <v>13876</v>
      </c>
      <c r="AF736" t="s">
        <v>74</v>
      </c>
      <c r="AG736">
        <v>58</v>
      </c>
      <c r="AH736">
        <v>9</v>
      </c>
      <c r="AI736">
        <v>9</v>
      </c>
      <c r="AJ736">
        <v>2</v>
      </c>
      <c r="AK736">
        <v>11</v>
      </c>
      <c r="AL736" t="s">
        <v>168</v>
      </c>
      <c r="AM736" t="s">
        <v>169</v>
      </c>
      <c r="AN736" t="s">
        <v>170</v>
      </c>
      <c r="AO736" t="s">
        <v>13877</v>
      </c>
      <c r="AP736" t="s">
        <v>13878</v>
      </c>
      <c r="AQ736" t="s">
        <v>74</v>
      </c>
      <c r="AR736" t="s">
        <v>13879</v>
      </c>
      <c r="AS736" t="s">
        <v>13880</v>
      </c>
      <c r="AT736" t="s">
        <v>13135</v>
      </c>
      <c r="AU736">
        <v>2016</v>
      </c>
      <c r="AV736">
        <v>382</v>
      </c>
      <c r="AW736" t="s">
        <v>74</v>
      </c>
      <c r="AX736" t="s">
        <v>74</v>
      </c>
      <c r="AY736" t="s">
        <v>74</v>
      </c>
      <c r="AZ736" t="s">
        <v>74</v>
      </c>
      <c r="BA736" t="s">
        <v>74</v>
      </c>
      <c r="BB736">
        <v>68</v>
      </c>
      <c r="BC736">
        <v>79</v>
      </c>
      <c r="BD736" t="s">
        <v>74</v>
      </c>
      <c r="BE736" t="s">
        <v>13881</v>
      </c>
      <c r="BF736" t="str">
        <f>HYPERLINK("http://dx.doi.org/10.1016/j.margeo.2016.10.005","http://dx.doi.org/10.1016/j.margeo.2016.10.005")</f>
        <v>http://dx.doi.org/10.1016/j.margeo.2016.10.005</v>
      </c>
      <c r="BG736" t="s">
        <v>74</v>
      </c>
      <c r="BH736" t="s">
        <v>74</v>
      </c>
      <c r="BI736">
        <v>12</v>
      </c>
      <c r="BJ736" t="s">
        <v>13486</v>
      </c>
      <c r="BK736" t="s">
        <v>101</v>
      </c>
      <c r="BL736" t="s">
        <v>13487</v>
      </c>
      <c r="BM736" t="s">
        <v>13882</v>
      </c>
      <c r="BN736" t="s">
        <v>74</v>
      </c>
      <c r="BO736" t="s">
        <v>74</v>
      </c>
      <c r="BP736" t="s">
        <v>74</v>
      </c>
      <c r="BQ736" t="s">
        <v>74</v>
      </c>
      <c r="BR736" t="s">
        <v>105</v>
      </c>
      <c r="BS736" t="s">
        <v>13883</v>
      </c>
      <c r="BT736" t="str">
        <f>HYPERLINK("https%3A%2F%2Fwww.webofscience.com%2Fwos%2Fwoscc%2Ffull-record%2FWOS:000390626100005","View Full Record in Web of Science")</f>
        <v>View Full Record in Web of Science</v>
      </c>
    </row>
    <row r="737" spans="1:72" x14ac:dyDescent="0.15">
      <c r="A737" t="s">
        <v>72</v>
      </c>
      <c r="B737" t="s">
        <v>13884</v>
      </c>
      <c r="C737" t="s">
        <v>74</v>
      </c>
      <c r="D737" t="s">
        <v>74</v>
      </c>
      <c r="E737" t="s">
        <v>74</v>
      </c>
      <c r="F737" t="s">
        <v>13885</v>
      </c>
      <c r="G737" t="s">
        <v>74</v>
      </c>
      <c r="H737" t="s">
        <v>74</v>
      </c>
      <c r="I737" t="s">
        <v>13886</v>
      </c>
      <c r="J737" t="s">
        <v>13887</v>
      </c>
      <c r="K737" t="s">
        <v>74</v>
      </c>
      <c r="L737" t="s">
        <v>74</v>
      </c>
      <c r="M737" t="s">
        <v>78</v>
      </c>
      <c r="N737" t="s">
        <v>79</v>
      </c>
      <c r="O737" t="s">
        <v>74</v>
      </c>
      <c r="P737" t="s">
        <v>74</v>
      </c>
      <c r="Q737" t="s">
        <v>74</v>
      </c>
      <c r="R737" t="s">
        <v>74</v>
      </c>
      <c r="S737" t="s">
        <v>74</v>
      </c>
      <c r="T737" t="s">
        <v>13888</v>
      </c>
      <c r="U737" t="s">
        <v>13889</v>
      </c>
      <c r="V737" t="s">
        <v>13890</v>
      </c>
      <c r="W737" t="s">
        <v>13891</v>
      </c>
      <c r="X737" t="s">
        <v>13892</v>
      </c>
      <c r="Y737" t="s">
        <v>13893</v>
      </c>
      <c r="Z737" t="s">
        <v>13894</v>
      </c>
      <c r="AA737" t="s">
        <v>13895</v>
      </c>
      <c r="AB737" t="s">
        <v>13896</v>
      </c>
      <c r="AC737" t="s">
        <v>13897</v>
      </c>
      <c r="AD737" t="s">
        <v>13898</v>
      </c>
      <c r="AE737" t="s">
        <v>13899</v>
      </c>
      <c r="AF737" t="s">
        <v>74</v>
      </c>
      <c r="AG737">
        <v>31</v>
      </c>
      <c r="AH737">
        <v>4</v>
      </c>
      <c r="AI737">
        <v>4</v>
      </c>
      <c r="AJ737">
        <v>3</v>
      </c>
      <c r="AK737">
        <v>18</v>
      </c>
      <c r="AL737" t="s">
        <v>13900</v>
      </c>
      <c r="AM737" t="s">
        <v>13901</v>
      </c>
      <c r="AN737" t="s">
        <v>13902</v>
      </c>
      <c r="AO737" t="s">
        <v>13903</v>
      </c>
      <c r="AP737" t="s">
        <v>13904</v>
      </c>
      <c r="AQ737" t="s">
        <v>74</v>
      </c>
      <c r="AR737" t="s">
        <v>13905</v>
      </c>
      <c r="AS737" t="s">
        <v>13906</v>
      </c>
      <c r="AT737" t="s">
        <v>12991</v>
      </c>
      <c r="AU737">
        <v>2016</v>
      </c>
      <c r="AV737">
        <v>37</v>
      </c>
      <c r="AW737">
        <v>4</v>
      </c>
      <c r="AX737" t="s">
        <v>74</v>
      </c>
      <c r="AY737" t="s">
        <v>74</v>
      </c>
      <c r="AZ737" t="s">
        <v>74</v>
      </c>
      <c r="BA737" t="s">
        <v>74</v>
      </c>
      <c r="BB737">
        <v>477</v>
      </c>
      <c r="BC737">
        <v>491</v>
      </c>
      <c r="BD737" t="s">
        <v>74</v>
      </c>
      <c r="BE737" t="s">
        <v>13907</v>
      </c>
      <c r="BF737" t="str">
        <f>HYPERLINK("http://dx.doi.org/10.1515/popore-2016-0025","http://dx.doi.org/10.1515/popore-2016-0025")</f>
        <v>http://dx.doi.org/10.1515/popore-2016-0025</v>
      </c>
      <c r="BG737" t="s">
        <v>74</v>
      </c>
      <c r="BH737" t="s">
        <v>74</v>
      </c>
      <c r="BI737">
        <v>15</v>
      </c>
      <c r="BJ737" t="s">
        <v>1333</v>
      </c>
      <c r="BK737" t="s">
        <v>101</v>
      </c>
      <c r="BL737" t="s">
        <v>1334</v>
      </c>
      <c r="BM737" t="s">
        <v>13908</v>
      </c>
      <c r="BN737" t="s">
        <v>74</v>
      </c>
      <c r="BO737" t="s">
        <v>941</v>
      </c>
      <c r="BP737" t="s">
        <v>74</v>
      </c>
      <c r="BQ737" t="s">
        <v>74</v>
      </c>
      <c r="BR737" t="s">
        <v>105</v>
      </c>
      <c r="BS737" t="s">
        <v>13909</v>
      </c>
      <c r="BT737" t="str">
        <f>HYPERLINK("https%3A%2F%2Fwww.webofscience.com%2Fwos%2Fwoscc%2Ffull-record%2FWOS:000390412400003","View Full Record in Web of Science")</f>
        <v>View Full Record in Web of Science</v>
      </c>
    </row>
    <row r="738" spans="1:72" x14ac:dyDescent="0.15">
      <c r="A738" t="s">
        <v>72</v>
      </c>
      <c r="B738" t="s">
        <v>2502</v>
      </c>
      <c r="C738" t="s">
        <v>74</v>
      </c>
      <c r="D738" t="s">
        <v>74</v>
      </c>
      <c r="E738" t="s">
        <v>74</v>
      </c>
      <c r="F738" t="s">
        <v>2503</v>
      </c>
      <c r="G738" t="s">
        <v>74</v>
      </c>
      <c r="H738" t="s">
        <v>74</v>
      </c>
      <c r="I738" t="s">
        <v>13910</v>
      </c>
      <c r="J738" t="s">
        <v>13911</v>
      </c>
      <c r="K738" t="s">
        <v>74</v>
      </c>
      <c r="L738" t="s">
        <v>74</v>
      </c>
      <c r="M738" t="s">
        <v>78</v>
      </c>
      <c r="N738" t="s">
        <v>79</v>
      </c>
      <c r="O738" t="s">
        <v>74</v>
      </c>
      <c r="P738" t="s">
        <v>74</v>
      </c>
      <c r="Q738" t="s">
        <v>74</v>
      </c>
      <c r="R738" t="s">
        <v>74</v>
      </c>
      <c r="S738" t="s">
        <v>74</v>
      </c>
      <c r="T738" t="s">
        <v>13912</v>
      </c>
      <c r="U738" t="s">
        <v>13913</v>
      </c>
      <c r="V738" t="s">
        <v>13914</v>
      </c>
      <c r="W738" t="s">
        <v>13915</v>
      </c>
      <c r="X738" t="s">
        <v>13916</v>
      </c>
      <c r="Y738" t="s">
        <v>2511</v>
      </c>
      <c r="Z738" t="s">
        <v>2512</v>
      </c>
      <c r="AA738" t="s">
        <v>13917</v>
      </c>
      <c r="AB738" t="s">
        <v>13918</v>
      </c>
      <c r="AC738" t="s">
        <v>13919</v>
      </c>
      <c r="AD738" t="s">
        <v>13920</v>
      </c>
      <c r="AE738" t="s">
        <v>13921</v>
      </c>
      <c r="AF738" t="s">
        <v>74</v>
      </c>
      <c r="AG738">
        <v>36</v>
      </c>
      <c r="AH738">
        <v>3</v>
      </c>
      <c r="AI738">
        <v>3</v>
      </c>
      <c r="AJ738">
        <v>0</v>
      </c>
      <c r="AK738">
        <v>16</v>
      </c>
      <c r="AL738" t="s">
        <v>8845</v>
      </c>
      <c r="AM738" t="s">
        <v>2378</v>
      </c>
      <c r="AN738" t="s">
        <v>2379</v>
      </c>
      <c r="AO738" t="s">
        <v>13922</v>
      </c>
      <c r="AP738" t="s">
        <v>13923</v>
      </c>
      <c r="AQ738" t="s">
        <v>74</v>
      </c>
      <c r="AR738" t="s">
        <v>13911</v>
      </c>
      <c r="AS738" t="s">
        <v>13924</v>
      </c>
      <c r="AT738" t="s">
        <v>12991</v>
      </c>
      <c r="AU738">
        <v>2016</v>
      </c>
      <c r="AV738">
        <v>44</v>
      </c>
      <c r="AW738">
        <v>12</v>
      </c>
      <c r="AX738" t="s">
        <v>74</v>
      </c>
      <c r="AY738" t="s">
        <v>74</v>
      </c>
      <c r="AZ738" t="s">
        <v>74</v>
      </c>
      <c r="BA738" t="s">
        <v>74</v>
      </c>
      <c r="BB738">
        <v>1739</v>
      </c>
      <c r="BC738">
        <v>1749</v>
      </c>
      <c r="BD738" t="s">
        <v>74</v>
      </c>
      <c r="BE738" t="s">
        <v>13925</v>
      </c>
      <c r="BF738" t="str">
        <f>HYPERLINK("http://dx.doi.org/10.1002/clen.201600162","http://dx.doi.org/10.1002/clen.201600162")</f>
        <v>http://dx.doi.org/10.1002/clen.201600162</v>
      </c>
      <c r="BG738" t="s">
        <v>74</v>
      </c>
      <c r="BH738" t="s">
        <v>74</v>
      </c>
      <c r="BI738">
        <v>11</v>
      </c>
      <c r="BJ738" t="s">
        <v>13926</v>
      </c>
      <c r="BK738" t="s">
        <v>101</v>
      </c>
      <c r="BL738" t="s">
        <v>13927</v>
      </c>
      <c r="BM738" t="s">
        <v>13928</v>
      </c>
      <c r="BN738" t="s">
        <v>74</v>
      </c>
      <c r="BO738" t="s">
        <v>506</v>
      </c>
      <c r="BP738" t="s">
        <v>74</v>
      </c>
      <c r="BQ738" t="s">
        <v>74</v>
      </c>
      <c r="BR738" t="s">
        <v>105</v>
      </c>
      <c r="BS738" t="s">
        <v>13929</v>
      </c>
      <c r="BT738" t="str">
        <f>HYPERLINK("https%3A%2F%2Fwww.webofscience.com%2Fwos%2Fwoscc%2Ffull-record%2FWOS:000390004200017","View Full Record in Web of Science")</f>
        <v>View Full Record in Web of Science</v>
      </c>
    </row>
    <row r="739" spans="1:72" x14ac:dyDescent="0.15">
      <c r="A739" t="s">
        <v>72</v>
      </c>
      <c r="B739" t="s">
        <v>13930</v>
      </c>
      <c r="C739" t="s">
        <v>74</v>
      </c>
      <c r="D739" t="s">
        <v>74</v>
      </c>
      <c r="E739" t="s">
        <v>74</v>
      </c>
      <c r="F739" t="s">
        <v>13931</v>
      </c>
      <c r="G739" t="s">
        <v>74</v>
      </c>
      <c r="H739" t="s">
        <v>74</v>
      </c>
      <c r="I739" t="s">
        <v>13932</v>
      </c>
      <c r="J739" t="s">
        <v>8477</v>
      </c>
      <c r="K739" t="s">
        <v>74</v>
      </c>
      <c r="L739" t="s">
        <v>74</v>
      </c>
      <c r="M739" t="s">
        <v>78</v>
      </c>
      <c r="N739" t="s">
        <v>79</v>
      </c>
      <c r="O739" t="s">
        <v>74</v>
      </c>
      <c r="P739" t="s">
        <v>74</v>
      </c>
      <c r="Q739" t="s">
        <v>74</v>
      </c>
      <c r="R739" t="s">
        <v>74</v>
      </c>
      <c r="S739" t="s">
        <v>74</v>
      </c>
      <c r="T739" t="s">
        <v>13933</v>
      </c>
      <c r="U739" t="s">
        <v>13934</v>
      </c>
      <c r="V739" t="s">
        <v>13935</v>
      </c>
      <c r="W739" t="s">
        <v>13936</v>
      </c>
      <c r="X739" t="s">
        <v>13937</v>
      </c>
      <c r="Y739" t="s">
        <v>13938</v>
      </c>
      <c r="Z739" t="s">
        <v>13939</v>
      </c>
      <c r="AA739" t="s">
        <v>13940</v>
      </c>
      <c r="AB739" t="s">
        <v>13941</v>
      </c>
      <c r="AC739" t="s">
        <v>13942</v>
      </c>
      <c r="AD739" t="s">
        <v>13943</v>
      </c>
      <c r="AE739" t="s">
        <v>13944</v>
      </c>
      <c r="AF739" t="s">
        <v>74</v>
      </c>
      <c r="AG739">
        <v>109</v>
      </c>
      <c r="AH739">
        <v>21</v>
      </c>
      <c r="AI739">
        <v>25</v>
      </c>
      <c r="AJ739">
        <v>3</v>
      </c>
      <c r="AK739">
        <v>126</v>
      </c>
      <c r="AL739" t="s">
        <v>2377</v>
      </c>
      <c r="AM739" t="s">
        <v>2378</v>
      </c>
      <c r="AN739" t="s">
        <v>2379</v>
      </c>
      <c r="AO739" t="s">
        <v>8488</v>
      </c>
      <c r="AP739" t="s">
        <v>74</v>
      </c>
      <c r="AQ739" t="s">
        <v>74</v>
      </c>
      <c r="AR739" t="s">
        <v>8477</v>
      </c>
      <c r="AS739" t="s">
        <v>8489</v>
      </c>
      <c r="AT739" t="s">
        <v>12991</v>
      </c>
      <c r="AU739">
        <v>2016</v>
      </c>
      <c r="AV739">
        <v>7</v>
      </c>
      <c r="AW739">
        <v>12</v>
      </c>
      <c r="AX739" t="s">
        <v>74</v>
      </c>
      <c r="AY739" t="s">
        <v>74</v>
      </c>
      <c r="AZ739" t="s">
        <v>74</v>
      </c>
      <c r="BA739" t="s">
        <v>74</v>
      </c>
      <c r="BB739" t="s">
        <v>74</v>
      </c>
      <c r="BC739" t="s">
        <v>74</v>
      </c>
      <c r="BD739" t="s">
        <v>13945</v>
      </c>
      <c r="BE739" t="s">
        <v>13946</v>
      </c>
      <c r="BF739" t="str">
        <f>HYPERLINK("http://dx.doi.org/10.1002/ecs2.1604","http://dx.doi.org/10.1002/ecs2.1604")</f>
        <v>http://dx.doi.org/10.1002/ecs2.1604</v>
      </c>
      <c r="BG739" t="s">
        <v>74</v>
      </c>
      <c r="BH739" t="s">
        <v>74</v>
      </c>
      <c r="BI739">
        <v>26</v>
      </c>
      <c r="BJ739" t="s">
        <v>1739</v>
      </c>
      <c r="BK739" t="s">
        <v>245</v>
      </c>
      <c r="BL739" t="s">
        <v>178</v>
      </c>
      <c r="BM739" t="s">
        <v>13947</v>
      </c>
      <c r="BN739" t="s">
        <v>74</v>
      </c>
      <c r="BO739" t="s">
        <v>10901</v>
      </c>
      <c r="BP739" t="s">
        <v>74</v>
      </c>
      <c r="BQ739" t="s">
        <v>74</v>
      </c>
      <c r="BR739" t="s">
        <v>105</v>
      </c>
      <c r="BS739" t="s">
        <v>13948</v>
      </c>
      <c r="BT739" t="str">
        <f>HYPERLINK("https%3A%2F%2Fwww.webofscience.com%2Fwos%2Fwoscc%2Ffull-record%2FWOS:000390136700008","View Full Record in Web of Science")</f>
        <v>View Full Record in Web of Science</v>
      </c>
    </row>
    <row r="740" spans="1:72" x14ac:dyDescent="0.15">
      <c r="A740" t="s">
        <v>72</v>
      </c>
      <c r="B740" t="s">
        <v>13949</v>
      </c>
      <c r="C740" t="s">
        <v>74</v>
      </c>
      <c r="D740" t="s">
        <v>74</v>
      </c>
      <c r="E740" t="s">
        <v>74</v>
      </c>
      <c r="F740" t="s">
        <v>13950</v>
      </c>
      <c r="G740" t="s">
        <v>74</v>
      </c>
      <c r="H740" t="s">
        <v>74</v>
      </c>
      <c r="I740" t="s">
        <v>13951</v>
      </c>
      <c r="J740" t="s">
        <v>13952</v>
      </c>
      <c r="K740" t="s">
        <v>74</v>
      </c>
      <c r="L740" t="s">
        <v>74</v>
      </c>
      <c r="M740" t="s">
        <v>78</v>
      </c>
      <c r="N740" t="s">
        <v>79</v>
      </c>
      <c r="O740" t="s">
        <v>74</v>
      </c>
      <c r="P740" t="s">
        <v>74</v>
      </c>
      <c r="Q740" t="s">
        <v>74</v>
      </c>
      <c r="R740" t="s">
        <v>74</v>
      </c>
      <c r="S740" t="s">
        <v>74</v>
      </c>
      <c r="T740" t="s">
        <v>13953</v>
      </c>
      <c r="U740" t="s">
        <v>13954</v>
      </c>
      <c r="V740" t="s">
        <v>13955</v>
      </c>
      <c r="W740" t="s">
        <v>13956</v>
      </c>
      <c r="X740" t="s">
        <v>13957</v>
      </c>
      <c r="Y740" t="s">
        <v>13958</v>
      </c>
      <c r="Z740" t="s">
        <v>13959</v>
      </c>
      <c r="AA740" t="s">
        <v>13960</v>
      </c>
      <c r="AB740" t="s">
        <v>13961</v>
      </c>
      <c r="AC740" t="s">
        <v>74</v>
      </c>
      <c r="AD740" t="s">
        <v>74</v>
      </c>
      <c r="AE740" t="s">
        <v>74</v>
      </c>
      <c r="AF740" t="s">
        <v>74</v>
      </c>
      <c r="AG740">
        <v>122</v>
      </c>
      <c r="AH740">
        <v>17</v>
      </c>
      <c r="AI740">
        <v>18</v>
      </c>
      <c r="AJ740">
        <v>1</v>
      </c>
      <c r="AK740">
        <v>55</v>
      </c>
      <c r="AL740" t="s">
        <v>264</v>
      </c>
      <c r="AM740" t="s">
        <v>169</v>
      </c>
      <c r="AN740" t="s">
        <v>265</v>
      </c>
      <c r="AO740" t="s">
        <v>13962</v>
      </c>
      <c r="AP740" t="s">
        <v>74</v>
      </c>
      <c r="AQ740" t="s">
        <v>74</v>
      </c>
      <c r="AR740" t="s">
        <v>13963</v>
      </c>
      <c r="AS740" t="s">
        <v>13964</v>
      </c>
      <c r="AT740" t="s">
        <v>12991</v>
      </c>
      <c r="AU740">
        <v>2016</v>
      </c>
      <c r="AV740">
        <v>22</v>
      </c>
      <c r="AW740" t="s">
        <v>74</v>
      </c>
      <c r="AX740" t="s">
        <v>2081</v>
      </c>
      <c r="AY740" t="s">
        <v>74</v>
      </c>
      <c r="AZ740" t="s">
        <v>74</v>
      </c>
      <c r="BA740" t="s">
        <v>74</v>
      </c>
      <c r="BB740">
        <v>174</v>
      </c>
      <c r="BC740">
        <v>192</v>
      </c>
      <c r="BD740" t="s">
        <v>74</v>
      </c>
      <c r="BE740" t="s">
        <v>13965</v>
      </c>
      <c r="BF740" t="str">
        <f>HYPERLINK("http://dx.doi.org/10.1016/j.ecoser.2016.11.001","http://dx.doi.org/10.1016/j.ecoser.2016.11.001")</f>
        <v>http://dx.doi.org/10.1016/j.ecoser.2016.11.001</v>
      </c>
      <c r="BG740" t="s">
        <v>74</v>
      </c>
      <c r="BH740" t="s">
        <v>74</v>
      </c>
      <c r="BI740">
        <v>19</v>
      </c>
      <c r="BJ740" t="s">
        <v>13966</v>
      </c>
      <c r="BK740" t="s">
        <v>245</v>
      </c>
      <c r="BL740" t="s">
        <v>178</v>
      </c>
      <c r="BM740" t="s">
        <v>13967</v>
      </c>
      <c r="BN740" t="s">
        <v>74</v>
      </c>
      <c r="BO740" t="s">
        <v>506</v>
      </c>
      <c r="BP740" t="s">
        <v>74</v>
      </c>
      <c r="BQ740" t="s">
        <v>74</v>
      </c>
      <c r="BR740" t="s">
        <v>105</v>
      </c>
      <c r="BS740" t="s">
        <v>13968</v>
      </c>
      <c r="BT740" t="str">
        <f>HYPERLINK("https%3A%2F%2Fwww.webofscience.com%2Fwos%2Fwoscc%2Ffull-record%2FWOS:000390691200018","View Full Record in Web of Science")</f>
        <v>View Full Record in Web of Science</v>
      </c>
    </row>
    <row r="741" spans="1:72" x14ac:dyDescent="0.15">
      <c r="A741" t="s">
        <v>72</v>
      </c>
      <c r="B741" t="s">
        <v>13969</v>
      </c>
      <c r="C741" t="s">
        <v>74</v>
      </c>
      <c r="D741" t="s">
        <v>74</v>
      </c>
      <c r="E741" t="s">
        <v>74</v>
      </c>
      <c r="F741" t="s">
        <v>13970</v>
      </c>
      <c r="G741" t="s">
        <v>74</v>
      </c>
      <c r="H741" t="s">
        <v>74</v>
      </c>
      <c r="I741" t="s">
        <v>13971</v>
      </c>
      <c r="J741" t="s">
        <v>13972</v>
      </c>
      <c r="K741" t="s">
        <v>74</v>
      </c>
      <c r="L741" t="s">
        <v>74</v>
      </c>
      <c r="M741" t="s">
        <v>78</v>
      </c>
      <c r="N741" t="s">
        <v>79</v>
      </c>
      <c r="O741" t="s">
        <v>74</v>
      </c>
      <c r="P741" t="s">
        <v>74</v>
      </c>
      <c r="Q741" t="s">
        <v>74</v>
      </c>
      <c r="R741" t="s">
        <v>74</v>
      </c>
      <c r="S741" t="s">
        <v>74</v>
      </c>
      <c r="T741" t="s">
        <v>13973</v>
      </c>
      <c r="U741" t="s">
        <v>13974</v>
      </c>
      <c r="V741" t="s">
        <v>13975</v>
      </c>
      <c r="W741" t="s">
        <v>13976</v>
      </c>
      <c r="X741" t="s">
        <v>13977</v>
      </c>
      <c r="Y741" t="s">
        <v>13978</v>
      </c>
      <c r="Z741" t="s">
        <v>13979</v>
      </c>
      <c r="AA741" t="s">
        <v>13980</v>
      </c>
      <c r="AB741" t="s">
        <v>13981</v>
      </c>
      <c r="AC741" t="s">
        <v>13982</v>
      </c>
      <c r="AD741" t="s">
        <v>13983</v>
      </c>
      <c r="AE741" t="s">
        <v>13984</v>
      </c>
      <c r="AF741" t="s">
        <v>74</v>
      </c>
      <c r="AG741">
        <v>41</v>
      </c>
      <c r="AH741">
        <v>9</v>
      </c>
      <c r="AI741">
        <v>13</v>
      </c>
      <c r="AJ741">
        <v>3</v>
      </c>
      <c r="AK741">
        <v>48</v>
      </c>
      <c r="AL741" t="s">
        <v>291</v>
      </c>
      <c r="AM741" t="s">
        <v>292</v>
      </c>
      <c r="AN741" t="s">
        <v>293</v>
      </c>
      <c r="AO741" t="s">
        <v>13985</v>
      </c>
      <c r="AP741" t="s">
        <v>13986</v>
      </c>
      <c r="AQ741" t="s">
        <v>74</v>
      </c>
      <c r="AR741" t="s">
        <v>13987</v>
      </c>
      <c r="AS741" t="s">
        <v>13988</v>
      </c>
      <c r="AT741" t="s">
        <v>13135</v>
      </c>
      <c r="AU741">
        <v>2016</v>
      </c>
      <c r="AV741">
        <v>131</v>
      </c>
      <c r="AW741" t="s">
        <v>74</v>
      </c>
      <c r="AX741" t="s">
        <v>74</v>
      </c>
      <c r="AY741" t="s">
        <v>74</v>
      </c>
      <c r="AZ741" t="s">
        <v>74</v>
      </c>
      <c r="BA741" t="s">
        <v>74</v>
      </c>
      <c r="BB741">
        <v>62</v>
      </c>
      <c r="BC741">
        <v>71</v>
      </c>
      <c r="BD741" t="s">
        <v>74</v>
      </c>
      <c r="BE741" t="s">
        <v>13989</v>
      </c>
      <c r="BF741" t="str">
        <f>HYPERLINK("http://dx.doi.org/10.1016/j.jseaes.2016.09.007","http://dx.doi.org/10.1016/j.jseaes.2016.09.007")</f>
        <v>http://dx.doi.org/10.1016/j.jseaes.2016.09.007</v>
      </c>
      <c r="BG741" t="s">
        <v>74</v>
      </c>
      <c r="BH741" t="s">
        <v>74</v>
      </c>
      <c r="BI741">
        <v>10</v>
      </c>
      <c r="BJ741" t="s">
        <v>669</v>
      </c>
      <c r="BK741" t="s">
        <v>101</v>
      </c>
      <c r="BL741" t="s">
        <v>670</v>
      </c>
      <c r="BM741" t="s">
        <v>13990</v>
      </c>
      <c r="BN741" t="s">
        <v>74</v>
      </c>
      <c r="BO741" t="s">
        <v>301</v>
      </c>
      <c r="BP741" t="s">
        <v>74</v>
      </c>
      <c r="BQ741" t="s">
        <v>74</v>
      </c>
      <c r="BR741" t="s">
        <v>105</v>
      </c>
      <c r="BS741" t="s">
        <v>13991</v>
      </c>
      <c r="BT741" t="str">
        <f>HYPERLINK("https%3A%2F%2Fwww.webofscience.com%2Fwos%2Fwoscc%2Ffull-record%2FWOS:000390080500004","View Full Record in Web of Science")</f>
        <v>View Full Record in Web of Science</v>
      </c>
    </row>
    <row r="742" spans="1:72" x14ac:dyDescent="0.15">
      <c r="A742" t="s">
        <v>72</v>
      </c>
      <c r="B742" t="s">
        <v>13992</v>
      </c>
      <c r="C742" t="s">
        <v>74</v>
      </c>
      <c r="D742" t="s">
        <v>74</v>
      </c>
      <c r="E742" t="s">
        <v>74</v>
      </c>
      <c r="F742" t="s">
        <v>13993</v>
      </c>
      <c r="G742" t="s">
        <v>74</v>
      </c>
      <c r="H742" t="s">
        <v>74</v>
      </c>
      <c r="I742" t="s">
        <v>13994</v>
      </c>
      <c r="J742" t="s">
        <v>13995</v>
      </c>
      <c r="K742" t="s">
        <v>74</v>
      </c>
      <c r="L742" t="s">
        <v>74</v>
      </c>
      <c r="M742" t="s">
        <v>78</v>
      </c>
      <c r="N742" t="s">
        <v>79</v>
      </c>
      <c r="O742" t="s">
        <v>74</v>
      </c>
      <c r="P742" t="s">
        <v>74</v>
      </c>
      <c r="Q742" t="s">
        <v>74</v>
      </c>
      <c r="R742" t="s">
        <v>74</v>
      </c>
      <c r="S742" t="s">
        <v>74</v>
      </c>
      <c r="T742" t="s">
        <v>13996</v>
      </c>
      <c r="U742" t="s">
        <v>13997</v>
      </c>
      <c r="V742" t="s">
        <v>13998</v>
      </c>
      <c r="W742" t="s">
        <v>13999</v>
      </c>
      <c r="X742" t="s">
        <v>14000</v>
      </c>
      <c r="Y742" t="s">
        <v>14001</v>
      </c>
      <c r="Z742" t="s">
        <v>14002</v>
      </c>
      <c r="AA742" t="s">
        <v>74</v>
      </c>
      <c r="AB742" t="s">
        <v>14003</v>
      </c>
      <c r="AC742" t="s">
        <v>74</v>
      </c>
      <c r="AD742" t="s">
        <v>74</v>
      </c>
      <c r="AE742" t="s">
        <v>74</v>
      </c>
      <c r="AF742" t="s">
        <v>74</v>
      </c>
      <c r="AG742">
        <v>123</v>
      </c>
      <c r="AH742">
        <v>35</v>
      </c>
      <c r="AI742">
        <v>35</v>
      </c>
      <c r="AJ742">
        <v>0</v>
      </c>
      <c r="AK742">
        <v>9</v>
      </c>
      <c r="AL742" t="s">
        <v>291</v>
      </c>
      <c r="AM742" t="s">
        <v>292</v>
      </c>
      <c r="AN742" t="s">
        <v>293</v>
      </c>
      <c r="AO742" t="s">
        <v>14004</v>
      </c>
      <c r="AP742" t="s">
        <v>74</v>
      </c>
      <c r="AQ742" t="s">
        <v>74</v>
      </c>
      <c r="AR742" t="s">
        <v>14005</v>
      </c>
      <c r="AS742" t="s">
        <v>14006</v>
      </c>
      <c r="AT742" t="s">
        <v>12991</v>
      </c>
      <c r="AU742">
        <v>2016</v>
      </c>
      <c r="AV742">
        <v>102</v>
      </c>
      <c r="AW742" t="s">
        <v>74</v>
      </c>
      <c r="AX742" t="s">
        <v>74</v>
      </c>
      <c r="AY742" t="s">
        <v>74</v>
      </c>
      <c r="AZ742" t="s">
        <v>74</v>
      </c>
      <c r="BA742" t="s">
        <v>74</v>
      </c>
      <c r="BB742">
        <v>185</v>
      </c>
      <c r="BC742">
        <v>201</v>
      </c>
      <c r="BD742" t="s">
        <v>74</v>
      </c>
      <c r="BE742" t="s">
        <v>14007</v>
      </c>
      <c r="BF742" t="str">
        <f>HYPERLINK("http://dx.doi.org/10.1016/j.jog.2016.10.001","http://dx.doi.org/10.1016/j.jog.2016.10.001")</f>
        <v>http://dx.doi.org/10.1016/j.jog.2016.10.001</v>
      </c>
      <c r="BG742" t="s">
        <v>74</v>
      </c>
      <c r="BH742" t="s">
        <v>74</v>
      </c>
      <c r="BI742">
        <v>17</v>
      </c>
      <c r="BJ742" t="s">
        <v>299</v>
      </c>
      <c r="BK742" t="s">
        <v>101</v>
      </c>
      <c r="BL742" t="s">
        <v>299</v>
      </c>
      <c r="BM742" t="s">
        <v>14008</v>
      </c>
      <c r="BN742" t="s">
        <v>74</v>
      </c>
      <c r="BO742" t="s">
        <v>74</v>
      </c>
      <c r="BP742" t="s">
        <v>74</v>
      </c>
      <c r="BQ742" t="s">
        <v>74</v>
      </c>
      <c r="BR742" t="s">
        <v>105</v>
      </c>
      <c r="BS742" t="s">
        <v>14009</v>
      </c>
      <c r="BT742" t="str">
        <f>HYPERLINK("https%3A%2F%2Fwww.webofscience.com%2Fwos%2Fwoscc%2Ffull-record%2FWOS:000389729400013","View Full Record in Web of Science")</f>
        <v>View Full Record in Web of Science</v>
      </c>
    </row>
    <row r="743" spans="1:72" x14ac:dyDescent="0.15">
      <c r="A743" t="s">
        <v>72</v>
      </c>
      <c r="B743" t="s">
        <v>14010</v>
      </c>
      <c r="C743" t="s">
        <v>74</v>
      </c>
      <c r="D743" t="s">
        <v>74</v>
      </c>
      <c r="E743" t="s">
        <v>74</v>
      </c>
      <c r="F743" t="s">
        <v>14011</v>
      </c>
      <c r="G743" t="s">
        <v>74</v>
      </c>
      <c r="H743" t="s">
        <v>74</v>
      </c>
      <c r="I743" t="s">
        <v>14012</v>
      </c>
      <c r="J743" t="s">
        <v>14013</v>
      </c>
      <c r="K743" t="s">
        <v>74</v>
      </c>
      <c r="L743" t="s">
        <v>74</v>
      </c>
      <c r="M743" t="s">
        <v>78</v>
      </c>
      <c r="N743" t="s">
        <v>79</v>
      </c>
      <c r="O743" t="s">
        <v>74</v>
      </c>
      <c r="P743" t="s">
        <v>74</v>
      </c>
      <c r="Q743" t="s">
        <v>74</v>
      </c>
      <c r="R743" t="s">
        <v>74</v>
      </c>
      <c r="S743" t="s">
        <v>74</v>
      </c>
      <c r="T743" t="s">
        <v>14014</v>
      </c>
      <c r="U743" t="s">
        <v>74</v>
      </c>
      <c r="V743" t="s">
        <v>14015</v>
      </c>
      <c r="W743" t="s">
        <v>14016</v>
      </c>
      <c r="X743" t="s">
        <v>14017</v>
      </c>
      <c r="Y743" t="s">
        <v>14018</v>
      </c>
      <c r="Z743" t="s">
        <v>14019</v>
      </c>
      <c r="AA743" t="s">
        <v>14020</v>
      </c>
      <c r="AB743" t="s">
        <v>14021</v>
      </c>
      <c r="AC743" t="s">
        <v>74</v>
      </c>
      <c r="AD743" t="s">
        <v>74</v>
      </c>
      <c r="AE743" t="s">
        <v>74</v>
      </c>
      <c r="AF743" t="s">
        <v>74</v>
      </c>
      <c r="AG743">
        <v>0</v>
      </c>
      <c r="AH743">
        <v>1</v>
      </c>
      <c r="AI743">
        <v>1</v>
      </c>
      <c r="AJ743">
        <v>0</v>
      </c>
      <c r="AK743">
        <v>0</v>
      </c>
      <c r="AL743" t="s">
        <v>14022</v>
      </c>
      <c r="AM743" t="s">
        <v>14023</v>
      </c>
      <c r="AN743" t="s">
        <v>14024</v>
      </c>
      <c r="AO743" t="s">
        <v>14025</v>
      </c>
      <c r="AP743" t="s">
        <v>14026</v>
      </c>
      <c r="AQ743" t="s">
        <v>74</v>
      </c>
      <c r="AR743" t="s">
        <v>14027</v>
      </c>
      <c r="AS743" t="s">
        <v>14028</v>
      </c>
      <c r="AT743" t="s">
        <v>12991</v>
      </c>
      <c r="AU743">
        <v>2016</v>
      </c>
      <c r="AV743">
        <v>37</v>
      </c>
      <c r="AW743">
        <v>2</v>
      </c>
      <c r="AX743" t="s">
        <v>74</v>
      </c>
      <c r="AY743" t="s">
        <v>74</v>
      </c>
      <c r="AZ743" t="s">
        <v>74</v>
      </c>
      <c r="BA743" t="s">
        <v>74</v>
      </c>
      <c r="BB743">
        <v>258</v>
      </c>
      <c r="BC743">
        <v>262</v>
      </c>
      <c r="BD743" t="s">
        <v>74</v>
      </c>
      <c r="BE743" t="s">
        <v>14029</v>
      </c>
      <c r="BF743" t="str">
        <f>HYPERLINK("http://dx.doi.org/10.1177/0022526616654703","http://dx.doi.org/10.1177/0022526616654703")</f>
        <v>http://dx.doi.org/10.1177/0022526616654703</v>
      </c>
      <c r="BG743" t="s">
        <v>74</v>
      </c>
      <c r="BH743" t="s">
        <v>74</v>
      </c>
      <c r="BI743">
        <v>5</v>
      </c>
      <c r="BJ743" t="s">
        <v>4703</v>
      </c>
      <c r="BK743" t="s">
        <v>2057</v>
      </c>
      <c r="BL743" t="s">
        <v>4703</v>
      </c>
      <c r="BM743" t="s">
        <v>14030</v>
      </c>
      <c r="BN743" t="s">
        <v>74</v>
      </c>
      <c r="BO743" t="s">
        <v>74</v>
      </c>
      <c r="BP743" t="s">
        <v>74</v>
      </c>
      <c r="BQ743" t="s">
        <v>74</v>
      </c>
      <c r="BR743" t="s">
        <v>105</v>
      </c>
      <c r="BS743" t="s">
        <v>14031</v>
      </c>
      <c r="BT743" t="str">
        <f>HYPERLINK("https%3A%2F%2Fwww.webofscience.com%2Fwos%2Fwoscc%2Ffull-record%2FWOS:000390165700008","View Full Record in Web of Science")</f>
        <v>View Full Record in Web of Science</v>
      </c>
    </row>
    <row r="744" spans="1:72" x14ac:dyDescent="0.15">
      <c r="A744" t="s">
        <v>72</v>
      </c>
      <c r="B744" t="s">
        <v>14032</v>
      </c>
      <c r="C744" t="s">
        <v>74</v>
      </c>
      <c r="D744" t="s">
        <v>74</v>
      </c>
      <c r="E744" t="s">
        <v>74</v>
      </c>
      <c r="F744" t="s">
        <v>14033</v>
      </c>
      <c r="G744" t="s">
        <v>74</v>
      </c>
      <c r="H744" t="s">
        <v>74</v>
      </c>
      <c r="I744" t="s">
        <v>14034</v>
      </c>
      <c r="J744" t="s">
        <v>14035</v>
      </c>
      <c r="K744" t="s">
        <v>74</v>
      </c>
      <c r="L744" t="s">
        <v>74</v>
      </c>
      <c r="M744" t="s">
        <v>78</v>
      </c>
      <c r="N744" t="s">
        <v>79</v>
      </c>
      <c r="O744" t="s">
        <v>74</v>
      </c>
      <c r="P744" t="s">
        <v>74</v>
      </c>
      <c r="Q744" t="s">
        <v>74</v>
      </c>
      <c r="R744" t="s">
        <v>74</v>
      </c>
      <c r="S744" t="s">
        <v>74</v>
      </c>
      <c r="T744" t="s">
        <v>14036</v>
      </c>
      <c r="U744" t="s">
        <v>14037</v>
      </c>
      <c r="V744" t="s">
        <v>14038</v>
      </c>
      <c r="W744" t="s">
        <v>14039</v>
      </c>
      <c r="X744" t="s">
        <v>14040</v>
      </c>
      <c r="Y744" t="s">
        <v>14041</v>
      </c>
      <c r="Z744" t="s">
        <v>14042</v>
      </c>
      <c r="AA744" t="s">
        <v>14043</v>
      </c>
      <c r="AB744" t="s">
        <v>14044</v>
      </c>
      <c r="AC744" t="s">
        <v>14045</v>
      </c>
      <c r="AD744" t="s">
        <v>14046</v>
      </c>
      <c r="AE744" t="s">
        <v>14047</v>
      </c>
      <c r="AF744" t="s">
        <v>74</v>
      </c>
      <c r="AG744">
        <v>62</v>
      </c>
      <c r="AH744">
        <v>22</v>
      </c>
      <c r="AI744">
        <v>22</v>
      </c>
      <c r="AJ744">
        <v>2</v>
      </c>
      <c r="AK744">
        <v>24</v>
      </c>
      <c r="AL744" t="s">
        <v>2377</v>
      </c>
      <c r="AM744" t="s">
        <v>2378</v>
      </c>
      <c r="AN744" t="s">
        <v>2379</v>
      </c>
      <c r="AO744" t="s">
        <v>14048</v>
      </c>
      <c r="AP744" t="s">
        <v>14049</v>
      </c>
      <c r="AQ744" t="s">
        <v>74</v>
      </c>
      <c r="AR744" t="s">
        <v>14050</v>
      </c>
      <c r="AS744" t="s">
        <v>14051</v>
      </c>
      <c r="AT744" t="s">
        <v>12991</v>
      </c>
      <c r="AU744">
        <v>2016</v>
      </c>
      <c r="AV744">
        <v>37</v>
      </c>
      <c r="AW744">
        <v>6</v>
      </c>
      <c r="AX744" t="s">
        <v>74</v>
      </c>
      <c r="AY744" t="s">
        <v>74</v>
      </c>
      <c r="AZ744" t="s">
        <v>74</v>
      </c>
      <c r="BA744" t="s">
        <v>74</v>
      </c>
      <c r="BB744">
        <v>1336</v>
      </c>
      <c r="BC744">
        <v>1344</v>
      </c>
      <c r="BD744" t="s">
        <v>74</v>
      </c>
      <c r="BE744" t="s">
        <v>14052</v>
      </c>
      <c r="BF744" t="str">
        <f>HYPERLINK("http://dx.doi.org/10.1111/maec.12343","http://dx.doi.org/10.1111/maec.12343")</f>
        <v>http://dx.doi.org/10.1111/maec.12343</v>
      </c>
      <c r="BG744" t="s">
        <v>74</v>
      </c>
      <c r="BH744" t="s">
        <v>74</v>
      </c>
      <c r="BI744">
        <v>9</v>
      </c>
      <c r="BJ744" t="s">
        <v>2474</v>
      </c>
      <c r="BK744" t="s">
        <v>101</v>
      </c>
      <c r="BL744" t="s">
        <v>2474</v>
      </c>
      <c r="BM744" t="s">
        <v>14053</v>
      </c>
      <c r="BN744" t="s">
        <v>74</v>
      </c>
      <c r="BO744" t="s">
        <v>74</v>
      </c>
      <c r="BP744" t="s">
        <v>74</v>
      </c>
      <c r="BQ744" t="s">
        <v>74</v>
      </c>
      <c r="BR744" t="s">
        <v>105</v>
      </c>
      <c r="BS744" t="s">
        <v>14054</v>
      </c>
      <c r="BT744" t="str">
        <f>HYPERLINK("https%3A%2F%2Fwww.webofscience.com%2Fwos%2Fwoscc%2Ffull-record%2FWOS:000390401400013","View Full Record in Web of Science")</f>
        <v>View Full Record in Web of Science</v>
      </c>
    </row>
    <row r="745" spans="1:72" x14ac:dyDescent="0.15">
      <c r="A745" t="s">
        <v>72</v>
      </c>
      <c r="B745" t="s">
        <v>14055</v>
      </c>
      <c r="C745" t="s">
        <v>74</v>
      </c>
      <c r="D745" t="s">
        <v>74</v>
      </c>
      <c r="E745" t="s">
        <v>74</v>
      </c>
      <c r="F745" t="s">
        <v>14056</v>
      </c>
      <c r="G745" t="s">
        <v>74</v>
      </c>
      <c r="H745" t="s">
        <v>74</v>
      </c>
      <c r="I745" t="s">
        <v>14057</v>
      </c>
      <c r="J745" t="s">
        <v>9065</v>
      </c>
      <c r="K745" t="s">
        <v>74</v>
      </c>
      <c r="L745" t="s">
        <v>74</v>
      </c>
      <c r="M745" t="s">
        <v>78</v>
      </c>
      <c r="N745" t="s">
        <v>79</v>
      </c>
      <c r="O745" t="s">
        <v>74</v>
      </c>
      <c r="P745" t="s">
        <v>74</v>
      </c>
      <c r="Q745" t="s">
        <v>74</v>
      </c>
      <c r="R745" t="s">
        <v>74</v>
      </c>
      <c r="S745" t="s">
        <v>74</v>
      </c>
      <c r="T745" t="s">
        <v>14058</v>
      </c>
      <c r="U745" t="s">
        <v>14059</v>
      </c>
      <c r="V745" t="s">
        <v>14060</v>
      </c>
      <c r="W745" t="s">
        <v>14061</v>
      </c>
      <c r="X745" t="s">
        <v>14062</v>
      </c>
      <c r="Y745" t="s">
        <v>14063</v>
      </c>
      <c r="Z745" t="s">
        <v>14064</v>
      </c>
      <c r="AA745" t="s">
        <v>14065</v>
      </c>
      <c r="AB745" t="s">
        <v>14066</v>
      </c>
      <c r="AC745" t="s">
        <v>14067</v>
      </c>
      <c r="AD745" t="s">
        <v>14068</v>
      </c>
      <c r="AE745" t="s">
        <v>14069</v>
      </c>
      <c r="AF745" t="s">
        <v>74</v>
      </c>
      <c r="AG745">
        <v>55</v>
      </c>
      <c r="AH745">
        <v>37</v>
      </c>
      <c r="AI745">
        <v>41</v>
      </c>
      <c r="AJ745">
        <v>4</v>
      </c>
      <c r="AK745">
        <v>68</v>
      </c>
      <c r="AL745" t="s">
        <v>2325</v>
      </c>
      <c r="AM745" t="s">
        <v>292</v>
      </c>
      <c r="AN745" t="s">
        <v>2326</v>
      </c>
      <c r="AO745" t="s">
        <v>9076</v>
      </c>
      <c r="AP745" t="s">
        <v>9077</v>
      </c>
      <c r="AQ745" t="s">
        <v>74</v>
      </c>
      <c r="AR745" t="s">
        <v>9078</v>
      </c>
      <c r="AS745" t="s">
        <v>9079</v>
      </c>
      <c r="AT745" t="s">
        <v>12991</v>
      </c>
      <c r="AU745">
        <v>2016</v>
      </c>
      <c r="AV745">
        <v>74</v>
      </c>
      <c r="AW745" t="s">
        <v>74</v>
      </c>
      <c r="AX745" t="s">
        <v>74</v>
      </c>
      <c r="AY745" t="s">
        <v>74</v>
      </c>
      <c r="AZ745" t="s">
        <v>74</v>
      </c>
      <c r="BA745" t="s">
        <v>74</v>
      </c>
      <c r="BB745">
        <v>220</v>
      </c>
      <c r="BC745">
        <v>229</v>
      </c>
      <c r="BD745" t="s">
        <v>74</v>
      </c>
      <c r="BE745" t="s">
        <v>14070</v>
      </c>
      <c r="BF745" t="str">
        <f>HYPERLINK("http://dx.doi.org/10.1016/j.marpol.2016.09.024","http://dx.doi.org/10.1016/j.marpol.2016.09.024")</f>
        <v>http://dx.doi.org/10.1016/j.marpol.2016.09.024</v>
      </c>
      <c r="BG745" t="s">
        <v>74</v>
      </c>
      <c r="BH745" t="s">
        <v>74</v>
      </c>
      <c r="BI745">
        <v>10</v>
      </c>
      <c r="BJ745" t="s">
        <v>9081</v>
      </c>
      <c r="BK745" t="s">
        <v>1918</v>
      </c>
      <c r="BL745" t="s">
        <v>9082</v>
      </c>
      <c r="BM745" t="s">
        <v>14071</v>
      </c>
      <c r="BN745" t="s">
        <v>74</v>
      </c>
      <c r="BO745" t="s">
        <v>74</v>
      </c>
      <c r="BP745" t="s">
        <v>74</v>
      </c>
      <c r="BQ745" t="s">
        <v>74</v>
      </c>
      <c r="BR745" t="s">
        <v>105</v>
      </c>
      <c r="BS745" t="s">
        <v>14072</v>
      </c>
      <c r="BT745" t="str">
        <f>HYPERLINK("https%3A%2F%2Fwww.webofscience.com%2Fwos%2Fwoscc%2Ffull-record%2FWOS:000390494100027","View Full Record in Web of Science")</f>
        <v>View Full Record in Web of Science</v>
      </c>
    </row>
    <row r="746" spans="1:72" x14ac:dyDescent="0.15">
      <c r="A746" t="s">
        <v>72</v>
      </c>
      <c r="B746" t="s">
        <v>14073</v>
      </c>
      <c r="C746" t="s">
        <v>74</v>
      </c>
      <c r="D746" t="s">
        <v>74</v>
      </c>
      <c r="E746" t="s">
        <v>74</v>
      </c>
      <c r="F746" t="s">
        <v>14074</v>
      </c>
      <c r="G746" t="s">
        <v>74</v>
      </c>
      <c r="H746" t="s">
        <v>74</v>
      </c>
      <c r="I746" t="s">
        <v>14075</v>
      </c>
      <c r="J746" t="s">
        <v>14076</v>
      </c>
      <c r="K746" t="s">
        <v>74</v>
      </c>
      <c r="L746" t="s">
        <v>74</v>
      </c>
      <c r="M746" t="s">
        <v>78</v>
      </c>
      <c r="N746" t="s">
        <v>79</v>
      </c>
      <c r="O746" t="s">
        <v>74</v>
      </c>
      <c r="P746" t="s">
        <v>74</v>
      </c>
      <c r="Q746" t="s">
        <v>74</v>
      </c>
      <c r="R746" t="s">
        <v>74</v>
      </c>
      <c r="S746" t="s">
        <v>74</v>
      </c>
      <c r="T746" t="s">
        <v>14077</v>
      </c>
      <c r="U746" t="s">
        <v>14078</v>
      </c>
      <c r="V746" t="s">
        <v>14079</v>
      </c>
      <c r="W746" t="s">
        <v>14080</v>
      </c>
      <c r="X746" t="s">
        <v>14081</v>
      </c>
      <c r="Y746" t="s">
        <v>14082</v>
      </c>
      <c r="Z746" t="s">
        <v>14083</v>
      </c>
      <c r="AA746" t="s">
        <v>74</v>
      </c>
      <c r="AB746" t="s">
        <v>14084</v>
      </c>
      <c r="AC746" t="s">
        <v>14085</v>
      </c>
      <c r="AD746" t="s">
        <v>14086</v>
      </c>
      <c r="AE746" t="s">
        <v>14087</v>
      </c>
      <c r="AF746" t="s">
        <v>74</v>
      </c>
      <c r="AG746">
        <v>35</v>
      </c>
      <c r="AH746">
        <v>27</v>
      </c>
      <c r="AI746">
        <v>27</v>
      </c>
      <c r="AJ746">
        <v>0</v>
      </c>
      <c r="AK746">
        <v>3</v>
      </c>
      <c r="AL746" t="s">
        <v>2325</v>
      </c>
      <c r="AM746" t="s">
        <v>292</v>
      </c>
      <c r="AN746" t="s">
        <v>2326</v>
      </c>
      <c r="AO746" t="s">
        <v>14088</v>
      </c>
      <c r="AP746" t="s">
        <v>14089</v>
      </c>
      <c r="AQ746" t="s">
        <v>74</v>
      </c>
      <c r="AR746" t="s">
        <v>14090</v>
      </c>
      <c r="AS746" t="s">
        <v>14091</v>
      </c>
      <c r="AT746" t="s">
        <v>12991</v>
      </c>
      <c r="AU746">
        <v>2016</v>
      </c>
      <c r="AV746">
        <v>108</v>
      </c>
      <c r="AW746" t="s">
        <v>74</v>
      </c>
      <c r="AX746" t="s">
        <v>74</v>
      </c>
      <c r="AY746" t="s">
        <v>74</v>
      </c>
      <c r="AZ746" t="s">
        <v>74</v>
      </c>
      <c r="BA746" t="s">
        <v>74</v>
      </c>
      <c r="BB746">
        <v>1</v>
      </c>
      <c r="BC746">
        <v>19</v>
      </c>
      <c r="BD746" t="s">
        <v>74</v>
      </c>
      <c r="BE746" t="s">
        <v>14092</v>
      </c>
      <c r="BF746" t="str">
        <f>HYPERLINK("http://dx.doi.org/10.1016/j.ocemod.2016.10.001","http://dx.doi.org/10.1016/j.ocemod.2016.10.001")</f>
        <v>http://dx.doi.org/10.1016/j.ocemod.2016.10.001</v>
      </c>
      <c r="BG746" t="s">
        <v>74</v>
      </c>
      <c r="BH746" t="s">
        <v>74</v>
      </c>
      <c r="BI746">
        <v>19</v>
      </c>
      <c r="BJ746" t="s">
        <v>6981</v>
      </c>
      <c r="BK746" t="s">
        <v>101</v>
      </c>
      <c r="BL746" t="s">
        <v>6981</v>
      </c>
      <c r="BM746" t="s">
        <v>14093</v>
      </c>
      <c r="BN746" t="s">
        <v>74</v>
      </c>
      <c r="BO746" t="s">
        <v>74</v>
      </c>
      <c r="BP746" t="s">
        <v>74</v>
      </c>
      <c r="BQ746" t="s">
        <v>74</v>
      </c>
      <c r="BR746" t="s">
        <v>105</v>
      </c>
      <c r="BS746" t="s">
        <v>14094</v>
      </c>
      <c r="BT746" t="str">
        <f>HYPERLINK("https%3A%2F%2Fwww.webofscience.com%2Fwos%2Fwoscc%2Ffull-record%2FWOS:000390434600001","View Full Record in Web of Science")</f>
        <v>View Full Record in Web of Science</v>
      </c>
    </row>
    <row r="747" spans="1:72" x14ac:dyDescent="0.15">
      <c r="A747" t="s">
        <v>72</v>
      </c>
      <c r="B747" t="s">
        <v>14095</v>
      </c>
      <c r="C747" t="s">
        <v>74</v>
      </c>
      <c r="D747" t="s">
        <v>74</v>
      </c>
      <c r="E747" t="s">
        <v>74</v>
      </c>
      <c r="F747" t="s">
        <v>14096</v>
      </c>
      <c r="G747" t="s">
        <v>74</v>
      </c>
      <c r="H747" t="s">
        <v>74</v>
      </c>
      <c r="I747" t="s">
        <v>14097</v>
      </c>
      <c r="J747" t="s">
        <v>9238</v>
      </c>
      <c r="K747" t="s">
        <v>74</v>
      </c>
      <c r="L747" t="s">
        <v>74</v>
      </c>
      <c r="M747" t="s">
        <v>78</v>
      </c>
      <c r="N747" t="s">
        <v>2034</v>
      </c>
      <c r="O747" t="s">
        <v>74</v>
      </c>
      <c r="P747" t="s">
        <v>74</v>
      </c>
      <c r="Q747" t="s">
        <v>74</v>
      </c>
      <c r="R747" t="s">
        <v>74</v>
      </c>
      <c r="S747" t="s">
        <v>74</v>
      </c>
      <c r="T747" t="s">
        <v>14098</v>
      </c>
      <c r="U747" t="s">
        <v>14099</v>
      </c>
      <c r="V747" t="s">
        <v>14100</v>
      </c>
      <c r="W747" t="s">
        <v>14101</v>
      </c>
      <c r="X747" t="s">
        <v>14102</v>
      </c>
      <c r="Y747" t="s">
        <v>14103</v>
      </c>
      <c r="Z747" t="s">
        <v>14104</v>
      </c>
      <c r="AA747" t="s">
        <v>74</v>
      </c>
      <c r="AB747" t="s">
        <v>14105</v>
      </c>
      <c r="AC747" t="s">
        <v>14106</v>
      </c>
      <c r="AD747" t="s">
        <v>14107</v>
      </c>
      <c r="AE747" t="s">
        <v>14108</v>
      </c>
      <c r="AF747" t="s">
        <v>74</v>
      </c>
      <c r="AG747">
        <v>164</v>
      </c>
      <c r="AH747">
        <v>9</v>
      </c>
      <c r="AI747">
        <v>10</v>
      </c>
      <c r="AJ747">
        <v>8</v>
      </c>
      <c r="AK747">
        <v>82</v>
      </c>
      <c r="AL747" t="s">
        <v>211</v>
      </c>
      <c r="AM747" t="s">
        <v>187</v>
      </c>
      <c r="AN747" t="s">
        <v>2131</v>
      </c>
      <c r="AO747" t="s">
        <v>9250</v>
      </c>
      <c r="AP747" t="s">
        <v>9251</v>
      </c>
      <c r="AQ747" t="s">
        <v>74</v>
      </c>
      <c r="AR747" t="s">
        <v>9252</v>
      </c>
      <c r="AS747" t="s">
        <v>9253</v>
      </c>
      <c r="AT747" t="s">
        <v>12991</v>
      </c>
      <c r="AU747">
        <v>2016</v>
      </c>
      <c r="AV747">
        <v>39</v>
      </c>
      <c r="AW747">
        <v>12</v>
      </c>
      <c r="AX747" t="s">
        <v>74</v>
      </c>
      <c r="AY747" t="s">
        <v>74</v>
      </c>
      <c r="AZ747" t="s">
        <v>74</v>
      </c>
      <c r="BA747" t="s">
        <v>74</v>
      </c>
      <c r="BB747">
        <v>2207</v>
      </c>
      <c r="BC747">
        <v>2225</v>
      </c>
      <c r="BD747" t="s">
        <v>74</v>
      </c>
      <c r="BE747" t="s">
        <v>14109</v>
      </c>
      <c r="BF747" t="str">
        <f>HYPERLINK("http://dx.doi.org/10.1007/s00300-016-2011-1","http://dx.doi.org/10.1007/s00300-016-2011-1")</f>
        <v>http://dx.doi.org/10.1007/s00300-016-2011-1</v>
      </c>
      <c r="BG747" t="s">
        <v>74</v>
      </c>
      <c r="BH747" t="s">
        <v>74</v>
      </c>
      <c r="BI747">
        <v>19</v>
      </c>
      <c r="BJ747" t="s">
        <v>5867</v>
      </c>
      <c r="BK747" t="s">
        <v>101</v>
      </c>
      <c r="BL747" t="s">
        <v>2257</v>
      </c>
      <c r="BM747" t="s">
        <v>14110</v>
      </c>
      <c r="BN747" t="s">
        <v>74</v>
      </c>
      <c r="BO747" t="s">
        <v>74</v>
      </c>
      <c r="BP747" t="s">
        <v>74</v>
      </c>
      <c r="BQ747" t="s">
        <v>74</v>
      </c>
      <c r="BR747" t="s">
        <v>105</v>
      </c>
      <c r="BS747" t="s">
        <v>14111</v>
      </c>
      <c r="BT747" t="str">
        <f>HYPERLINK("https%3A%2F%2Fwww.webofscience.com%2Fwos%2Fwoscc%2Ffull-record%2FWOS:000390068600001","View Full Record in Web of Science")</f>
        <v>View Full Record in Web of Science</v>
      </c>
    </row>
    <row r="748" spans="1:72" x14ac:dyDescent="0.15">
      <c r="A748" t="s">
        <v>72</v>
      </c>
      <c r="B748" t="s">
        <v>14112</v>
      </c>
      <c r="C748" t="s">
        <v>74</v>
      </c>
      <c r="D748" t="s">
        <v>74</v>
      </c>
      <c r="E748" t="s">
        <v>74</v>
      </c>
      <c r="F748" t="s">
        <v>14113</v>
      </c>
      <c r="G748" t="s">
        <v>74</v>
      </c>
      <c r="H748" t="s">
        <v>74</v>
      </c>
      <c r="I748" t="s">
        <v>14114</v>
      </c>
      <c r="J748" t="s">
        <v>9238</v>
      </c>
      <c r="K748" t="s">
        <v>74</v>
      </c>
      <c r="L748" t="s">
        <v>74</v>
      </c>
      <c r="M748" t="s">
        <v>78</v>
      </c>
      <c r="N748" t="s">
        <v>79</v>
      </c>
      <c r="O748" t="s">
        <v>74</v>
      </c>
      <c r="P748" t="s">
        <v>74</v>
      </c>
      <c r="Q748" t="s">
        <v>74</v>
      </c>
      <c r="R748" t="s">
        <v>74</v>
      </c>
      <c r="S748" t="s">
        <v>74</v>
      </c>
      <c r="T748" t="s">
        <v>14115</v>
      </c>
      <c r="U748" t="s">
        <v>14116</v>
      </c>
      <c r="V748" t="s">
        <v>14117</v>
      </c>
      <c r="W748" t="s">
        <v>14118</v>
      </c>
      <c r="X748" t="s">
        <v>14119</v>
      </c>
      <c r="Y748" t="s">
        <v>14120</v>
      </c>
      <c r="Z748" t="s">
        <v>14121</v>
      </c>
      <c r="AA748" t="s">
        <v>14122</v>
      </c>
      <c r="AB748" t="s">
        <v>14123</v>
      </c>
      <c r="AC748" t="s">
        <v>14124</v>
      </c>
      <c r="AD748" t="s">
        <v>14125</v>
      </c>
      <c r="AE748" t="s">
        <v>14126</v>
      </c>
      <c r="AF748" t="s">
        <v>74</v>
      </c>
      <c r="AG748">
        <v>85</v>
      </c>
      <c r="AH748">
        <v>30</v>
      </c>
      <c r="AI748">
        <v>32</v>
      </c>
      <c r="AJ748">
        <v>1</v>
      </c>
      <c r="AK748">
        <v>41</v>
      </c>
      <c r="AL748" t="s">
        <v>211</v>
      </c>
      <c r="AM748" t="s">
        <v>187</v>
      </c>
      <c r="AN748" t="s">
        <v>933</v>
      </c>
      <c r="AO748" t="s">
        <v>9250</v>
      </c>
      <c r="AP748" t="s">
        <v>9251</v>
      </c>
      <c r="AQ748" t="s">
        <v>74</v>
      </c>
      <c r="AR748" t="s">
        <v>9252</v>
      </c>
      <c r="AS748" t="s">
        <v>9253</v>
      </c>
      <c r="AT748" t="s">
        <v>12991</v>
      </c>
      <c r="AU748">
        <v>2016</v>
      </c>
      <c r="AV748">
        <v>39</v>
      </c>
      <c r="AW748">
        <v>12</v>
      </c>
      <c r="AX748" t="s">
        <v>74</v>
      </c>
      <c r="AY748" t="s">
        <v>74</v>
      </c>
      <c r="AZ748" t="s">
        <v>74</v>
      </c>
      <c r="BA748" t="s">
        <v>74</v>
      </c>
      <c r="BB748">
        <v>2281</v>
      </c>
      <c r="BC748">
        <v>2297</v>
      </c>
      <c r="BD748" t="s">
        <v>74</v>
      </c>
      <c r="BE748" t="s">
        <v>14127</v>
      </c>
      <c r="BF748" t="str">
        <f>HYPERLINK("http://dx.doi.org/10.1007/s00300-016-1895-0","http://dx.doi.org/10.1007/s00300-016-1895-0")</f>
        <v>http://dx.doi.org/10.1007/s00300-016-1895-0</v>
      </c>
      <c r="BG748" t="s">
        <v>74</v>
      </c>
      <c r="BH748" t="s">
        <v>74</v>
      </c>
      <c r="BI748">
        <v>17</v>
      </c>
      <c r="BJ748" t="s">
        <v>5867</v>
      </c>
      <c r="BK748" t="s">
        <v>101</v>
      </c>
      <c r="BL748" t="s">
        <v>2257</v>
      </c>
      <c r="BM748" t="s">
        <v>14110</v>
      </c>
      <c r="BN748" t="s">
        <v>74</v>
      </c>
      <c r="BO748" t="s">
        <v>506</v>
      </c>
      <c r="BP748" t="s">
        <v>74</v>
      </c>
      <c r="BQ748" t="s">
        <v>74</v>
      </c>
      <c r="BR748" t="s">
        <v>105</v>
      </c>
      <c r="BS748" t="s">
        <v>14128</v>
      </c>
      <c r="BT748" t="str">
        <f>HYPERLINK("https%3A%2F%2Fwww.webofscience.com%2Fwos%2Fwoscc%2Ffull-record%2FWOS:000390068600007","View Full Record in Web of Science")</f>
        <v>View Full Record in Web of Science</v>
      </c>
    </row>
    <row r="749" spans="1:72" x14ac:dyDescent="0.15">
      <c r="A749" t="s">
        <v>72</v>
      </c>
      <c r="B749" t="s">
        <v>14129</v>
      </c>
      <c r="C749" t="s">
        <v>74</v>
      </c>
      <c r="D749" t="s">
        <v>74</v>
      </c>
      <c r="E749" t="s">
        <v>74</v>
      </c>
      <c r="F749" t="s">
        <v>14130</v>
      </c>
      <c r="G749" t="s">
        <v>74</v>
      </c>
      <c r="H749" t="s">
        <v>74</v>
      </c>
      <c r="I749" t="s">
        <v>14131</v>
      </c>
      <c r="J749" t="s">
        <v>9238</v>
      </c>
      <c r="K749" t="s">
        <v>74</v>
      </c>
      <c r="L749" t="s">
        <v>74</v>
      </c>
      <c r="M749" t="s">
        <v>78</v>
      </c>
      <c r="N749" t="s">
        <v>79</v>
      </c>
      <c r="O749" t="s">
        <v>74</v>
      </c>
      <c r="P749" t="s">
        <v>74</v>
      </c>
      <c r="Q749" t="s">
        <v>74</v>
      </c>
      <c r="R749" t="s">
        <v>74</v>
      </c>
      <c r="S749" t="s">
        <v>74</v>
      </c>
      <c r="T749" t="s">
        <v>14132</v>
      </c>
      <c r="U749" t="s">
        <v>14133</v>
      </c>
      <c r="V749" t="s">
        <v>14134</v>
      </c>
      <c r="W749" t="s">
        <v>14135</v>
      </c>
      <c r="X749" t="s">
        <v>14136</v>
      </c>
      <c r="Y749" t="s">
        <v>14137</v>
      </c>
      <c r="Z749" t="s">
        <v>14138</v>
      </c>
      <c r="AA749" t="s">
        <v>14139</v>
      </c>
      <c r="AB749" t="s">
        <v>14140</v>
      </c>
      <c r="AC749" t="s">
        <v>14141</v>
      </c>
      <c r="AD749" t="s">
        <v>14142</v>
      </c>
      <c r="AE749" t="s">
        <v>14143</v>
      </c>
      <c r="AF749" t="s">
        <v>74</v>
      </c>
      <c r="AG749">
        <v>70</v>
      </c>
      <c r="AH749">
        <v>12</v>
      </c>
      <c r="AI749">
        <v>14</v>
      </c>
      <c r="AJ749">
        <v>3</v>
      </c>
      <c r="AK749">
        <v>32</v>
      </c>
      <c r="AL749" t="s">
        <v>211</v>
      </c>
      <c r="AM749" t="s">
        <v>187</v>
      </c>
      <c r="AN749" t="s">
        <v>2131</v>
      </c>
      <c r="AO749" t="s">
        <v>9250</v>
      </c>
      <c r="AP749" t="s">
        <v>9251</v>
      </c>
      <c r="AQ749" t="s">
        <v>74</v>
      </c>
      <c r="AR749" t="s">
        <v>9252</v>
      </c>
      <c r="AS749" t="s">
        <v>9253</v>
      </c>
      <c r="AT749" t="s">
        <v>12991</v>
      </c>
      <c r="AU749">
        <v>2016</v>
      </c>
      <c r="AV749">
        <v>39</v>
      </c>
      <c r="AW749">
        <v>12</v>
      </c>
      <c r="AX749" t="s">
        <v>74</v>
      </c>
      <c r="AY749" t="s">
        <v>74</v>
      </c>
      <c r="AZ749" t="s">
        <v>74</v>
      </c>
      <c r="BA749" t="s">
        <v>74</v>
      </c>
      <c r="BB749">
        <v>2361</v>
      </c>
      <c r="BC749">
        <v>2371</v>
      </c>
      <c r="BD749" t="s">
        <v>74</v>
      </c>
      <c r="BE749" t="s">
        <v>14144</v>
      </c>
      <c r="BF749" t="str">
        <f>HYPERLINK("http://dx.doi.org/10.1007/s00300-016-1912-3","http://dx.doi.org/10.1007/s00300-016-1912-3")</f>
        <v>http://dx.doi.org/10.1007/s00300-016-1912-3</v>
      </c>
      <c r="BG749" t="s">
        <v>74</v>
      </c>
      <c r="BH749" t="s">
        <v>74</v>
      </c>
      <c r="BI749">
        <v>11</v>
      </c>
      <c r="BJ749" t="s">
        <v>5867</v>
      </c>
      <c r="BK749" t="s">
        <v>101</v>
      </c>
      <c r="BL749" t="s">
        <v>2257</v>
      </c>
      <c r="BM749" t="s">
        <v>14110</v>
      </c>
      <c r="BN749" t="s">
        <v>74</v>
      </c>
      <c r="BO749" t="s">
        <v>74</v>
      </c>
      <c r="BP749" t="s">
        <v>74</v>
      </c>
      <c r="BQ749" t="s">
        <v>74</v>
      </c>
      <c r="BR749" t="s">
        <v>105</v>
      </c>
      <c r="BS749" t="s">
        <v>14145</v>
      </c>
      <c r="BT749" t="str">
        <f>HYPERLINK("https%3A%2F%2Fwww.webofscience.com%2Fwos%2Fwoscc%2Ffull-record%2FWOS:000390068600013","View Full Record in Web of Science")</f>
        <v>View Full Record in Web of Science</v>
      </c>
    </row>
    <row r="750" spans="1:72" x14ac:dyDescent="0.15">
      <c r="A750" t="s">
        <v>72</v>
      </c>
      <c r="B750" t="s">
        <v>14146</v>
      </c>
      <c r="C750" t="s">
        <v>74</v>
      </c>
      <c r="D750" t="s">
        <v>74</v>
      </c>
      <c r="E750" t="s">
        <v>74</v>
      </c>
      <c r="F750" t="s">
        <v>14147</v>
      </c>
      <c r="G750" t="s">
        <v>74</v>
      </c>
      <c r="H750" t="s">
        <v>74</v>
      </c>
      <c r="I750" t="s">
        <v>14148</v>
      </c>
      <c r="J750" t="s">
        <v>9730</v>
      </c>
      <c r="K750" t="s">
        <v>74</v>
      </c>
      <c r="L750" t="s">
        <v>74</v>
      </c>
      <c r="M750" t="s">
        <v>78</v>
      </c>
      <c r="N750" t="s">
        <v>79</v>
      </c>
      <c r="O750" t="s">
        <v>74</v>
      </c>
      <c r="P750" t="s">
        <v>74</v>
      </c>
      <c r="Q750" t="s">
        <v>74</v>
      </c>
      <c r="R750" t="s">
        <v>74</v>
      </c>
      <c r="S750" t="s">
        <v>74</v>
      </c>
      <c r="T750" t="s">
        <v>14149</v>
      </c>
      <c r="U750" t="s">
        <v>5313</v>
      </c>
      <c r="V750" t="s">
        <v>14150</v>
      </c>
      <c r="W750" t="s">
        <v>14151</v>
      </c>
      <c r="X750" t="s">
        <v>14152</v>
      </c>
      <c r="Y750" t="s">
        <v>14153</v>
      </c>
      <c r="Z750" t="s">
        <v>74</v>
      </c>
      <c r="AA750" t="s">
        <v>74</v>
      </c>
      <c r="AB750" t="s">
        <v>14154</v>
      </c>
      <c r="AC750" t="s">
        <v>14155</v>
      </c>
      <c r="AD750" t="s">
        <v>14156</v>
      </c>
      <c r="AE750" t="s">
        <v>14157</v>
      </c>
      <c r="AF750" t="s">
        <v>74</v>
      </c>
      <c r="AG750">
        <v>13</v>
      </c>
      <c r="AH750">
        <v>1</v>
      </c>
      <c r="AI750">
        <v>2</v>
      </c>
      <c r="AJ750">
        <v>0</v>
      </c>
      <c r="AK750">
        <v>15</v>
      </c>
      <c r="AL750" t="s">
        <v>4304</v>
      </c>
      <c r="AM750" t="s">
        <v>4305</v>
      </c>
      <c r="AN750" t="s">
        <v>9739</v>
      </c>
      <c r="AO750" t="s">
        <v>9740</v>
      </c>
      <c r="AP750" t="s">
        <v>9741</v>
      </c>
      <c r="AQ750" t="s">
        <v>74</v>
      </c>
      <c r="AR750" t="s">
        <v>9742</v>
      </c>
      <c r="AS750" t="s">
        <v>9743</v>
      </c>
      <c r="AT750" t="s">
        <v>12991</v>
      </c>
      <c r="AU750">
        <v>2016</v>
      </c>
      <c r="AV750">
        <v>128</v>
      </c>
      <c r="AW750">
        <v>970</v>
      </c>
      <c r="AX750" t="s">
        <v>74</v>
      </c>
      <c r="AY750" t="s">
        <v>74</v>
      </c>
      <c r="AZ750" t="s">
        <v>74</v>
      </c>
      <c r="BA750" t="s">
        <v>74</v>
      </c>
      <c r="BB750" t="s">
        <v>74</v>
      </c>
      <c r="BC750" t="s">
        <v>74</v>
      </c>
      <c r="BD750">
        <v>125004</v>
      </c>
      <c r="BE750" t="s">
        <v>14158</v>
      </c>
      <c r="BF750" t="str">
        <f>HYPERLINK("http://dx.doi.org/10.1088/1538-3873/128/970/125004","http://dx.doi.org/10.1088/1538-3873/128/970/125004")</f>
        <v>http://dx.doi.org/10.1088/1538-3873/128/970/125004</v>
      </c>
      <c r="BG750" t="s">
        <v>74</v>
      </c>
      <c r="BH750" t="s">
        <v>74</v>
      </c>
      <c r="BI750">
        <v>16</v>
      </c>
      <c r="BJ750" t="s">
        <v>2635</v>
      </c>
      <c r="BK750" t="s">
        <v>101</v>
      </c>
      <c r="BL750" t="s">
        <v>2635</v>
      </c>
      <c r="BM750" t="s">
        <v>14159</v>
      </c>
      <c r="BN750" t="s">
        <v>74</v>
      </c>
      <c r="BO750" t="s">
        <v>672</v>
      </c>
      <c r="BP750" t="s">
        <v>74</v>
      </c>
      <c r="BQ750" t="s">
        <v>74</v>
      </c>
      <c r="BR750" t="s">
        <v>105</v>
      </c>
      <c r="BS750" t="s">
        <v>14160</v>
      </c>
      <c r="BT750" t="str">
        <f>HYPERLINK("https%3A%2F%2Fwww.webofscience.com%2Fwos%2Fwoscc%2Ffull-record%2FWOS:000390336400016","View Full Record in Web of Science")</f>
        <v>View Full Record in Web of Science</v>
      </c>
    </row>
    <row r="751" spans="1:72" x14ac:dyDescent="0.15">
      <c r="A751" t="s">
        <v>72</v>
      </c>
      <c r="B751" t="s">
        <v>14161</v>
      </c>
      <c r="C751" t="s">
        <v>74</v>
      </c>
      <c r="D751" t="s">
        <v>74</v>
      </c>
      <c r="E751" t="s">
        <v>74</v>
      </c>
      <c r="F751" t="s">
        <v>14162</v>
      </c>
      <c r="G751" t="s">
        <v>74</v>
      </c>
      <c r="H751" t="s">
        <v>74</v>
      </c>
      <c r="I751" t="s">
        <v>14163</v>
      </c>
      <c r="J751" t="s">
        <v>2118</v>
      </c>
      <c r="K751" t="s">
        <v>74</v>
      </c>
      <c r="L751" t="s">
        <v>74</v>
      </c>
      <c r="M751" t="s">
        <v>78</v>
      </c>
      <c r="N751" t="s">
        <v>79</v>
      </c>
      <c r="O751" t="s">
        <v>74</v>
      </c>
      <c r="P751" t="s">
        <v>74</v>
      </c>
      <c r="Q751" t="s">
        <v>74</v>
      </c>
      <c r="R751" t="s">
        <v>74</v>
      </c>
      <c r="S751" t="s">
        <v>74</v>
      </c>
      <c r="T751" t="s">
        <v>14164</v>
      </c>
      <c r="U751" t="s">
        <v>14165</v>
      </c>
      <c r="V751" t="s">
        <v>14166</v>
      </c>
      <c r="W751" t="s">
        <v>14167</v>
      </c>
      <c r="X751" t="s">
        <v>14168</v>
      </c>
      <c r="Y751" t="s">
        <v>14169</v>
      </c>
      <c r="Z751" t="s">
        <v>14170</v>
      </c>
      <c r="AA751" t="s">
        <v>14171</v>
      </c>
      <c r="AB751" t="s">
        <v>14172</v>
      </c>
      <c r="AC751" t="s">
        <v>14173</v>
      </c>
      <c r="AD751" t="s">
        <v>14174</v>
      </c>
      <c r="AE751" t="s">
        <v>14175</v>
      </c>
      <c r="AF751" t="s">
        <v>74</v>
      </c>
      <c r="AG751">
        <v>73</v>
      </c>
      <c r="AH751">
        <v>54</v>
      </c>
      <c r="AI751">
        <v>56</v>
      </c>
      <c r="AJ751">
        <v>0</v>
      </c>
      <c r="AK751">
        <v>32</v>
      </c>
      <c r="AL751" t="s">
        <v>211</v>
      </c>
      <c r="AM751" t="s">
        <v>187</v>
      </c>
      <c r="AN751" t="s">
        <v>933</v>
      </c>
      <c r="AO751" t="s">
        <v>2132</v>
      </c>
      <c r="AP751" t="s">
        <v>2133</v>
      </c>
      <c r="AQ751" t="s">
        <v>74</v>
      </c>
      <c r="AR751" t="s">
        <v>2134</v>
      </c>
      <c r="AS751" t="s">
        <v>2135</v>
      </c>
      <c r="AT751" t="s">
        <v>12991</v>
      </c>
      <c r="AU751">
        <v>2016</v>
      </c>
      <c r="AV751">
        <v>47</v>
      </c>
      <c r="AW751">
        <v>12</v>
      </c>
      <c r="AX751" t="s">
        <v>74</v>
      </c>
      <c r="AY751" t="s">
        <v>74</v>
      </c>
      <c r="AZ751" t="s">
        <v>74</v>
      </c>
      <c r="BA751" t="s">
        <v>74</v>
      </c>
      <c r="BB751">
        <v>4051</v>
      </c>
      <c r="BC751">
        <v>4066</v>
      </c>
      <c r="BD751" t="s">
        <v>74</v>
      </c>
      <c r="BE751" t="s">
        <v>14176</v>
      </c>
      <c r="BF751" t="str">
        <f>HYPERLINK("http://dx.doi.org/10.1007/s00382-016-3068-9","http://dx.doi.org/10.1007/s00382-016-3068-9")</f>
        <v>http://dx.doi.org/10.1007/s00382-016-3068-9</v>
      </c>
      <c r="BG751" t="s">
        <v>74</v>
      </c>
      <c r="BH751" t="s">
        <v>74</v>
      </c>
      <c r="BI751">
        <v>16</v>
      </c>
      <c r="BJ751" t="s">
        <v>747</v>
      </c>
      <c r="BK751" t="s">
        <v>101</v>
      </c>
      <c r="BL751" t="s">
        <v>747</v>
      </c>
      <c r="BM751" t="s">
        <v>14177</v>
      </c>
      <c r="BN751" t="s">
        <v>74</v>
      </c>
      <c r="BO751" t="s">
        <v>74</v>
      </c>
      <c r="BP751" t="s">
        <v>74</v>
      </c>
      <c r="BQ751" t="s">
        <v>74</v>
      </c>
      <c r="BR751" t="s">
        <v>105</v>
      </c>
      <c r="BS751" t="s">
        <v>14178</v>
      </c>
      <c r="BT751" t="str">
        <f>HYPERLINK("https%3A%2F%2Fwww.webofscience.com%2Fwos%2Fwoscc%2Ffull-record%2FWOS:000389605700025","View Full Record in Web of Science")</f>
        <v>View Full Record in Web of Science</v>
      </c>
    </row>
    <row r="752" spans="1:72" x14ac:dyDescent="0.15">
      <c r="A752" t="s">
        <v>72</v>
      </c>
      <c r="B752" t="s">
        <v>14179</v>
      </c>
      <c r="C752" t="s">
        <v>74</v>
      </c>
      <c r="D752" t="s">
        <v>74</v>
      </c>
      <c r="E752" t="s">
        <v>74</v>
      </c>
      <c r="F752" t="s">
        <v>14180</v>
      </c>
      <c r="G752" t="s">
        <v>74</v>
      </c>
      <c r="H752" t="s">
        <v>74</v>
      </c>
      <c r="I752" t="s">
        <v>14181</v>
      </c>
      <c r="J752" t="s">
        <v>11136</v>
      </c>
      <c r="K752" t="s">
        <v>74</v>
      </c>
      <c r="L752" t="s">
        <v>74</v>
      </c>
      <c r="M752" t="s">
        <v>78</v>
      </c>
      <c r="N752" t="s">
        <v>79</v>
      </c>
      <c r="O752" t="s">
        <v>74</v>
      </c>
      <c r="P752" t="s">
        <v>74</v>
      </c>
      <c r="Q752" t="s">
        <v>74</v>
      </c>
      <c r="R752" t="s">
        <v>74</v>
      </c>
      <c r="S752" t="s">
        <v>74</v>
      </c>
      <c r="T752" t="s">
        <v>14182</v>
      </c>
      <c r="U752" t="s">
        <v>14183</v>
      </c>
      <c r="V752" t="s">
        <v>14184</v>
      </c>
      <c r="W752" t="s">
        <v>14185</v>
      </c>
      <c r="X752" t="s">
        <v>14186</v>
      </c>
      <c r="Y752" t="s">
        <v>14187</v>
      </c>
      <c r="Z752" t="s">
        <v>14188</v>
      </c>
      <c r="AA752" t="s">
        <v>74</v>
      </c>
      <c r="AB752" t="s">
        <v>74</v>
      </c>
      <c r="AC752" t="s">
        <v>14189</v>
      </c>
      <c r="AD752" t="s">
        <v>14190</v>
      </c>
      <c r="AE752" t="s">
        <v>14191</v>
      </c>
      <c r="AF752" t="s">
        <v>74</v>
      </c>
      <c r="AG752">
        <v>55</v>
      </c>
      <c r="AH752">
        <v>15</v>
      </c>
      <c r="AI752">
        <v>17</v>
      </c>
      <c r="AJ752">
        <v>0</v>
      </c>
      <c r="AK752">
        <v>32</v>
      </c>
      <c r="AL752" t="s">
        <v>2377</v>
      </c>
      <c r="AM752" t="s">
        <v>2378</v>
      </c>
      <c r="AN752" t="s">
        <v>2379</v>
      </c>
      <c r="AO752" t="s">
        <v>11146</v>
      </c>
      <c r="AP752" t="s">
        <v>11147</v>
      </c>
      <c r="AQ752" t="s">
        <v>74</v>
      </c>
      <c r="AR752" t="s">
        <v>11148</v>
      </c>
      <c r="AS752" t="s">
        <v>11149</v>
      </c>
      <c r="AT752" t="s">
        <v>12991</v>
      </c>
      <c r="AU752">
        <v>2016</v>
      </c>
      <c r="AV752">
        <v>36</v>
      </c>
      <c r="AW752">
        <v>15</v>
      </c>
      <c r="AX752" t="s">
        <v>74</v>
      </c>
      <c r="AY752" t="s">
        <v>74</v>
      </c>
      <c r="AZ752" t="s">
        <v>74</v>
      </c>
      <c r="BA752" t="s">
        <v>74</v>
      </c>
      <c r="BB752">
        <v>4778</v>
      </c>
      <c r="BC752">
        <v>4789</v>
      </c>
      <c r="BD752" t="s">
        <v>74</v>
      </c>
      <c r="BE752" t="s">
        <v>14192</v>
      </c>
      <c r="BF752" t="str">
        <f>HYPERLINK("http://dx.doi.org/10.1002/joc.4668","http://dx.doi.org/10.1002/joc.4668")</f>
        <v>http://dx.doi.org/10.1002/joc.4668</v>
      </c>
      <c r="BG752" t="s">
        <v>74</v>
      </c>
      <c r="BH752" t="s">
        <v>74</v>
      </c>
      <c r="BI752">
        <v>12</v>
      </c>
      <c r="BJ752" t="s">
        <v>747</v>
      </c>
      <c r="BK752" t="s">
        <v>101</v>
      </c>
      <c r="BL752" t="s">
        <v>747</v>
      </c>
      <c r="BM752" t="s">
        <v>14193</v>
      </c>
      <c r="BN752" t="s">
        <v>74</v>
      </c>
      <c r="BO752" t="s">
        <v>74</v>
      </c>
      <c r="BP752" t="s">
        <v>74</v>
      </c>
      <c r="BQ752" t="s">
        <v>74</v>
      </c>
      <c r="BR752" t="s">
        <v>105</v>
      </c>
      <c r="BS752" t="s">
        <v>14194</v>
      </c>
      <c r="BT752" t="str">
        <f>HYPERLINK("https%3A%2F%2Fwww.webofscience.com%2Fwos%2Fwoscc%2Ffull-record%2FWOS:000389310400009","View Full Record in Web of Science")</f>
        <v>View Full Record in Web of Science</v>
      </c>
    </row>
    <row r="753" spans="1:72" x14ac:dyDescent="0.15">
      <c r="A753" t="s">
        <v>72</v>
      </c>
      <c r="B753" t="s">
        <v>14195</v>
      </c>
      <c r="C753" t="s">
        <v>74</v>
      </c>
      <c r="D753" t="s">
        <v>74</v>
      </c>
      <c r="E753" t="s">
        <v>74</v>
      </c>
      <c r="F753" t="s">
        <v>14196</v>
      </c>
      <c r="G753" t="s">
        <v>74</v>
      </c>
      <c r="H753" t="s">
        <v>74</v>
      </c>
      <c r="I753" t="s">
        <v>14197</v>
      </c>
      <c r="J753" t="s">
        <v>11136</v>
      </c>
      <c r="K753" t="s">
        <v>74</v>
      </c>
      <c r="L753" t="s">
        <v>74</v>
      </c>
      <c r="M753" t="s">
        <v>78</v>
      </c>
      <c r="N753" t="s">
        <v>79</v>
      </c>
      <c r="O753" t="s">
        <v>74</v>
      </c>
      <c r="P753" t="s">
        <v>74</v>
      </c>
      <c r="Q753" t="s">
        <v>74</v>
      </c>
      <c r="R753" t="s">
        <v>74</v>
      </c>
      <c r="S753" t="s">
        <v>74</v>
      </c>
      <c r="T753" t="s">
        <v>14198</v>
      </c>
      <c r="U753" t="s">
        <v>14199</v>
      </c>
      <c r="V753" t="s">
        <v>14200</v>
      </c>
      <c r="W753" t="s">
        <v>14201</v>
      </c>
      <c r="X753" t="s">
        <v>14202</v>
      </c>
      <c r="Y753" t="s">
        <v>14203</v>
      </c>
      <c r="Z753" t="s">
        <v>14204</v>
      </c>
      <c r="AA753" t="s">
        <v>14205</v>
      </c>
      <c r="AB753" t="s">
        <v>14206</v>
      </c>
      <c r="AC753" t="s">
        <v>14207</v>
      </c>
      <c r="AD753" t="s">
        <v>14208</v>
      </c>
      <c r="AE753" t="s">
        <v>14209</v>
      </c>
      <c r="AF753" t="s">
        <v>74</v>
      </c>
      <c r="AG753">
        <v>43</v>
      </c>
      <c r="AH753">
        <v>13</v>
      </c>
      <c r="AI753">
        <v>15</v>
      </c>
      <c r="AJ753">
        <v>0</v>
      </c>
      <c r="AK753">
        <v>17</v>
      </c>
      <c r="AL753" t="s">
        <v>8845</v>
      </c>
      <c r="AM753" t="s">
        <v>2378</v>
      </c>
      <c r="AN753" t="s">
        <v>2379</v>
      </c>
      <c r="AO753" t="s">
        <v>11146</v>
      </c>
      <c r="AP753" t="s">
        <v>11147</v>
      </c>
      <c r="AQ753" t="s">
        <v>74</v>
      </c>
      <c r="AR753" t="s">
        <v>11148</v>
      </c>
      <c r="AS753" t="s">
        <v>11149</v>
      </c>
      <c r="AT753" t="s">
        <v>12991</v>
      </c>
      <c r="AU753">
        <v>2016</v>
      </c>
      <c r="AV753">
        <v>36</v>
      </c>
      <c r="AW753">
        <v>15</v>
      </c>
      <c r="AX753" t="s">
        <v>74</v>
      </c>
      <c r="AY753" t="s">
        <v>74</v>
      </c>
      <c r="AZ753" t="s">
        <v>74</v>
      </c>
      <c r="BA753" t="s">
        <v>74</v>
      </c>
      <c r="BB753">
        <v>4929</v>
      </c>
      <c r="BC753">
        <v>4941</v>
      </c>
      <c r="BD753" t="s">
        <v>74</v>
      </c>
      <c r="BE753" t="s">
        <v>14210</v>
      </c>
      <c r="BF753" t="str">
        <f>HYPERLINK("http://dx.doi.org/10.1002/joc.4681","http://dx.doi.org/10.1002/joc.4681")</f>
        <v>http://dx.doi.org/10.1002/joc.4681</v>
      </c>
      <c r="BG753" t="s">
        <v>74</v>
      </c>
      <c r="BH753" t="s">
        <v>74</v>
      </c>
      <c r="BI753">
        <v>13</v>
      </c>
      <c r="BJ753" t="s">
        <v>747</v>
      </c>
      <c r="BK753" t="s">
        <v>101</v>
      </c>
      <c r="BL753" t="s">
        <v>747</v>
      </c>
      <c r="BM753" t="s">
        <v>14193</v>
      </c>
      <c r="BN753">
        <v>28008213</v>
      </c>
      <c r="BO753" t="s">
        <v>2028</v>
      </c>
      <c r="BP753" t="s">
        <v>74</v>
      </c>
      <c r="BQ753" t="s">
        <v>74</v>
      </c>
      <c r="BR753" t="s">
        <v>105</v>
      </c>
      <c r="BS753" t="s">
        <v>14211</v>
      </c>
      <c r="BT753" t="str">
        <f>HYPERLINK("https%3A%2F%2Fwww.webofscience.com%2Fwos%2Fwoscc%2Ffull-record%2FWOS:000389310400020","View Full Record in Web of Science")</f>
        <v>View Full Record in Web of Science</v>
      </c>
    </row>
    <row r="754" spans="1:72" x14ac:dyDescent="0.15">
      <c r="A754" t="s">
        <v>72</v>
      </c>
      <c r="B754" t="s">
        <v>14212</v>
      </c>
      <c r="C754" t="s">
        <v>74</v>
      </c>
      <c r="D754" t="s">
        <v>74</v>
      </c>
      <c r="E754" t="s">
        <v>74</v>
      </c>
      <c r="F754" t="s">
        <v>14213</v>
      </c>
      <c r="G754" t="s">
        <v>74</v>
      </c>
      <c r="H754" t="s">
        <v>74</v>
      </c>
      <c r="I754" t="s">
        <v>14214</v>
      </c>
      <c r="J754" t="s">
        <v>14215</v>
      </c>
      <c r="K754" t="s">
        <v>74</v>
      </c>
      <c r="L754" t="s">
        <v>74</v>
      </c>
      <c r="M754" t="s">
        <v>78</v>
      </c>
      <c r="N754" t="s">
        <v>79</v>
      </c>
      <c r="O754" t="s">
        <v>74</v>
      </c>
      <c r="P754" t="s">
        <v>74</v>
      </c>
      <c r="Q754" t="s">
        <v>74</v>
      </c>
      <c r="R754" t="s">
        <v>74</v>
      </c>
      <c r="S754" t="s">
        <v>74</v>
      </c>
      <c r="T754" t="s">
        <v>14216</v>
      </c>
      <c r="U754" t="s">
        <v>14217</v>
      </c>
      <c r="V754" t="s">
        <v>14218</v>
      </c>
      <c r="W754" t="s">
        <v>14219</v>
      </c>
      <c r="X754" t="s">
        <v>14220</v>
      </c>
      <c r="Y754" t="s">
        <v>14221</v>
      </c>
      <c r="Z754" t="s">
        <v>14222</v>
      </c>
      <c r="AA754" t="s">
        <v>14223</v>
      </c>
      <c r="AB754" t="s">
        <v>14224</v>
      </c>
      <c r="AC754" t="s">
        <v>14225</v>
      </c>
      <c r="AD754" t="s">
        <v>14226</v>
      </c>
      <c r="AE754" t="s">
        <v>14227</v>
      </c>
      <c r="AF754" t="s">
        <v>74</v>
      </c>
      <c r="AG754">
        <v>29</v>
      </c>
      <c r="AH754">
        <v>27</v>
      </c>
      <c r="AI754">
        <v>29</v>
      </c>
      <c r="AJ754">
        <v>2</v>
      </c>
      <c r="AK754">
        <v>31</v>
      </c>
      <c r="AL754" t="s">
        <v>2377</v>
      </c>
      <c r="AM754" t="s">
        <v>2378</v>
      </c>
      <c r="AN754" t="s">
        <v>2379</v>
      </c>
      <c r="AO754" t="s">
        <v>14228</v>
      </c>
      <c r="AP754" t="s">
        <v>14229</v>
      </c>
      <c r="AQ754" t="s">
        <v>74</v>
      </c>
      <c r="AR754" t="s">
        <v>14230</v>
      </c>
      <c r="AS754" t="s">
        <v>14231</v>
      </c>
      <c r="AT754" t="s">
        <v>12991</v>
      </c>
      <c r="AU754">
        <v>2016</v>
      </c>
      <c r="AV754">
        <v>56</v>
      </c>
      <c r="AW754">
        <v>12</v>
      </c>
      <c r="AX754" t="s">
        <v>74</v>
      </c>
      <c r="AY754" t="s">
        <v>74</v>
      </c>
      <c r="AZ754" t="s">
        <v>74</v>
      </c>
      <c r="BA754" t="s">
        <v>74</v>
      </c>
      <c r="BB754">
        <v>1360</v>
      </c>
      <c r="BC754">
        <v>1368</v>
      </c>
      <c r="BD754" t="s">
        <v>74</v>
      </c>
      <c r="BE754" t="s">
        <v>14232</v>
      </c>
      <c r="BF754" t="str">
        <f>HYPERLINK("http://dx.doi.org/10.1002/jobm.201600099","http://dx.doi.org/10.1002/jobm.201600099")</f>
        <v>http://dx.doi.org/10.1002/jobm.201600099</v>
      </c>
      <c r="BG754" t="s">
        <v>74</v>
      </c>
      <c r="BH754" t="s">
        <v>74</v>
      </c>
      <c r="BI754">
        <v>9</v>
      </c>
      <c r="BJ754" t="s">
        <v>2026</v>
      </c>
      <c r="BK754" t="s">
        <v>101</v>
      </c>
      <c r="BL754" t="s">
        <v>2026</v>
      </c>
      <c r="BM754" t="s">
        <v>14233</v>
      </c>
      <c r="BN754">
        <v>27283113</v>
      </c>
      <c r="BO754" t="s">
        <v>74</v>
      </c>
      <c r="BP754" t="s">
        <v>74</v>
      </c>
      <c r="BQ754" t="s">
        <v>74</v>
      </c>
      <c r="BR754" t="s">
        <v>105</v>
      </c>
      <c r="BS754" t="s">
        <v>14234</v>
      </c>
      <c r="BT754" t="str">
        <f>HYPERLINK("https%3A%2F%2Fwww.webofscience.com%2Fwos%2Fwoscc%2Ffull-record%2FWOS:000389309000006","View Full Record in Web of Science")</f>
        <v>View Full Record in Web of Science</v>
      </c>
    </row>
    <row r="755" spans="1:72" x14ac:dyDescent="0.15">
      <c r="A755" t="s">
        <v>72</v>
      </c>
      <c r="B755" t="s">
        <v>14235</v>
      </c>
      <c r="C755" t="s">
        <v>74</v>
      </c>
      <c r="D755" t="s">
        <v>74</v>
      </c>
      <c r="E755" t="s">
        <v>74</v>
      </c>
      <c r="F755" t="s">
        <v>14236</v>
      </c>
      <c r="G755" t="s">
        <v>74</v>
      </c>
      <c r="H755" t="s">
        <v>74</v>
      </c>
      <c r="I755" t="s">
        <v>14237</v>
      </c>
      <c r="J755" t="s">
        <v>14238</v>
      </c>
      <c r="K755" t="s">
        <v>74</v>
      </c>
      <c r="L755" t="s">
        <v>74</v>
      </c>
      <c r="M755" t="s">
        <v>78</v>
      </c>
      <c r="N755" t="s">
        <v>79</v>
      </c>
      <c r="O755" t="s">
        <v>74</v>
      </c>
      <c r="P755" t="s">
        <v>74</v>
      </c>
      <c r="Q755" t="s">
        <v>74</v>
      </c>
      <c r="R755" t="s">
        <v>74</v>
      </c>
      <c r="S755" t="s">
        <v>74</v>
      </c>
      <c r="T755" t="s">
        <v>14239</v>
      </c>
      <c r="U755" t="s">
        <v>14240</v>
      </c>
      <c r="V755" t="s">
        <v>14241</v>
      </c>
      <c r="W755" t="s">
        <v>14242</v>
      </c>
      <c r="X755" t="s">
        <v>12664</v>
      </c>
      <c r="Y755" t="s">
        <v>14243</v>
      </c>
      <c r="Z755" t="s">
        <v>14244</v>
      </c>
      <c r="AA755" t="s">
        <v>74</v>
      </c>
      <c r="AB755" t="s">
        <v>74</v>
      </c>
      <c r="AC755" t="s">
        <v>14245</v>
      </c>
      <c r="AD755" t="s">
        <v>14246</v>
      </c>
      <c r="AE755" t="s">
        <v>14247</v>
      </c>
      <c r="AF755" t="s">
        <v>74</v>
      </c>
      <c r="AG755">
        <v>39</v>
      </c>
      <c r="AH755">
        <v>9</v>
      </c>
      <c r="AI755">
        <v>10</v>
      </c>
      <c r="AJ755">
        <v>1</v>
      </c>
      <c r="AK755">
        <v>13</v>
      </c>
      <c r="AL755" t="s">
        <v>8845</v>
      </c>
      <c r="AM755" t="s">
        <v>2378</v>
      </c>
      <c r="AN755" t="s">
        <v>2379</v>
      </c>
      <c r="AO755" t="s">
        <v>14248</v>
      </c>
      <c r="AP755" t="s">
        <v>14249</v>
      </c>
      <c r="AQ755" t="s">
        <v>74</v>
      </c>
      <c r="AR755" t="s">
        <v>14250</v>
      </c>
      <c r="AS755" t="s">
        <v>14251</v>
      </c>
      <c r="AT755" t="s">
        <v>12991</v>
      </c>
      <c r="AU755">
        <v>2016</v>
      </c>
      <c r="AV755">
        <v>30</v>
      </c>
      <c r="AW755">
        <v>12</v>
      </c>
      <c r="AX755" t="s">
        <v>74</v>
      </c>
      <c r="AY755" t="s">
        <v>74</v>
      </c>
      <c r="AZ755" t="s">
        <v>74</v>
      </c>
      <c r="BA755" t="s">
        <v>74</v>
      </c>
      <c r="BB755">
        <v>1978</v>
      </c>
      <c r="BC755">
        <v>1987</v>
      </c>
      <c r="BD755" t="s">
        <v>74</v>
      </c>
      <c r="BE755" t="s">
        <v>14252</v>
      </c>
      <c r="BF755" t="str">
        <f>HYPERLINK("http://dx.doi.org/10.1002/ptr.5703","http://dx.doi.org/10.1002/ptr.5703")</f>
        <v>http://dx.doi.org/10.1002/ptr.5703</v>
      </c>
      <c r="BG755" t="s">
        <v>74</v>
      </c>
      <c r="BH755" t="s">
        <v>74</v>
      </c>
      <c r="BI755">
        <v>10</v>
      </c>
      <c r="BJ755" t="s">
        <v>13441</v>
      </c>
      <c r="BK755" t="s">
        <v>101</v>
      </c>
      <c r="BL755" t="s">
        <v>6485</v>
      </c>
      <c r="BM755" t="s">
        <v>14253</v>
      </c>
      <c r="BN755">
        <v>27558640</v>
      </c>
      <c r="BO755" t="s">
        <v>74</v>
      </c>
      <c r="BP755" t="s">
        <v>74</v>
      </c>
      <c r="BQ755" t="s">
        <v>74</v>
      </c>
      <c r="BR755" t="s">
        <v>105</v>
      </c>
      <c r="BS755" t="s">
        <v>14254</v>
      </c>
      <c r="BT755" t="str">
        <f>HYPERLINK("https%3A%2F%2Fwww.webofscience.com%2Fwos%2Fwoscc%2Ffull-record%2FWOS:000389204700008","View Full Record in Web of Science")</f>
        <v>View Full Record in Web of Science</v>
      </c>
    </row>
    <row r="756" spans="1:72" x14ac:dyDescent="0.15">
      <c r="A756" t="s">
        <v>72</v>
      </c>
      <c r="B756" t="s">
        <v>14255</v>
      </c>
      <c r="C756" t="s">
        <v>74</v>
      </c>
      <c r="D756" t="s">
        <v>74</v>
      </c>
      <c r="E756" t="s">
        <v>74</v>
      </c>
      <c r="F756" t="s">
        <v>14256</v>
      </c>
      <c r="G756" t="s">
        <v>74</v>
      </c>
      <c r="H756" t="s">
        <v>74</v>
      </c>
      <c r="I756" t="s">
        <v>14257</v>
      </c>
      <c r="J756" t="s">
        <v>14258</v>
      </c>
      <c r="K756" t="s">
        <v>74</v>
      </c>
      <c r="L756" t="s">
        <v>74</v>
      </c>
      <c r="M756" t="s">
        <v>78</v>
      </c>
      <c r="N756" t="s">
        <v>79</v>
      </c>
      <c r="O756" t="s">
        <v>74</v>
      </c>
      <c r="P756" t="s">
        <v>74</v>
      </c>
      <c r="Q756" t="s">
        <v>74</v>
      </c>
      <c r="R756" t="s">
        <v>74</v>
      </c>
      <c r="S756" t="s">
        <v>74</v>
      </c>
      <c r="T756" t="s">
        <v>14259</v>
      </c>
      <c r="U756" t="s">
        <v>14260</v>
      </c>
      <c r="V756" t="s">
        <v>14261</v>
      </c>
      <c r="W756" t="s">
        <v>14262</v>
      </c>
      <c r="X756" t="s">
        <v>14263</v>
      </c>
      <c r="Y756" t="s">
        <v>14264</v>
      </c>
      <c r="Z756" t="s">
        <v>14265</v>
      </c>
      <c r="AA756" t="s">
        <v>14266</v>
      </c>
      <c r="AB756" t="s">
        <v>14267</v>
      </c>
      <c r="AC756" t="s">
        <v>14268</v>
      </c>
      <c r="AD756" t="s">
        <v>14269</v>
      </c>
      <c r="AE756" t="s">
        <v>14270</v>
      </c>
      <c r="AF756" t="s">
        <v>74</v>
      </c>
      <c r="AG756">
        <v>94</v>
      </c>
      <c r="AH756">
        <v>20</v>
      </c>
      <c r="AI756">
        <v>20</v>
      </c>
      <c r="AJ756">
        <v>0</v>
      </c>
      <c r="AK756">
        <v>16</v>
      </c>
      <c r="AL756" t="s">
        <v>9170</v>
      </c>
      <c r="AM756" t="s">
        <v>93</v>
      </c>
      <c r="AN756" t="s">
        <v>9171</v>
      </c>
      <c r="AO756" t="s">
        <v>14271</v>
      </c>
      <c r="AP756" t="s">
        <v>14272</v>
      </c>
      <c r="AQ756" t="s">
        <v>74</v>
      </c>
      <c r="AR756" t="s">
        <v>14273</v>
      </c>
      <c r="AS756" t="s">
        <v>14274</v>
      </c>
      <c r="AT756" t="s">
        <v>12991</v>
      </c>
      <c r="AU756">
        <v>2016</v>
      </c>
      <c r="AV756">
        <v>40</v>
      </c>
      <c r="AW756">
        <v>6</v>
      </c>
      <c r="AX756" t="s">
        <v>74</v>
      </c>
      <c r="AY756" t="s">
        <v>74</v>
      </c>
      <c r="AZ756" t="s">
        <v>74</v>
      </c>
      <c r="BA756" t="s">
        <v>74</v>
      </c>
      <c r="BB756">
        <v>835</v>
      </c>
      <c r="BC756">
        <v>855</v>
      </c>
      <c r="BD756" t="s">
        <v>74</v>
      </c>
      <c r="BE756" t="s">
        <v>14275</v>
      </c>
      <c r="BF756" t="str">
        <f>HYPERLINK("http://dx.doi.org/10.1177/0309133316678148","http://dx.doi.org/10.1177/0309133316678148")</f>
        <v>http://dx.doi.org/10.1177/0309133316678148</v>
      </c>
      <c r="BG756" t="s">
        <v>74</v>
      </c>
      <c r="BH756" t="s">
        <v>74</v>
      </c>
      <c r="BI756">
        <v>21</v>
      </c>
      <c r="BJ756" t="s">
        <v>615</v>
      </c>
      <c r="BK756" t="s">
        <v>101</v>
      </c>
      <c r="BL756" t="s">
        <v>616</v>
      </c>
      <c r="BM756" t="s">
        <v>14276</v>
      </c>
      <c r="BN756" t="s">
        <v>74</v>
      </c>
      <c r="BO756" t="s">
        <v>74</v>
      </c>
      <c r="BP756" t="s">
        <v>74</v>
      </c>
      <c r="BQ756" t="s">
        <v>74</v>
      </c>
      <c r="BR756" t="s">
        <v>105</v>
      </c>
      <c r="BS756" t="s">
        <v>14277</v>
      </c>
      <c r="BT756" t="str">
        <f>HYPERLINK("https%3A%2F%2Fwww.webofscience.com%2Fwos%2Fwoscc%2Ffull-record%2FWOS:000389626900005","View Full Record in Web of Science")</f>
        <v>View Full Record in Web of Science</v>
      </c>
    </row>
    <row r="757" spans="1:72" x14ac:dyDescent="0.15">
      <c r="A757" t="s">
        <v>72</v>
      </c>
      <c r="B757" t="s">
        <v>14278</v>
      </c>
      <c r="C757" t="s">
        <v>74</v>
      </c>
      <c r="D757" t="s">
        <v>74</v>
      </c>
      <c r="E757" t="s">
        <v>74</v>
      </c>
      <c r="F757" t="s">
        <v>14279</v>
      </c>
      <c r="G757" t="s">
        <v>74</v>
      </c>
      <c r="H757" t="s">
        <v>74</v>
      </c>
      <c r="I757" t="s">
        <v>14280</v>
      </c>
      <c r="J757" t="s">
        <v>14281</v>
      </c>
      <c r="K757" t="s">
        <v>74</v>
      </c>
      <c r="L757" t="s">
        <v>74</v>
      </c>
      <c r="M757" t="s">
        <v>78</v>
      </c>
      <c r="N757" t="s">
        <v>79</v>
      </c>
      <c r="O757" t="s">
        <v>74</v>
      </c>
      <c r="P757" t="s">
        <v>74</v>
      </c>
      <c r="Q757" t="s">
        <v>74</v>
      </c>
      <c r="R757" t="s">
        <v>74</v>
      </c>
      <c r="S757" t="s">
        <v>74</v>
      </c>
      <c r="T757" t="s">
        <v>14282</v>
      </c>
      <c r="U757" t="s">
        <v>14283</v>
      </c>
      <c r="V757" t="s">
        <v>14284</v>
      </c>
      <c r="W757" t="s">
        <v>14285</v>
      </c>
      <c r="X757" t="s">
        <v>14286</v>
      </c>
      <c r="Y757" t="s">
        <v>14287</v>
      </c>
      <c r="Z757" t="s">
        <v>14288</v>
      </c>
      <c r="AA757" t="s">
        <v>74</v>
      </c>
      <c r="AB757" t="s">
        <v>74</v>
      </c>
      <c r="AC757" t="s">
        <v>14289</v>
      </c>
      <c r="AD757" t="s">
        <v>14290</v>
      </c>
      <c r="AE757" t="s">
        <v>14291</v>
      </c>
      <c r="AF757" t="s">
        <v>74</v>
      </c>
      <c r="AG757">
        <v>55</v>
      </c>
      <c r="AH757">
        <v>15</v>
      </c>
      <c r="AI757">
        <v>20</v>
      </c>
      <c r="AJ757">
        <v>1</v>
      </c>
      <c r="AK757">
        <v>23</v>
      </c>
      <c r="AL757" t="s">
        <v>8606</v>
      </c>
      <c r="AM757" t="s">
        <v>187</v>
      </c>
      <c r="AN757" t="s">
        <v>8607</v>
      </c>
      <c r="AO757" t="s">
        <v>14292</v>
      </c>
      <c r="AP757" t="s">
        <v>14293</v>
      </c>
      <c r="AQ757" t="s">
        <v>74</v>
      </c>
      <c r="AR757" t="s">
        <v>14294</v>
      </c>
      <c r="AS757" t="s">
        <v>14295</v>
      </c>
      <c r="AT757" t="s">
        <v>12991</v>
      </c>
      <c r="AU757">
        <v>2016</v>
      </c>
      <c r="AV757">
        <v>27</v>
      </c>
      <c r="AW757">
        <v>4</v>
      </c>
      <c r="AX757" t="s">
        <v>74</v>
      </c>
      <c r="AY757" t="s">
        <v>74</v>
      </c>
      <c r="AZ757" t="s">
        <v>74</v>
      </c>
      <c r="BA757" t="s">
        <v>74</v>
      </c>
      <c r="BB757">
        <v>458</v>
      </c>
      <c r="BC757">
        <v>467</v>
      </c>
      <c r="BD757" t="s">
        <v>74</v>
      </c>
      <c r="BE757" t="s">
        <v>14296</v>
      </c>
      <c r="BF757" t="str">
        <f>HYPERLINK("http://dx.doi.org/10.1016/j.wem.2016.07.004","http://dx.doi.org/10.1016/j.wem.2016.07.004")</f>
        <v>http://dx.doi.org/10.1016/j.wem.2016.07.004</v>
      </c>
      <c r="BG757" t="s">
        <v>74</v>
      </c>
      <c r="BH757" t="s">
        <v>74</v>
      </c>
      <c r="BI757">
        <v>10</v>
      </c>
      <c r="BJ757" t="s">
        <v>14297</v>
      </c>
      <c r="BK757" t="s">
        <v>245</v>
      </c>
      <c r="BL757" t="s">
        <v>14297</v>
      </c>
      <c r="BM757" t="s">
        <v>14298</v>
      </c>
      <c r="BN757">
        <v>27912863</v>
      </c>
      <c r="BO757" t="s">
        <v>672</v>
      </c>
      <c r="BP757" t="s">
        <v>74</v>
      </c>
      <c r="BQ757" t="s">
        <v>74</v>
      </c>
      <c r="BR757" t="s">
        <v>105</v>
      </c>
      <c r="BS757" t="s">
        <v>14299</v>
      </c>
      <c r="BT757" t="str">
        <f>HYPERLINK("https%3A%2F%2Fwww.webofscience.com%2Fwos%2Fwoscc%2Ffull-record%2FWOS:000389736800003","View Full Record in Web of Science")</f>
        <v>View Full Record in Web of Science</v>
      </c>
    </row>
    <row r="758" spans="1:72" x14ac:dyDescent="0.15">
      <c r="A758" t="s">
        <v>72</v>
      </c>
      <c r="B758" t="s">
        <v>14300</v>
      </c>
      <c r="C758" t="s">
        <v>74</v>
      </c>
      <c r="D758" t="s">
        <v>74</v>
      </c>
      <c r="E758" t="s">
        <v>74</v>
      </c>
      <c r="F758" t="s">
        <v>14301</v>
      </c>
      <c r="G758" t="s">
        <v>74</v>
      </c>
      <c r="H758" t="s">
        <v>74</v>
      </c>
      <c r="I758" t="s">
        <v>14302</v>
      </c>
      <c r="J758" t="s">
        <v>14303</v>
      </c>
      <c r="K758" t="s">
        <v>74</v>
      </c>
      <c r="L758" t="s">
        <v>74</v>
      </c>
      <c r="M758" t="s">
        <v>78</v>
      </c>
      <c r="N758" t="s">
        <v>79</v>
      </c>
      <c r="O758" t="s">
        <v>74</v>
      </c>
      <c r="P758" t="s">
        <v>74</v>
      </c>
      <c r="Q758" t="s">
        <v>74</v>
      </c>
      <c r="R758" t="s">
        <v>74</v>
      </c>
      <c r="S758" t="s">
        <v>74</v>
      </c>
      <c r="T758" t="s">
        <v>14304</v>
      </c>
      <c r="U758" t="s">
        <v>14305</v>
      </c>
      <c r="V758" t="s">
        <v>14306</v>
      </c>
      <c r="W758" t="s">
        <v>14307</v>
      </c>
      <c r="X758" t="s">
        <v>14308</v>
      </c>
      <c r="Y758" t="s">
        <v>14309</v>
      </c>
      <c r="Z758" t="s">
        <v>14310</v>
      </c>
      <c r="AA758" t="s">
        <v>14311</v>
      </c>
      <c r="AB758" t="s">
        <v>14312</v>
      </c>
      <c r="AC758" t="s">
        <v>14313</v>
      </c>
      <c r="AD758" t="s">
        <v>14314</v>
      </c>
      <c r="AE758" t="s">
        <v>14315</v>
      </c>
      <c r="AF758" t="s">
        <v>74</v>
      </c>
      <c r="AG758">
        <v>49</v>
      </c>
      <c r="AH758">
        <v>6</v>
      </c>
      <c r="AI758">
        <v>7</v>
      </c>
      <c r="AJ758">
        <v>0</v>
      </c>
      <c r="AK758">
        <v>6</v>
      </c>
      <c r="AL758" t="s">
        <v>4304</v>
      </c>
      <c r="AM758" t="s">
        <v>4305</v>
      </c>
      <c r="AN758" t="s">
        <v>9739</v>
      </c>
      <c r="AO758" t="s">
        <v>14316</v>
      </c>
      <c r="AP758" t="s">
        <v>14317</v>
      </c>
      <c r="AQ758" t="s">
        <v>74</v>
      </c>
      <c r="AR758" t="s">
        <v>14318</v>
      </c>
      <c r="AS758" t="s">
        <v>14319</v>
      </c>
      <c r="AT758" t="s">
        <v>12991</v>
      </c>
      <c r="AU758">
        <v>2016</v>
      </c>
      <c r="AV758">
        <v>152</v>
      </c>
      <c r="AW758">
        <v>6</v>
      </c>
      <c r="AX758" t="s">
        <v>74</v>
      </c>
      <c r="AY758" t="s">
        <v>74</v>
      </c>
      <c r="AZ758" t="s">
        <v>74</v>
      </c>
      <c r="BA758" t="s">
        <v>74</v>
      </c>
      <c r="BB758" t="s">
        <v>74</v>
      </c>
      <c r="BC758" t="s">
        <v>74</v>
      </c>
      <c r="BD758">
        <v>168</v>
      </c>
      <c r="BE758" t="s">
        <v>14320</v>
      </c>
      <c r="BF758" t="str">
        <f>HYPERLINK("http://dx.doi.org/10.3847/0004-6256/152/6/168","http://dx.doi.org/10.3847/0004-6256/152/6/168")</f>
        <v>http://dx.doi.org/10.3847/0004-6256/152/6/168</v>
      </c>
      <c r="BG758" t="s">
        <v>74</v>
      </c>
      <c r="BH758" t="s">
        <v>74</v>
      </c>
      <c r="BI758">
        <v>9</v>
      </c>
      <c r="BJ758" t="s">
        <v>2635</v>
      </c>
      <c r="BK758" t="s">
        <v>101</v>
      </c>
      <c r="BL758" t="s">
        <v>2635</v>
      </c>
      <c r="BM758" t="s">
        <v>14321</v>
      </c>
      <c r="BN758" t="s">
        <v>74</v>
      </c>
      <c r="BO758" t="s">
        <v>5447</v>
      </c>
      <c r="BP758" t="s">
        <v>74</v>
      </c>
      <c r="BQ758" t="s">
        <v>74</v>
      </c>
      <c r="BR758" t="s">
        <v>105</v>
      </c>
      <c r="BS758" t="s">
        <v>14322</v>
      </c>
      <c r="BT758" t="str">
        <f>HYPERLINK("https%3A%2F%2Fwww.webofscience.com%2Fwos%2Fwoscc%2Ffull-record%2FWOS:000388820700002","View Full Record in Web of Science")</f>
        <v>View Full Record in Web of Science</v>
      </c>
    </row>
    <row r="759" spans="1:72" x14ac:dyDescent="0.15">
      <c r="A759" t="s">
        <v>72</v>
      </c>
      <c r="B759" t="s">
        <v>14323</v>
      </c>
      <c r="C759" t="s">
        <v>74</v>
      </c>
      <c r="D759" t="s">
        <v>74</v>
      </c>
      <c r="E759" t="s">
        <v>74</v>
      </c>
      <c r="F759" t="s">
        <v>14324</v>
      </c>
      <c r="G759" t="s">
        <v>74</v>
      </c>
      <c r="H759" t="s">
        <v>74</v>
      </c>
      <c r="I759" t="s">
        <v>14325</v>
      </c>
      <c r="J759" t="s">
        <v>14326</v>
      </c>
      <c r="K759" t="s">
        <v>74</v>
      </c>
      <c r="L759" t="s">
        <v>74</v>
      </c>
      <c r="M759" t="s">
        <v>78</v>
      </c>
      <c r="N759" t="s">
        <v>79</v>
      </c>
      <c r="O759" t="s">
        <v>74</v>
      </c>
      <c r="P759" t="s">
        <v>74</v>
      </c>
      <c r="Q759" t="s">
        <v>74</v>
      </c>
      <c r="R759" t="s">
        <v>74</v>
      </c>
      <c r="S759" t="s">
        <v>74</v>
      </c>
      <c r="T759" t="s">
        <v>14327</v>
      </c>
      <c r="U759" t="s">
        <v>14328</v>
      </c>
      <c r="V759" t="s">
        <v>14329</v>
      </c>
      <c r="W759" t="s">
        <v>14330</v>
      </c>
      <c r="X759" t="s">
        <v>14331</v>
      </c>
      <c r="Y759" t="s">
        <v>14332</v>
      </c>
      <c r="Z759" t="s">
        <v>14333</v>
      </c>
      <c r="AA759" t="s">
        <v>14334</v>
      </c>
      <c r="AB759" t="s">
        <v>14335</v>
      </c>
      <c r="AC759" t="s">
        <v>14336</v>
      </c>
      <c r="AD759" t="s">
        <v>14337</v>
      </c>
      <c r="AE759" t="s">
        <v>14338</v>
      </c>
      <c r="AF759" t="s">
        <v>74</v>
      </c>
      <c r="AG759">
        <v>37</v>
      </c>
      <c r="AH759">
        <v>22</v>
      </c>
      <c r="AI759">
        <v>23</v>
      </c>
      <c r="AJ759">
        <v>1</v>
      </c>
      <c r="AK759">
        <v>64</v>
      </c>
      <c r="AL759" t="s">
        <v>9787</v>
      </c>
      <c r="AM759" t="s">
        <v>9788</v>
      </c>
      <c r="AN759" t="s">
        <v>9789</v>
      </c>
      <c r="AO759" t="s">
        <v>14339</v>
      </c>
      <c r="AP759" t="s">
        <v>14340</v>
      </c>
      <c r="AQ759" t="s">
        <v>74</v>
      </c>
      <c r="AR759" t="s">
        <v>14326</v>
      </c>
      <c r="AS759" t="s">
        <v>14341</v>
      </c>
      <c r="AT759" t="s">
        <v>12991</v>
      </c>
      <c r="AU759">
        <v>2016</v>
      </c>
      <c r="AV759">
        <v>73</v>
      </c>
      <c r="AW759">
        <v>3</v>
      </c>
      <c r="AX759" t="s">
        <v>74</v>
      </c>
      <c r="AY759" t="s">
        <v>74</v>
      </c>
      <c r="AZ759" t="s">
        <v>74</v>
      </c>
      <c r="BA759" t="s">
        <v>74</v>
      </c>
      <c r="BB759">
        <v>329</v>
      </c>
      <c r="BC759">
        <v>334</v>
      </c>
      <c r="BD759" t="s">
        <v>74</v>
      </c>
      <c r="BE759" t="s">
        <v>14342</v>
      </c>
      <c r="BF759" t="str">
        <f>HYPERLINK("http://dx.doi.org/10.1016/j.cryobiol.2016.10.002","http://dx.doi.org/10.1016/j.cryobiol.2016.10.002")</f>
        <v>http://dx.doi.org/10.1016/j.cryobiol.2016.10.002</v>
      </c>
      <c r="BG759" t="s">
        <v>74</v>
      </c>
      <c r="BH759" t="s">
        <v>74</v>
      </c>
      <c r="BI759">
        <v>6</v>
      </c>
      <c r="BJ759" t="s">
        <v>2111</v>
      </c>
      <c r="BK759" t="s">
        <v>101</v>
      </c>
      <c r="BL759" t="s">
        <v>2112</v>
      </c>
      <c r="BM759" t="s">
        <v>14343</v>
      </c>
      <c r="BN759">
        <v>27729220</v>
      </c>
      <c r="BO759" t="s">
        <v>74</v>
      </c>
      <c r="BP759" t="s">
        <v>74</v>
      </c>
      <c r="BQ759" t="s">
        <v>74</v>
      </c>
      <c r="BR759" t="s">
        <v>105</v>
      </c>
      <c r="BS759" t="s">
        <v>14344</v>
      </c>
      <c r="BT759" t="str">
        <f>HYPERLINK("https%3A%2F%2Fwww.webofscience.com%2Fwos%2Fwoscc%2Ffull-record%2FWOS:000389010600005","View Full Record in Web of Science")</f>
        <v>View Full Record in Web of Science</v>
      </c>
    </row>
    <row r="760" spans="1:72" x14ac:dyDescent="0.15">
      <c r="A760" t="s">
        <v>72</v>
      </c>
      <c r="B760" t="s">
        <v>14345</v>
      </c>
      <c r="C760" t="s">
        <v>74</v>
      </c>
      <c r="D760" t="s">
        <v>74</v>
      </c>
      <c r="E760" t="s">
        <v>74</v>
      </c>
      <c r="F760" t="s">
        <v>14346</v>
      </c>
      <c r="G760" t="s">
        <v>74</v>
      </c>
      <c r="H760" t="s">
        <v>74</v>
      </c>
      <c r="I760" t="s">
        <v>14347</v>
      </c>
      <c r="J760" t="s">
        <v>1187</v>
      </c>
      <c r="K760" t="s">
        <v>74</v>
      </c>
      <c r="L760" t="s">
        <v>74</v>
      </c>
      <c r="M760" t="s">
        <v>78</v>
      </c>
      <c r="N760" t="s">
        <v>79</v>
      </c>
      <c r="O760" t="s">
        <v>74</v>
      </c>
      <c r="P760" t="s">
        <v>74</v>
      </c>
      <c r="Q760" t="s">
        <v>74</v>
      </c>
      <c r="R760" t="s">
        <v>74</v>
      </c>
      <c r="S760" t="s">
        <v>74</v>
      </c>
      <c r="T760" t="s">
        <v>14348</v>
      </c>
      <c r="U760" t="s">
        <v>14349</v>
      </c>
      <c r="V760" t="s">
        <v>14350</v>
      </c>
      <c r="W760" t="s">
        <v>14351</v>
      </c>
      <c r="X760" t="s">
        <v>7736</v>
      </c>
      <c r="Y760" t="s">
        <v>14352</v>
      </c>
      <c r="Z760" t="s">
        <v>14353</v>
      </c>
      <c r="AA760" t="s">
        <v>74</v>
      </c>
      <c r="AB760" t="s">
        <v>14354</v>
      </c>
      <c r="AC760" t="s">
        <v>14355</v>
      </c>
      <c r="AD760" t="s">
        <v>14356</v>
      </c>
      <c r="AE760" t="s">
        <v>14357</v>
      </c>
      <c r="AF760" t="s">
        <v>74</v>
      </c>
      <c r="AG760">
        <v>55</v>
      </c>
      <c r="AH760">
        <v>20</v>
      </c>
      <c r="AI760">
        <v>20</v>
      </c>
      <c r="AJ760">
        <v>1</v>
      </c>
      <c r="AK760">
        <v>16</v>
      </c>
      <c r="AL760" t="s">
        <v>264</v>
      </c>
      <c r="AM760" t="s">
        <v>169</v>
      </c>
      <c r="AN760" t="s">
        <v>265</v>
      </c>
      <c r="AO760" t="s">
        <v>1200</v>
      </c>
      <c r="AP760" t="s">
        <v>1201</v>
      </c>
      <c r="AQ760" t="s">
        <v>74</v>
      </c>
      <c r="AR760" t="s">
        <v>1202</v>
      </c>
      <c r="AS760" t="s">
        <v>1203</v>
      </c>
      <c r="AT760" t="s">
        <v>13135</v>
      </c>
      <c r="AU760">
        <v>2016</v>
      </c>
      <c r="AV760">
        <v>455</v>
      </c>
      <c r="AW760" t="s">
        <v>74</v>
      </c>
      <c r="AX760" t="s">
        <v>74</v>
      </c>
      <c r="AY760" t="s">
        <v>74</v>
      </c>
      <c r="AZ760" t="s">
        <v>74</v>
      </c>
      <c r="BA760" t="s">
        <v>74</v>
      </c>
      <c r="BB760">
        <v>25</v>
      </c>
      <c r="BC760">
        <v>37</v>
      </c>
      <c r="BD760" t="s">
        <v>74</v>
      </c>
      <c r="BE760" t="s">
        <v>14358</v>
      </c>
      <c r="BF760" t="str">
        <f>HYPERLINK("http://dx.doi.org/10.1016/j.epsl.2016.09.018","http://dx.doi.org/10.1016/j.epsl.2016.09.018")</f>
        <v>http://dx.doi.org/10.1016/j.epsl.2016.09.018</v>
      </c>
      <c r="BG760" t="s">
        <v>74</v>
      </c>
      <c r="BH760" t="s">
        <v>74</v>
      </c>
      <c r="BI760">
        <v>13</v>
      </c>
      <c r="BJ760" t="s">
        <v>299</v>
      </c>
      <c r="BK760" t="s">
        <v>101</v>
      </c>
      <c r="BL760" t="s">
        <v>299</v>
      </c>
      <c r="BM760" t="s">
        <v>14359</v>
      </c>
      <c r="BN760" t="s">
        <v>74</v>
      </c>
      <c r="BO760" t="s">
        <v>74</v>
      </c>
      <c r="BP760" t="s">
        <v>74</v>
      </c>
      <c r="BQ760" t="s">
        <v>74</v>
      </c>
      <c r="BR760" t="s">
        <v>105</v>
      </c>
      <c r="BS760" t="s">
        <v>14360</v>
      </c>
      <c r="BT760" t="str">
        <f>HYPERLINK("https%3A%2F%2Fwww.webofscience.com%2Fwos%2Fwoscc%2Ffull-record%2FWOS:000386738200004","View Full Record in Web of Science")</f>
        <v>View Full Record in Web of Science</v>
      </c>
    </row>
    <row r="761" spans="1:72" x14ac:dyDescent="0.15">
      <c r="A761" t="s">
        <v>72</v>
      </c>
      <c r="B761" t="s">
        <v>14361</v>
      </c>
      <c r="C761" t="s">
        <v>74</v>
      </c>
      <c r="D761" t="s">
        <v>74</v>
      </c>
      <c r="E761" t="s">
        <v>74</v>
      </c>
      <c r="F761" t="s">
        <v>14362</v>
      </c>
      <c r="G761" t="s">
        <v>74</v>
      </c>
      <c r="H761" t="s">
        <v>74</v>
      </c>
      <c r="I761" t="s">
        <v>14363</v>
      </c>
      <c r="J761" t="s">
        <v>2591</v>
      </c>
      <c r="K761" t="s">
        <v>74</v>
      </c>
      <c r="L761" t="s">
        <v>74</v>
      </c>
      <c r="M761" t="s">
        <v>78</v>
      </c>
      <c r="N761" t="s">
        <v>79</v>
      </c>
      <c r="O761" t="s">
        <v>74</v>
      </c>
      <c r="P761" t="s">
        <v>74</v>
      </c>
      <c r="Q761" t="s">
        <v>74</v>
      </c>
      <c r="R761" t="s">
        <v>74</v>
      </c>
      <c r="S761" t="s">
        <v>74</v>
      </c>
      <c r="T761" t="s">
        <v>74</v>
      </c>
      <c r="U761" t="s">
        <v>14364</v>
      </c>
      <c r="V761" t="s">
        <v>14365</v>
      </c>
      <c r="W761" t="s">
        <v>14366</v>
      </c>
      <c r="X761" t="s">
        <v>14367</v>
      </c>
      <c r="Y761" t="s">
        <v>14368</v>
      </c>
      <c r="Z761" t="s">
        <v>14369</v>
      </c>
      <c r="AA761" t="s">
        <v>14370</v>
      </c>
      <c r="AB761" t="s">
        <v>14371</v>
      </c>
      <c r="AC761" t="s">
        <v>14372</v>
      </c>
      <c r="AD761" t="s">
        <v>14373</v>
      </c>
      <c r="AE761" t="s">
        <v>14374</v>
      </c>
      <c r="AF761" t="s">
        <v>74</v>
      </c>
      <c r="AG761">
        <v>71</v>
      </c>
      <c r="AH761">
        <v>69</v>
      </c>
      <c r="AI761">
        <v>74</v>
      </c>
      <c r="AJ761">
        <v>2</v>
      </c>
      <c r="AK761">
        <v>52</v>
      </c>
      <c r="AL761" t="s">
        <v>2603</v>
      </c>
      <c r="AM761" t="s">
        <v>2604</v>
      </c>
      <c r="AN761" t="s">
        <v>2605</v>
      </c>
      <c r="AO761" t="s">
        <v>2606</v>
      </c>
      <c r="AP761" t="s">
        <v>2607</v>
      </c>
      <c r="AQ761" t="s">
        <v>74</v>
      </c>
      <c r="AR761" t="s">
        <v>2608</v>
      </c>
      <c r="AS761" t="s">
        <v>2609</v>
      </c>
      <c r="AT761" t="s">
        <v>12991</v>
      </c>
      <c r="AU761">
        <v>2016</v>
      </c>
      <c r="AV761">
        <v>29</v>
      </c>
      <c r="AW761">
        <v>24</v>
      </c>
      <c r="AX761" t="s">
        <v>74</v>
      </c>
      <c r="AY761" t="s">
        <v>74</v>
      </c>
      <c r="AZ761" t="s">
        <v>74</v>
      </c>
      <c r="BA761" t="s">
        <v>74</v>
      </c>
      <c r="BB761">
        <v>8931</v>
      </c>
      <c r="BC761">
        <v>8948</v>
      </c>
      <c r="BD761" t="s">
        <v>74</v>
      </c>
      <c r="BE761" t="s">
        <v>14375</v>
      </c>
      <c r="BF761" t="str">
        <f>HYPERLINK("http://dx.doi.org/10.1175/JCLI-D-16-0440.1","http://dx.doi.org/10.1175/JCLI-D-16-0440.1")</f>
        <v>http://dx.doi.org/10.1175/JCLI-D-16-0440.1</v>
      </c>
      <c r="BG761" t="s">
        <v>74</v>
      </c>
      <c r="BH761" t="s">
        <v>74</v>
      </c>
      <c r="BI761">
        <v>18</v>
      </c>
      <c r="BJ761" t="s">
        <v>747</v>
      </c>
      <c r="BK761" t="s">
        <v>101</v>
      </c>
      <c r="BL761" t="s">
        <v>747</v>
      </c>
      <c r="BM761" t="s">
        <v>14376</v>
      </c>
      <c r="BN761" t="s">
        <v>74</v>
      </c>
      <c r="BO761" t="s">
        <v>301</v>
      </c>
      <c r="BP761" t="s">
        <v>74</v>
      </c>
      <c r="BQ761" t="s">
        <v>74</v>
      </c>
      <c r="BR761" t="s">
        <v>105</v>
      </c>
      <c r="BS761" t="s">
        <v>14377</v>
      </c>
      <c r="BT761" t="str">
        <f>HYPERLINK("https%3A%2F%2Fwww.webofscience.com%2Fwos%2Fwoscc%2Ffull-record%2FWOS:000388677100016","View Full Record in Web of Science")</f>
        <v>View Full Record in Web of Science</v>
      </c>
    </row>
    <row r="762" spans="1:72" x14ac:dyDescent="0.15">
      <c r="A762" t="s">
        <v>72</v>
      </c>
      <c r="B762" t="s">
        <v>14378</v>
      </c>
      <c r="C762" t="s">
        <v>74</v>
      </c>
      <c r="D762" t="s">
        <v>74</v>
      </c>
      <c r="E762" t="s">
        <v>74</v>
      </c>
      <c r="F762" t="s">
        <v>14379</v>
      </c>
      <c r="G762" t="s">
        <v>74</v>
      </c>
      <c r="H762" t="s">
        <v>74</v>
      </c>
      <c r="I762" t="s">
        <v>14380</v>
      </c>
      <c r="J762" t="s">
        <v>14381</v>
      </c>
      <c r="K762" t="s">
        <v>74</v>
      </c>
      <c r="L762" t="s">
        <v>74</v>
      </c>
      <c r="M762" t="s">
        <v>78</v>
      </c>
      <c r="N762" t="s">
        <v>79</v>
      </c>
      <c r="O762" t="s">
        <v>74</v>
      </c>
      <c r="P762" t="s">
        <v>74</v>
      </c>
      <c r="Q762" t="s">
        <v>74</v>
      </c>
      <c r="R762" t="s">
        <v>74</v>
      </c>
      <c r="S762" t="s">
        <v>74</v>
      </c>
      <c r="T762" t="s">
        <v>14382</v>
      </c>
      <c r="U762" t="s">
        <v>14383</v>
      </c>
      <c r="V762" t="s">
        <v>14384</v>
      </c>
      <c r="W762" t="s">
        <v>14385</v>
      </c>
      <c r="X762" t="s">
        <v>14386</v>
      </c>
      <c r="Y762" t="s">
        <v>14387</v>
      </c>
      <c r="Z762" t="s">
        <v>14388</v>
      </c>
      <c r="AA762" t="s">
        <v>74</v>
      </c>
      <c r="AB762" t="s">
        <v>74</v>
      </c>
      <c r="AC762" t="s">
        <v>14389</v>
      </c>
      <c r="AD762" t="s">
        <v>357</v>
      </c>
      <c r="AE762" t="s">
        <v>14390</v>
      </c>
      <c r="AF762" t="s">
        <v>74</v>
      </c>
      <c r="AG762">
        <v>76</v>
      </c>
      <c r="AH762">
        <v>5</v>
      </c>
      <c r="AI762">
        <v>5</v>
      </c>
      <c r="AJ762">
        <v>0</v>
      </c>
      <c r="AK762">
        <v>5</v>
      </c>
      <c r="AL762" t="s">
        <v>3097</v>
      </c>
      <c r="AM762" t="s">
        <v>187</v>
      </c>
      <c r="AN762" t="s">
        <v>3098</v>
      </c>
      <c r="AO762" t="s">
        <v>14391</v>
      </c>
      <c r="AP762" t="s">
        <v>14392</v>
      </c>
      <c r="AQ762" t="s">
        <v>74</v>
      </c>
      <c r="AR762" t="s">
        <v>14393</v>
      </c>
      <c r="AS762" t="s">
        <v>14394</v>
      </c>
      <c r="AT762" t="s">
        <v>12991</v>
      </c>
      <c r="AU762">
        <v>2016</v>
      </c>
      <c r="AV762">
        <v>809</v>
      </c>
      <c r="AW762" t="s">
        <v>74</v>
      </c>
      <c r="AX762" t="s">
        <v>74</v>
      </c>
      <c r="AY762" t="s">
        <v>74</v>
      </c>
      <c r="AZ762" t="s">
        <v>74</v>
      </c>
      <c r="BA762" t="s">
        <v>74</v>
      </c>
      <c r="BB762">
        <v>316</v>
      </c>
      <c r="BC762">
        <v>344</v>
      </c>
      <c r="BD762" t="s">
        <v>74</v>
      </c>
      <c r="BE762" t="s">
        <v>14395</v>
      </c>
      <c r="BF762" t="str">
        <f>HYPERLINK("http://dx.doi.org/10.1017/jfm.2016.668","http://dx.doi.org/10.1017/jfm.2016.668")</f>
        <v>http://dx.doi.org/10.1017/jfm.2016.668</v>
      </c>
      <c r="BG762" t="s">
        <v>74</v>
      </c>
      <c r="BH762" t="s">
        <v>74</v>
      </c>
      <c r="BI762">
        <v>29</v>
      </c>
      <c r="BJ762" t="s">
        <v>14396</v>
      </c>
      <c r="BK762" t="s">
        <v>101</v>
      </c>
      <c r="BL762" t="s">
        <v>14397</v>
      </c>
      <c r="BM762" t="s">
        <v>14398</v>
      </c>
      <c r="BN762" t="s">
        <v>74</v>
      </c>
      <c r="BO762" t="s">
        <v>74</v>
      </c>
      <c r="BP762" t="s">
        <v>74</v>
      </c>
      <c r="BQ762" t="s">
        <v>74</v>
      </c>
      <c r="BR762" t="s">
        <v>105</v>
      </c>
      <c r="BS762" t="s">
        <v>14399</v>
      </c>
      <c r="BT762" t="str">
        <f>HYPERLINK("https%3A%2F%2Fwww.webofscience.com%2Fwos%2Fwoscc%2Ffull-record%2FWOS:000388867800014","View Full Record in Web of Science")</f>
        <v>View Full Record in Web of Science</v>
      </c>
    </row>
    <row r="763" spans="1:72" x14ac:dyDescent="0.15">
      <c r="A763" t="s">
        <v>72</v>
      </c>
      <c r="B763" t="s">
        <v>14400</v>
      </c>
      <c r="C763" t="s">
        <v>74</v>
      </c>
      <c r="D763" t="s">
        <v>74</v>
      </c>
      <c r="E763" t="s">
        <v>74</v>
      </c>
      <c r="F763" t="s">
        <v>14401</v>
      </c>
      <c r="G763" t="s">
        <v>74</v>
      </c>
      <c r="H763" t="s">
        <v>74</v>
      </c>
      <c r="I763" t="s">
        <v>14402</v>
      </c>
      <c r="J763" t="s">
        <v>14403</v>
      </c>
      <c r="K763" t="s">
        <v>74</v>
      </c>
      <c r="L763" t="s">
        <v>74</v>
      </c>
      <c r="M763" t="s">
        <v>78</v>
      </c>
      <c r="N763" t="s">
        <v>79</v>
      </c>
      <c r="O763" t="s">
        <v>74</v>
      </c>
      <c r="P763" t="s">
        <v>74</v>
      </c>
      <c r="Q763" t="s">
        <v>74</v>
      </c>
      <c r="R763" t="s">
        <v>74</v>
      </c>
      <c r="S763" t="s">
        <v>74</v>
      </c>
      <c r="T763" t="s">
        <v>14404</v>
      </c>
      <c r="U763" t="s">
        <v>14405</v>
      </c>
      <c r="V763" t="s">
        <v>14406</v>
      </c>
      <c r="W763" t="s">
        <v>14407</v>
      </c>
      <c r="X763" t="s">
        <v>14408</v>
      </c>
      <c r="Y763" t="s">
        <v>14409</v>
      </c>
      <c r="Z763" t="s">
        <v>14410</v>
      </c>
      <c r="AA763" t="s">
        <v>14411</v>
      </c>
      <c r="AB763" t="s">
        <v>74</v>
      </c>
      <c r="AC763" t="s">
        <v>14412</v>
      </c>
      <c r="AD763" t="s">
        <v>14413</v>
      </c>
      <c r="AE763" t="s">
        <v>14414</v>
      </c>
      <c r="AF763" t="s">
        <v>74</v>
      </c>
      <c r="AG763">
        <v>35</v>
      </c>
      <c r="AH763">
        <v>1</v>
      </c>
      <c r="AI763">
        <v>1</v>
      </c>
      <c r="AJ763">
        <v>1</v>
      </c>
      <c r="AK763">
        <v>6</v>
      </c>
      <c r="AL763" t="s">
        <v>14415</v>
      </c>
      <c r="AM763" t="s">
        <v>13745</v>
      </c>
      <c r="AN763" t="s">
        <v>14416</v>
      </c>
      <c r="AO763" t="s">
        <v>14417</v>
      </c>
      <c r="AP763" t="s">
        <v>14418</v>
      </c>
      <c r="AQ763" t="s">
        <v>74</v>
      </c>
      <c r="AR763" t="s">
        <v>14419</v>
      </c>
      <c r="AS763" t="s">
        <v>14420</v>
      </c>
      <c r="AT763" t="s">
        <v>12991</v>
      </c>
      <c r="AU763">
        <v>2016</v>
      </c>
      <c r="AV763">
        <v>54</v>
      </c>
      <c r="AW763">
        <v>12</v>
      </c>
      <c r="AX763" t="s">
        <v>74</v>
      </c>
      <c r="AY763" t="s">
        <v>74</v>
      </c>
      <c r="AZ763" t="s">
        <v>74</v>
      </c>
      <c r="BA763" t="s">
        <v>74</v>
      </c>
      <c r="BB763">
        <v>796</v>
      </c>
      <c r="BC763">
        <v>801</v>
      </c>
      <c r="BD763" t="s">
        <v>74</v>
      </c>
      <c r="BE763" t="s">
        <v>14421</v>
      </c>
      <c r="BF763" t="str">
        <f>HYPERLINK("http://dx.doi.org/10.1007/s12275-016-6390-3","http://dx.doi.org/10.1007/s12275-016-6390-3")</f>
        <v>http://dx.doi.org/10.1007/s12275-016-6390-3</v>
      </c>
      <c r="BG763" t="s">
        <v>74</v>
      </c>
      <c r="BH763" t="s">
        <v>74</v>
      </c>
      <c r="BI763">
        <v>6</v>
      </c>
      <c r="BJ763" t="s">
        <v>2026</v>
      </c>
      <c r="BK763" t="s">
        <v>101</v>
      </c>
      <c r="BL763" t="s">
        <v>2026</v>
      </c>
      <c r="BM763" t="s">
        <v>14422</v>
      </c>
      <c r="BN763">
        <v>27888462</v>
      </c>
      <c r="BO763" t="s">
        <v>74</v>
      </c>
      <c r="BP763" t="s">
        <v>74</v>
      </c>
      <c r="BQ763" t="s">
        <v>74</v>
      </c>
      <c r="BR763" t="s">
        <v>105</v>
      </c>
      <c r="BS763" t="s">
        <v>14423</v>
      </c>
      <c r="BT763" t="str">
        <f>HYPERLINK("https%3A%2F%2Fwww.webofscience.com%2Fwos%2Fwoscc%2Ffull-record%2FWOS:000388991900002","View Full Record in Web of Science")</f>
        <v>View Full Record in Web of Science</v>
      </c>
    </row>
    <row r="764" spans="1:72" x14ac:dyDescent="0.15">
      <c r="A764" t="s">
        <v>72</v>
      </c>
      <c r="B764" t="s">
        <v>14424</v>
      </c>
      <c r="C764" t="s">
        <v>74</v>
      </c>
      <c r="D764" t="s">
        <v>74</v>
      </c>
      <c r="E764" t="s">
        <v>74</v>
      </c>
      <c r="F764" t="s">
        <v>14425</v>
      </c>
      <c r="G764" t="s">
        <v>74</v>
      </c>
      <c r="H764" t="s">
        <v>74</v>
      </c>
      <c r="I764" t="s">
        <v>14426</v>
      </c>
      <c r="J764" t="s">
        <v>14403</v>
      </c>
      <c r="K764" t="s">
        <v>74</v>
      </c>
      <c r="L764" t="s">
        <v>74</v>
      </c>
      <c r="M764" t="s">
        <v>78</v>
      </c>
      <c r="N764" t="s">
        <v>79</v>
      </c>
      <c r="O764" t="s">
        <v>74</v>
      </c>
      <c r="P764" t="s">
        <v>74</v>
      </c>
      <c r="Q764" t="s">
        <v>74</v>
      </c>
      <c r="R764" t="s">
        <v>74</v>
      </c>
      <c r="S764" t="s">
        <v>74</v>
      </c>
      <c r="T764" t="s">
        <v>14427</v>
      </c>
      <c r="U764" t="s">
        <v>74</v>
      </c>
      <c r="V764" t="s">
        <v>14428</v>
      </c>
      <c r="W764" t="s">
        <v>14429</v>
      </c>
      <c r="X764" t="s">
        <v>14430</v>
      </c>
      <c r="Y764" t="s">
        <v>14431</v>
      </c>
      <c r="Z764" t="s">
        <v>14432</v>
      </c>
      <c r="AA764" t="s">
        <v>14411</v>
      </c>
      <c r="AB764" t="s">
        <v>14433</v>
      </c>
      <c r="AC764" t="s">
        <v>14412</v>
      </c>
      <c r="AD764" t="s">
        <v>14413</v>
      </c>
      <c r="AE764" t="s">
        <v>14414</v>
      </c>
      <c r="AF764" t="s">
        <v>74</v>
      </c>
      <c r="AG764">
        <v>27</v>
      </c>
      <c r="AH764">
        <v>4</v>
      </c>
      <c r="AI764">
        <v>4</v>
      </c>
      <c r="AJ764">
        <v>0</v>
      </c>
      <c r="AK764">
        <v>9</v>
      </c>
      <c r="AL764" t="s">
        <v>14415</v>
      </c>
      <c r="AM764" t="s">
        <v>13745</v>
      </c>
      <c r="AN764" t="s">
        <v>14416</v>
      </c>
      <c r="AO764" t="s">
        <v>14417</v>
      </c>
      <c r="AP764" t="s">
        <v>14418</v>
      </c>
      <c r="AQ764" t="s">
        <v>74</v>
      </c>
      <c r="AR764" t="s">
        <v>14419</v>
      </c>
      <c r="AS764" t="s">
        <v>14420</v>
      </c>
      <c r="AT764" t="s">
        <v>12991</v>
      </c>
      <c r="AU764">
        <v>2016</v>
      </c>
      <c r="AV764">
        <v>54</v>
      </c>
      <c r="AW764">
        <v>12</v>
      </c>
      <c r="AX764" t="s">
        <v>74</v>
      </c>
      <c r="AY764" t="s">
        <v>74</v>
      </c>
      <c r="AZ764" t="s">
        <v>74</v>
      </c>
      <c r="BA764" t="s">
        <v>74</v>
      </c>
      <c r="BB764">
        <v>809</v>
      </c>
      <c r="BC764">
        <v>813</v>
      </c>
      <c r="BD764" t="s">
        <v>74</v>
      </c>
      <c r="BE764" t="s">
        <v>14434</v>
      </c>
      <c r="BF764" t="str">
        <f>HYPERLINK("http://dx.doi.org/10.1007/s12275-016-6473-1","http://dx.doi.org/10.1007/s12275-016-6473-1")</f>
        <v>http://dx.doi.org/10.1007/s12275-016-6473-1</v>
      </c>
      <c r="BG764" t="s">
        <v>74</v>
      </c>
      <c r="BH764" t="s">
        <v>74</v>
      </c>
      <c r="BI764">
        <v>5</v>
      </c>
      <c r="BJ764" t="s">
        <v>2026</v>
      </c>
      <c r="BK764" t="s">
        <v>101</v>
      </c>
      <c r="BL764" t="s">
        <v>2026</v>
      </c>
      <c r="BM764" t="s">
        <v>14422</v>
      </c>
      <c r="BN764">
        <v>27888465</v>
      </c>
      <c r="BO764" t="s">
        <v>74</v>
      </c>
      <c r="BP764" t="s">
        <v>74</v>
      </c>
      <c r="BQ764" t="s">
        <v>74</v>
      </c>
      <c r="BR764" t="s">
        <v>105</v>
      </c>
      <c r="BS764" t="s">
        <v>14435</v>
      </c>
      <c r="BT764" t="str">
        <f>HYPERLINK("https%3A%2F%2Fwww.webofscience.com%2Fwos%2Fwoscc%2Ffull-record%2FWOS:000388991900004","View Full Record in Web of Science")</f>
        <v>View Full Record in Web of Science</v>
      </c>
    </row>
    <row r="765" spans="1:72" x14ac:dyDescent="0.15">
      <c r="A765" t="s">
        <v>72</v>
      </c>
      <c r="B765" t="s">
        <v>14436</v>
      </c>
      <c r="C765" t="s">
        <v>74</v>
      </c>
      <c r="D765" t="s">
        <v>74</v>
      </c>
      <c r="E765" t="s">
        <v>74</v>
      </c>
      <c r="F765" t="s">
        <v>14437</v>
      </c>
      <c r="G765" t="s">
        <v>74</v>
      </c>
      <c r="H765" t="s">
        <v>74</v>
      </c>
      <c r="I765" t="s">
        <v>14438</v>
      </c>
      <c r="J765" t="s">
        <v>14439</v>
      </c>
      <c r="K765" t="s">
        <v>74</v>
      </c>
      <c r="L765" t="s">
        <v>74</v>
      </c>
      <c r="M765" t="s">
        <v>78</v>
      </c>
      <c r="N765" t="s">
        <v>79</v>
      </c>
      <c r="O765" t="s">
        <v>74</v>
      </c>
      <c r="P765" t="s">
        <v>74</v>
      </c>
      <c r="Q765" t="s">
        <v>74</v>
      </c>
      <c r="R765" t="s">
        <v>74</v>
      </c>
      <c r="S765" t="s">
        <v>74</v>
      </c>
      <c r="T765" t="s">
        <v>74</v>
      </c>
      <c r="U765" t="s">
        <v>14440</v>
      </c>
      <c r="V765" t="s">
        <v>14441</v>
      </c>
      <c r="W765" t="s">
        <v>14442</v>
      </c>
      <c r="X765" t="s">
        <v>14443</v>
      </c>
      <c r="Y765" t="s">
        <v>14444</v>
      </c>
      <c r="Z765" t="s">
        <v>14445</v>
      </c>
      <c r="AA765" t="s">
        <v>74</v>
      </c>
      <c r="AB765" t="s">
        <v>14446</v>
      </c>
      <c r="AC765" t="s">
        <v>14447</v>
      </c>
      <c r="AD765" t="s">
        <v>14448</v>
      </c>
      <c r="AE765" t="s">
        <v>14449</v>
      </c>
      <c r="AF765" t="s">
        <v>74</v>
      </c>
      <c r="AG765">
        <v>30</v>
      </c>
      <c r="AH765">
        <v>18</v>
      </c>
      <c r="AI765">
        <v>20</v>
      </c>
      <c r="AJ765">
        <v>1</v>
      </c>
      <c r="AK765">
        <v>66</v>
      </c>
      <c r="AL765" t="s">
        <v>1466</v>
      </c>
      <c r="AM765" t="s">
        <v>142</v>
      </c>
      <c r="AN765" t="s">
        <v>1467</v>
      </c>
      <c r="AO765" t="s">
        <v>14450</v>
      </c>
      <c r="AP765" t="s">
        <v>74</v>
      </c>
      <c r="AQ765" t="s">
        <v>74</v>
      </c>
      <c r="AR765" t="s">
        <v>14451</v>
      </c>
      <c r="AS765" t="s">
        <v>14452</v>
      </c>
      <c r="AT765" t="s">
        <v>13135</v>
      </c>
      <c r="AU765">
        <v>2016</v>
      </c>
      <c r="AV765">
        <v>7</v>
      </c>
      <c r="AW765">
        <v>23</v>
      </c>
      <c r="AX765" t="s">
        <v>74</v>
      </c>
      <c r="AY765" t="s">
        <v>74</v>
      </c>
      <c r="AZ765" t="s">
        <v>74</v>
      </c>
      <c r="BA765" t="s">
        <v>74</v>
      </c>
      <c r="BB765">
        <v>4836</v>
      </c>
      <c r="BC765">
        <v>4840</v>
      </c>
      <c r="BD765" t="s">
        <v>74</v>
      </c>
      <c r="BE765" t="s">
        <v>14453</v>
      </c>
      <c r="BF765" t="str">
        <f>HYPERLINK("http://dx.doi.org/10.1021/acs.jpclett.6b02483","http://dx.doi.org/10.1021/acs.jpclett.6b02483")</f>
        <v>http://dx.doi.org/10.1021/acs.jpclett.6b02483</v>
      </c>
      <c r="BG765" t="s">
        <v>74</v>
      </c>
      <c r="BH765" t="s">
        <v>74</v>
      </c>
      <c r="BI765">
        <v>5</v>
      </c>
      <c r="BJ765" t="s">
        <v>14454</v>
      </c>
      <c r="BK765" t="s">
        <v>101</v>
      </c>
      <c r="BL765" t="s">
        <v>14455</v>
      </c>
      <c r="BM765" t="s">
        <v>14456</v>
      </c>
      <c r="BN765">
        <v>27934047</v>
      </c>
      <c r="BO765" t="s">
        <v>74</v>
      </c>
      <c r="BP765" t="s">
        <v>74</v>
      </c>
      <c r="BQ765" t="s">
        <v>74</v>
      </c>
      <c r="BR765" t="s">
        <v>105</v>
      </c>
      <c r="BS765" t="s">
        <v>14457</v>
      </c>
      <c r="BT765" t="str">
        <f>HYPERLINK("https%3A%2F%2Fwww.webofscience.com%2Fwos%2Fwoscc%2Ffull-record%2FWOS:000389175200006","View Full Record in Web of Science")</f>
        <v>View Full Record in Web of Science</v>
      </c>
    </row>
    <row r="766" spans="1:72" x14ac:dyDescent="0.15">
      <c r="A766" t="s">
        <v>72</v>
      </c>
      <c r="B766" t="s">
        <v>14458</v>
      </c>
      <c r="C766" t="s">
        <v>74</v>
      </c>
      <c r="D766" t="s">
        <v>74</v>
      </c>
      <c r="E766" t="s">
        <v>74</v>
      </c>
      <c r="F766" t="s">
        <v>14459</v>
      </c>
      <c r="G766" t="s">
        <v>74</v>
      </c>
      <c r="H766" t="s">
        <v>74</v>
      </c>
      <c r="I766" t="s">
        <v>14460</v>
      </c>
      <c r="J766" t="s">
        <v>14461</v>
      </c>
      <c r="K766" t="s">
        <v>74</v>
      </c>
      <c r="L766" t="s">
        <v>74</v>
      </c>
      <c r="M766" t="s">
        <v>78</v>
      </c>
      <c r="N766" t="s">
        <v>2034</v>
      </c>
      <c r="O766" t="s">
        <v>74</v>
      </c>
      <c r="P766" t="s">
        <v>74</v>
      </c>
      <c r="Q766" t="s">
        <v>74</v>
      </c>
      <c r="R766" t="s">
        <v>74</v>
      </c>
      <c r="S766" t="s">
        <v>74</v>
      </c>
      <c r="T766" t="s">
        <v>14462</v>
      </c>
      <c r="U766" t="s">
        <v>14463</v>
      </c>
      <c r="V766" t="s">
        <v>14464</v>
      </c>
      <c r="W766" t="s">
        <v>14465</v>
      </c>
      <c r="X766" t="s">
        <v>14466</v>
      </c>
      <c r="Y766" t="s">
        <v>14467</v>
      </c>
      <c r="Z766" t="s">
        <v>14468</v>
      </c>
      <c r="AA766" t="s">
        <v>14469</v>
      </c>
      <c r="AB766" t="s">
        <v>14470</v>
      </c>
      <c r="AC766" t="s">
        <v>14471</v>
      </c>
      <c r="AD766" t="s">
        <v>14472</v>
      </c>
      <c r="AE766" t="s">
        <v>14473</v>
      </c>
      <c r="AF766" t="s">
        <v>74</v>
      </c>
      <c r="AG766">
        <v>202</v>
      </c>
      <c r="AH766">
        <v>109</v>
      </c>
      <c r="AI766">
        <v>115</v>
      </c>
      <c r="AJ766">
        <v>2</v>
      </c>
      <c r="AK766">
        <v>88</v>
      </c>
      <c r="AL766" t="s">
        <v>8606</v>
      </c>
      <c r="AM766" t="s">
        <v>187</v>
      </c>
      <c r="AN766" t="s">
        <v>8607</v>
      </c>
      <c r="AO766" t="s">
        <v>14474</v>
      </c>
      <c r="AP766" t="s">
        <v>14475</v>
      </c>
      <c r="AQ766" t="s">
        <v>74</v>
      </c>
      <c r="AR766" t="s">
        <v>14476</v>
      </c>
      <c r="AS766" t="s">
        <v>14477</v>
      </c>
      <c r="AT766" t="s">
        <v>12991</v>
      </c>
      <c r="AU766">
        <v>2016</v>
      </c>
      <c r="AV766">
        <v>202</v>
      </c>
      <c r="AW766" t="s">
        <v>74</v>
      </c>
      <c r="AX766" t="s">
        <v>74</v>
      </c>
      <c r="AY766" t="s">
        <v>74</v>
      </c>
      <c r="AZ766" t="s">
        <v>74</v>
      </c>
      <c r="BA766" t="s">
        <v>74</v>
      </c>
      <c r="BB766">
        <v>23</v>
      </c>
      <c r="BC766">
        <v>37</v>
      </c>
      <c r="BD766" t="s">
        <v>74</v>
      </c>
      <c r="BE766" t="s">
        <v>14478</v>
      </c>
      <c r="BF766" t="str">
        <f>HYPERLINK("http://dx.doi.org/10.1016/j.cbpa.2016.03.022","http://dx.doi.org/10.1016/j.cbpa.2016.03.022")</f>
        <v>http://dx.doi.org/10.1016/j.cbpa.2016.03.022</v>
      </c>
      <c r="BG766" t="s">
        <v>74</v>
      </c>
      <c r="BH766" t="s">
        <v>74</v>
      </c>
      <c r="BI766">
        <v>15</v>
      </c>
      <c r="BJ766" t="s">
        <v>14479</v>
      </c>
      <c r="BK766" t="s">
        <v>101</v>
      </c>
      <c r="BL766" t="s">
        <v>14479</v>
      </c>
      <c r="BM766" t="s">
        <v>14480</v>
      </c>
      <c r="BN766">
        <v>27063208</v>
      </c>
      <c r="BO766" t="s">
        <v>74</v>
      </c>
      <c r="BP766" t="s">
        <v>74</v>
      </c>
      <c r="BQ766" t="s">
        <v>74</v>
      </c>
      <c r="BR766" t="s">
        <v>105</v>
      </c>
      <c r="BS766" t="s">
        <v>14481</v>
      </c>
      <c r="BT766" t="str">
        <f>HYPERLINK("https%3A%2F%2Fwww.webofscience.com%2Fwos%2Fwoscc%2Ffull-record%2FWOS:000389110800004","View Full Record in Web of Science")</f>
        <v>View Full Record in Web of Science</v>
      </c>
    </row>
    <row r="767" spans="1:72" x14ac:dyDescent="0.15">
      <c r="A767" t="s">
        <v>72</v>
      </c>
      <c r="B767" t="s">
        <v>14482</v>
      </c>
      <c r="C767" t="s">
        <v>74</v>
      </c>
      <c r="D767" t="s">
        <v>74</v>
      </c>
      <c r="E767" t="s">
        <v>74</v>
      </c>
      <c r="F767" t="s">
        <v>14483</v>
      </c>
      <c r="G767" t="s">
        <v>74</v>
      </c>
      <c r="H767" t="s">
        <v>74</v>
      </c>
      <c r="I767" t="s">
        <v>14484</v>
      </c>
      <c r="J767" t="s">
        <v>14485</v>
      </c>
      <c r="K767" t="s">
        <v>74</v>
      </c>
      <c r="L767" t="s">
        <v>74</v>
      </c>
      <c r="M767" t="s">
        <v>78</v>
      </c>
      <c r="N767" t="s">
        <v>79</v>
      </c>
      <c r="O767" t="s">
        <v>74</v>
      </c>
      <c r="P767" t="s">
        <v>74</v>
      </c>
      <c r="Q767" t="s">
        <v>74</v>
      </c>
      <c r="R767" t="s">
        <v>74</v>
      </c>
      <c r="S767" t="s">
        <v>74</v>
      </c>
      <c r="T767" t="s">
        <v>14486</v>
      </c>
      <c r="U767" t="s">
        <v>14487</v>
      </c>
      <c r="V767" t="s">
        <v>14488</v>
      </c>
      <c r="W767" t="s">
        <v>14489</v>
      </c>
      <c r="X767" t="s">
        <v>14490</v>
      </c>
      <c r="Y767" t="s">
        <v>14491</v>
      </c>
      <c r="Z767" t="s">
        <v>14492</v>
      </c>
      <c r="AA767" t="s">
        <v>14493</v>
      </c>
      <c r="AB767" t="s">
        <v>14494</v>
      </c>
      <c r="AC767" t="s">
        <v>14495</v>
      </c>
      <c r="AD767" t="s">
        <v>14495</v>
      </c>
      <c r="AE767" t="s">
        <v>14496</v>
      </c>
      <c r="AF767" t="s">
        <v>74</v>
      </c>
      <c r="AG767">
        <v>69</v>
      </c>
      <c r="AH767">
        <v>19</v>
      </c>
      <c r="AI767">
        <v>20</v>
      </c>
      <c r="AJ767">
        <v>0</v>
      </c>
      <c r="AK767">
        <v>35</v>
      </c>
      <c r="AL767" t="s">
        <v>2325</v>
      </c>
      <c r="AM767" t="s">
        <v>292</v>
      </c>
      <c r="AN767" t="s">
        <v>2326</v>
      </c>
      <c r="AO767" t="s">
        <v>14497</v>
      </c>
      <c r="AP767" t="s">
        <v>14498</v>
      </c>
      <c r="AQ767" t="s">
        <v>74</v>
      </c>
      <c r="AR767" t="s">
        <v>14499</v>
      </c>
      <c r="AS767" t="s">
        <v>14500</v>
      </c>
      <c r="AT767" t="s">
        <v>12991</v>
      </c>
      <c r="AU767">
        <v>2016</v>
      </c>
      <c r="AV767">
        <v>122</v>
      </c>
      <c r="AW767" t="s">
        <v>74</v>
      </c>
      <c r="AX767" t="s">
        <v>74</v>
      </c>
      <c r="AY767" t="s">
        <v>74</v>
      </c>
      <c r="AZ767" t="s">
        <v>74</v>
      </c>
      <c r="BA767" t="s">
        <v>74</v>
      </c>
      <c r="BB767">
        <v>67</v>
      </c>
      <c r="BC767">
        <v>75</v>
      </c>
      <c r="BD767" t="s">
        <v>74</v>
      </c>
      <c r="BE767" t="s">
        <v>14501</v>
      </c>
      <c r="BF767" t="str">
        <f>HYPERLINK("http://dx.doi.org/10.1016/j.marenvres.2016.09.008","http://dx.doi.org/10.1016/j.marenvres.2016.09.008")</f>
        <v>http://dx.doi.org/10.1016/j.marenvres.2016.09.008</v>
      </c>
      <c r="BG767" t="s">
        <v>74</v>
      </c>
      <c r="BH767" t="s">
        <v>74</v>
      </c>
      <c r="BI767">
        <v>9</v>
      </c>
      <c r="BJ767" t="s">
        <v>14502</v>
      </c>
      <c r="BK767" t="s">
        <v>101</v>
      </c>
      <c r="BL767" t="s">
        <v>14503</v>
      </c>
      <c r="BM767" t="s">
        <v>14504</v>
      </c>
      <c r="BN767">
        <v>27686389</v>
      </c>
      <c r="BO767" t="s">
        <v>74</v>
      </c>
      <c r="BP767" t="s">
        <v>74</v>
      </c>
      <c r="BQ767" t="s">
        <v>74</v>
      </c>
      <c r="BR767" t="s">
        <v>105</v>
      </c>
      <c r="BS767" t="s">
        <v>14505</v>
      </c>
      <c r="BT767" t="str">
        <f>HYPERLINK("https%3A%2F%2Fwww.webofscience.com%2Fwos%2Fwoscc%2Ffull-record%2FWOS:000389098500007","View Full Record in Web of Science")</f>
        <v>View Full Record in Web of Science</v>
      </c>
    </row>
    <row r="768" spans="1:72" x14ac:dyDescent="0.15">
      <c r="A768" t="s">
        <v>72</v>
      </c>
      <c r="B768" t="s">
        <v>14506</v>
      </c>
      <c r="C768" t="s">
        <v>74</v>
      </c>
      <c r="D768" t="s">
        <v>74</v>
      </c>
      <c r="E768" t="s">
        <v>74</v>
      </c>
      <c r="F768" t="s">
        <v>14507</v>
      </c>
      <c r="G768" t="s">
        <v>74</v>
      </c>
      <c r="H768" t="s">
        <v>74</v>
      </c>
      <c r="I768" t="s">
        <v>14508</v>
      </c>
      <c r="J768" t="s">
        <v>9583</v>
      </c>
      <c r="K768" t="s">
        <v>74</v>
      </c>
      <c r="L768" t="s">
        <v>74</v>
      </c>
      <c r="M768" t="s">
        <v>78</v>
      </c>
      <c r="N768" t="s">
        <v>79</v>
      </c>
      <c r="O768" t="s">
        <v>74</v>
      </c>
      <c r="P768" t="s">
        <v>74</v>
      </c>
      <c r="Q768" t="s">
        <v>74</v>
      </c>
      <c r="R768" t="s">
        <v>74</v>
      </c>
      <c r="S768" t="s">
        <v>74</v>
      </c>
      <c r="T768" t="s">
        <v>14509</v>
      </c>
      <c r="U768" t="s">
        <v>14510</v>
      </c>
      <c r="V768" t="s">
        <v>14511</v>
      </c>
      <c r="W768" t="s">
        <v>14512</v>
      </c>
      <c r="X768" t="s">
        <v>14513</v>
      </c>
      <c r="Y768" t="s">
        <v>14514</v>
      </c>
      <c r="Z768" t="s">
        <v>14515</v>
      </c>
      <c r="AA768" t="s">
        <v>14516</v>
      </c>
      <c r="AB768" t="s">
        <v>14517</v>
      </c>
      <c r="AC768" t="s">
        <v>14518</v>
      </c>
      <c r="AD768" t="s">
        <v>14519</v>
      </c>
      <c r="AE768" t="s">
        <v>14520</v>
      </c>
      <c r="AF768" t="s">
        <v>74</v>
      </c>
      <c r="AG768">
        <v>58</v>
      </c>
      <c r="AH768">
        <v>12</v>
      </c>
      <c r="AI768">
        <v>13</v>
      </c>
      <c r="AJ768">
        <v>3</v>
      </c>
      <c r="AK768">
        <v>19</v>
      </c>
      <c r="AL768" t="s">
        <v>291</v>
      </c>
      <c r="AM768" t="s">
        <v>292</v>
      </c>
      <c r="AN768" t="s">
        <v>293</v>
      </c>
      <c r="AO768" t="s">
        <v>9595</v>
      </c>
      <c r="AP768" t="s">
        <v>74</v>
      </c>
      <c r="AQ768" t="s">
        <v>74</v>
      </c>
      <c r="AR768" t="s">
        <v>9596</v>
      </c>
      <c r="AS768" t="s">
        <v>9597</v>
      </c>
      <c r="AT768" t="s">
        <v>13135</v>
      </c>
      <c r="AU768">
        <v>2016</v>
      </c>
      <c r="AV768">
        <v>153</v>
      </c>
      <c r="AW768" t="s">
        <v>74</v>
      </c>
      <c r="AX768" t="s">
        <v>74</v>
      </c>
      <c r="AY768" t="s">
        <v>74</v>
      </c>
      <c r="AZ768" t="s">
        <v>74</v>
      </c>
      <c r="BA768" t="s">
        <v>74</v>
      </c>
      <c r="BB768">
        <v>1</v>
      </c>
      <c r="BC768">
        <v>10</v>
      </c>
      <c r="BD768" t="s">
        <v>74</v>
      </c>
      <c r="BE768" t="s">
        <v>14521</v>
      </c>
      <c r="BF768" t="str">
        <f>HYPERLINK("http://dx.doi.org/10.1016/j.quascirev.2016.08.021","http://dx.doi.org/10.1016/j.quascirev.2016.08.021")</f>
        <v>http://dx.doi.org/10.1016/j.quascirev.2016.08.021</v>
      </c>
      <c r="BG768" t="s">
        <v>74</v>
      </c>
      <c r="BH768" t="s">
        <v>74</v>
      </c>
      <c r="BI768">
        <v>10</v>
      </c>
      <c r="BJ768" t="s">
        <v>615</v>
      </c>
      <c r="BK768" t="s">
        <v>101</v>
      </c>
      <c r="BL768" t="s">
        <v>616</v>
      </c>
      <c r="BM768" t="s">
        <v>14522</v>
      </c>
      <c r="BN768" t="s">
        <v>74</v>
      </c>
      <c r="BO768" t="s">
        <v>378</v>
      </c>
      <c r="BP768" t="s">
        <v>74</v>
      </c>
      <c r="BQ768" t="s">
        <v>74</v>
      </c>
      <c r="BR768" t="s">
        <v>105</v>
      </c>
      <c r="BS768" t="s">
        <v>14523</v>
      </c>
      <c r="BT768" t="str">
        <f>HYPERLINK("https%3A%2F%2Fwww.webofscience.com%2Fwos%2Fwoscc%2Ffull-record%2FWOS:000389116000001","View Full Record in Web of Science")</f>
        <v>View Full Record in Web of Science</v>
      </c>
    </row>
    <row r="769" spans="1:72" x14ac:dyDescent="0.15">
      <c r="A769" t="s">
        <v>72</v>
      </c>
      <c r="B769" t="s">
        <v>14524</v>
      </c>
      <c r="C769" t="s">
        <v>74</v>
      </c>
      <c r="D769" t="s">
        <v>74</v>
      </c>
      <c r="E769" t="s">
        <v>74</v>
      </c>
      <c r="F769" t="s">
        <v>14525</v>
      </c>
      <c r="G769" t="s">
        <v>74</v>
      </c>
      <c r="H769" t="s">
        <v>74</v>
      </c>
      <c r="I769" t="s">
        <v>14526</v>
      </c>
      <c r="J769" t="s">
        <v>14527</v>
      </c>
      <c r="K769" t="s">
        <v>74</v>
      </c>
      <c r="L769" t="s">
        <v>74</v>
      </c>
      <c r="M769" t="s">
        <v>78</v>
      </c>
      <c r="N769" t="s">
        <v>79</v>
      </c>
      <c r="O769" t="s">
        <v>74</v>
      </c>
      <c r="P769" t="s">
        <v>74</v>
      </c>
      <c r="Q769" t="s">
        <v>74</v>
      </c>
      <c r="R769" t="s">
        <v>74</v>
      </c>
      <c r="S769" t="s">
        <v>74</v>
      </c>
      <c r="T769" t="s">
        <v>14528</v>
      </c>
      <c r="U769" t="s">
        <v>14529</v>
      </c>
      <c r="V769" t="s">
        <v>14530</v>
      </c>
      <c r="W769" t="s">
        <v>14531</v>
      </c>
      <c r="X769" t="s">
        <v>14532</v>
      </c>
      <c r="Y769" t="s">
        <v>14533</v>
      </c>
      <c r="Z769" t="s">
        <v>14534</v>
      </c>
      <c r="AA769" t="s">
        <v>14535</v>
      </c>
      <c r="AB769" t="s">
        <v>74</v>
      </c>
      <c r="AC769" t="s">
        <v>14536</v>
      </c>
      <c r="AD769" t="s">
        <v>14537</v>
      </c>
      <c r="AE769" t="s">
        <v>14538</v>
      </c>
      <c r="AF769" t="s">
        <v>74</v>
      </c>
      <c r="AG769">
        <v>67</v>
      </c>
      <c r="AH769">
        <v>7</v>
      </c>
      <c r="AI769">
        <v>9</v>
      </c>
      <c r="AJ769">
        <v>3</v>
      </c>
      <c r="AK769">
        <v>68</v>
      </c>
      <c r="AL769" t="s">
        <v>2377</v>
      </c>
      <c r="AM769" t="s">
        <v>2378</v>
      </c>
      <c r="AN769" t="s">
        <v>2379</v>
      </c>
      <c r="AO769" t="s">
        <v>14539</v>
      </c>
      <c r="AP769" t="s">
        <v>14540</v>
      </c>
      <c r="AQ769" t="s">
        <v>74</v>
      </c>
      <c r="AR769" t="s">
        <v>14541</v>
      </c>
      <c r="AS769" t="s">
        <v>14542</v>
      </c>
      <c r="AT769" t="s">
        <v>12991</v>
      </c>
      <c r="AU769">
        <v>2016</v>
      </c>
      <c r="AV769">
        <v>53</v>
      </c>
      <c r="AW769">
        <v>6</v>
      </c>
      <c r="AX769" t="s">
        <v>74</v>
      </c>
      <c r="AY769" t="s">
        <v>74</v>
      </c>
      <c r="AZ769" t="s">
        <v>74</v>
      </c>
      <c r="BA769" t="s">
        <v>74</v>
      </c>
      <c r="BB769">
        <v>1880</v>
      </c>
      <c r="BC769">
        <v>1889</v>
      </c>
      <c r="BD769" t="s">
        <v>74</v>
      </c>
      <c r="BE769" t="s">
        <v>14543</v>
      </c>
      <c r="BF769" t="str">
        <f>HYPERLINK("http://dx.doi.org/10.1111/1365-2664.12751","http://dx.doi.org/10.1111/1365-2664.12751")</f>
        <v>http://dx.doi.org/10.1111/1365-2664.12751</v>
      </c>
      <c r="BG769" t="s">
        <v>74</v>
      </c>
      <c r="BH769" t="s">
        <v>74</v>
      </c>
      <c r="BI769">
        <v>10</v>
      </c>
      <c r="BJ769" t="s">
        <v>5867</v>
      </c>
      <c r="BK769" t="s">
        <v>101</v>
      </c>
      <c r="BL769" t="s">
        <v>2257</v>
      </c>
      <c r="BM769" t="s">
        <v>14544</v>
      </c>
      <c r="BN769" t="s">
        <v>74</v>
      </c>
      <c r="BO769" t="s">
        <v>2140</v>
      </c>
      <c r="BP769" t="s">
        <v>74</v>
      </c>
      <c r="BQ769" t="s">
        <v>74</v>
      </c>
      <c r="BR769" t="s">
        <v>105</v>
      </c>
      <c r="BS769" t="s">
        <v>14545</v>
      </c>
      <c r="BT769" t="str">
        <f>HYPERLINK("https%3A%2F%2Fwww.webofscience.com%2Fwos%2Fwoscc%2Ffull-record%2FWOS:000387768800025","View Full Record in Web of Science")</f>
        <v>View Full Record in Web of Science</v>
      </c>
    </row>
    <row r="770" spans="1:72" x14ac:dyDescent="0.15">
      <c r="A770" t="s">
        <v>72</v>
      </c>
      <c r="B770" t="s">
        <v>14546</v>
      </c>
      <c r="C770" t="s">
        <v>74</v>
      </c>
      <c r="D770" t="s">
        <v>74</v>
      </c>
      <c r="E770" t="s">
        <v>74</v>
      </c>
      <c r="F770" t="s">
        <v>14547</v>
      </c>
      <c r="G770" t="s">
        <v>74</v>
      </c>
      <c r="H770" t="s">
        <v>74</v>
      </c>
      <c r="I770" t="s">
        <v>14548</v>
      </c>
      <c r="J770" t="s">
        <v>14549</v>
      </c>
      <c r="K770" t="s">
        <v>74</v>
      </c>
      <c r="L770" t="s">
        <v>74</v>
      </c>
      <c r="M770" t="s">
        <v>78</v>
      </c>
      <c r="N770" t="s">
        <v>79</v>
      </c>
      <c r="O770" t="s">
        <v>74</v>
      </c>
      <c r="P770" t="s">
        <v>74</v>
      </c>
      <c r="Q770" t="s">
        <v>74</v>
      </c>
      <c r="R770" t="s">
        <v>74</v>
      </c>
      <c r="S770" t="s">
        <v>74</v>
      </c>
      <c r="T770" t="s">
        <v>14550</v>
      </c>
      <c r="U770" t="s">
        <v>14551</v>
      </c>
      <c r="V770" t="s">
        <v>14552</v>
      </c>
      <c r="W770" t="s">
        <v>14553</v>
      </c>
      <c r="X770" t="s">
        <v>14554</v>
      </c>
      <c r="Y770" t="s">
        <v>14555</v>
      </c>
      <c r="Z770" t="s">
        <v>14556</v>
      </c>
      <c r="AA770" t="s">
        <v>14557</v>
      </c>
      <c r="AB770" t="s">
        <v>14558</v>
      </c>
      <c r="AC770" t="s">
        <v>14559</v>
      </c>
      <c r="AD770" t="s">
        <v>14560</v>
      </c>
      <c r="AE770" t="s">
        <v>14561</v>
      </c>
      <c r="AF770" t="s">
        <v>74</v>
      </c>
      <c r="AG770">
        <v>23</v>
      </c>
      <c r="AH770">
        <v>1</v>
      </c>
      <c r="AI770">
        <v>1</v>
      </c>
      <c r="AJ770">
        <v>1</v>
      </c>
      <c r="AK770">
        <v>23</v>
      </c>
      <c r="AL770" t="s">
        <v>264</v>
      </c>
      <c r="AM770" t="s">
        <v>169</v>
      </c>
      <c r="AN770" t="s">
        <v>265</v>
      </c>
      <c r="AO770" t="s">
        <v>14562</v>
      </c>
      <c r="AP770" t="s">
        <v>14563</v>
      </c>
      <c r="AQ770" t="s">
        <v>74</v>
      </c>
      <c r="AR770" t="s">
        <v>14564</v>
      </c>
      <c r="AS770" t="s">
        <v>14565</v>
      </c>
      <c r="AT770" t="s">
        <v>12991</v>
      </c>
      <c r="AU770">
        <v>2016</v>
      </c>
      <c r="AV770">
        <v>10</v>
      </c>
      <c r="AW770">
        <v>4</v>
      </c>
      <c r="AX770" t="s">
        <v>74</v>
      </c>
      <c r="AY770" t="s">
        <v>74</v>
      </c>
      <c r="AZ770" t="s">
        <v>74</v>
      </c>
      <c r="BA770" t="s">
        <v>74</v>
      </c>
      <c r="BB770">
        <v>463</v>
      </c>
      <c r="BC770">
        <v>469</v>
      </c>
      <c r="BD770" t="s">
        <v>74</v>
      </c>
      <c r="BE770" t="s">
        <v>14566</v>
      </c>
      <c r="BF770" t="str">
        <f>HYPERLINK("http://dx.doi.org/10.1016/j.polar.2016.08.001","http://dx.doi.org/10.1016/j.polar.2016.08.001")</f>
        <v>http://dx.doi.org/10.1016/j.polar.2016.08.001</v>
      </c>
      <c r="BG770" t="s">
        <v>74</v>
      </c>
      <c r="BH770" t="s">
        <v>74</v>
      </c>
      <c r="BI770">
        <v>7</v>
      </c>
      <c r="BJ770" t="s">
        <v>1333</v>
      </c>
      <c r="BK770" t="s">
        <v>101</v>
      </c>
      <c r="BL770" t="s">
        <v>1334</v>
      </c>
      <c r="BM770" t="s">
        <v>14567</v>
      </c>
      <c r="BN770" t="s">
        <v>74</v>
      </c>
      <c r="BO770" t="s">
        <v>74</v>
      </c>
      <c r="BP770" t="s">
        <v>74</v>
      </c>
      <c r="BQ770" t="s">
        <v>74</v>
      </c>
      <c r="BR770" t="s">
        <v>105</v>
      </c>
      <c r="BS770" t="s">
        <v>14568</v>
      </c>
      <c r="BT770" t="str">
        <f>HYPERLINK("https%3A%2F%2Fwww.webofscience.com%2Fwos%2Fwoscc%2Ffull-record%2FWOS:000388510000001","View Full Record in Web of Science")</f>
        <v>View Full Record in Web of Science</v>
      </c>
    </row>
    <row r="771" spans="1:72" x14ac:dyDescent="0.15">
      <c r="A771" t="s">
        <v>72</v>
      </c>
      <c r="B771" t="s">
        <v>14569</v>
      </c>
      <c r="C771" t="s">
        <v>74</v>
      </c>
      <c r="D771" t="s">
        <v>74</v>
      </c>
      <c r="E771" t="s">
        <v>74</v>
      </c>
      <c r="F771" t="s">
        <v>14570</v>
      </c>
      <c r="G771" t="s">
        <v>74</v>
      </c>
      <c r="H771" t="s">
        <v>74</v>
      </c>
      <c r="I771" t="s">
        <v>14571</v>
      </c>
      <c r="J771" t="s">
        <v>14549</v>
      </c>
      <c r="K771" t="s">
        <v>74</v>
      </c>
      <c r="L771" t="s">
        <v>74</v>
      </c>
      <c r="M771" t="s">
        <v>78</v>
      </c>
      <c r="N771" t="s">
        <v>79</v>
      </c>
      <c r="O771" t="s">
        <v>74</v>
      </c>
      <c r="P771" t="s">
        <v>74</v>
      </c>
      <c r="Q771" t="s">
        <v>74</v>
      </c>
      <c r="R771" t="s">
        <v>74</v>
      </c>
      <c r="S771" t="s">
        <v>74</v>
      </c>
      <c r="T771" t="s">
        <v>14572</v>
      </c>
      <c r="U771" t="s">
        <v>14573</v>
      </c>
      <c r="V771" t="s">
        <v>14574</v>
      </c>
      <c r="W771" t="s">
        <v>14575</v>
      </c>
      <c r="X771" t="s">
        <v>14576</v>
      </c>
      <c r="Y771" t="s">
        <v>14577</v>
      </c>
      <c r="Z771" t="s">
        <v>14578</v>
      </c>
      <c r="AA771" t="s">
        <v>14579</v>
      </c>
      <c r="AB771" t="s">
        <v>14580</v>
      </c>
      <c r="AC771" t="s">
        <v>14576</v>
      </c>
      <c r="AD771" t="s">
        <v>14576</v>
      </c>
      <c r="AE771" t="s">
        <v>14581</v>
      </c>
      <c r="AF771" t="s">
        <v>74</v>
      </c>
      <c r="AG771">
        <v>34</v>
      </c>
      <c r="AH771">
        <v>15</v>
      </c>
      <c r="AI771">
        <v>16</v>
      </c>
      <c r="AJ771">
        <v>0</v>
      </c>
      <c r="AK771">
        <v>20</v>
      </c>
      <c r="AL771" t="s">
        <v>168</v>
      </c>
      <c r="AM771" t="s">
        <v>169</v>
      </c>
      <c r="AN771" t="s">
        <v>170</v>
      </c>
      <c r="AO771" t="s">
        <v>14562</v>
      </c>
      <c r="AP771" t="s">
        <v>14563</v>
      </c>
      <c r="AQ771" t="s">
        <v>74</v>
      </c>
      <c r="AR771" t="s">
        <v>14564</v>
      </c>
      <c r="AS771" t="s">
        <v>14565</v>
      </c>
      <c r="AT771" t="s">
        <v>12991</v>
      </c>
      <c r="AU771">
        <v>2016</v>
      </c>
      <c r="AV771">
        <v>10</v>
      </c>
      <c r="AW771">
        <v>4</v>
      </c>
      <c r="AX771" t="s">
        <v>74</v>
      </c>
      <c r="AY771" t="s">
        <v>74</v>
      </c>
      <c r="AZ771" t="s">
        <v>74</v>
      </c>
      <c r="BA771" t="s">
        <v>74</v>
      </c>
      <c r="BB771">
        <v>470</v>
      </c>
      <c r="BC771">
        <v>475</v>
      </c>
      <c r="BD771" t="s">
        <v>74</v>
      </c>
      <c r="BE771" t="s">
        <v>14582</v>
      </c>
      <c r="BF771" t="str">
        <f>HYPERLINK("http://dx.doi.org/10.1016/j.polar.2016.05.003","http://dx.doi.org/10.1016/j.polar.2016.05.003")</f>
        <v>http://dx.doi.org/10.1016/j.polar.2016.05.003</v>
      </c>
      <c r="BG771" t="s">
        <v>74</v>
      </c>
      <c r="BH771" t="s">
        <v>74</v>
      </c>
      <c r="BI771">
        <v>6</v>
      </c>
      <c r="BJ771" t="s">
        <v>1333</v>
      </c>
      <c r="BK771" t="s">
        <v>101</v>
      </c>
      <c r="BL771" t="s">
        <v>1334</v>
      </c>
      <c r="BM771" t="s">
        <v>14567</v>
      </c>
      <c r="BN771" t="s">
        <v>74</v>
      </c>
      <c r="BO771" t="s">
        <v>301</v>
      </c>
      <c r="BP771" t="s">
        <v>74</v>
      </c>
      <c r="BQ771" t="s">
        <v>74</v>
      </c>
      <c r="BR771" t="s">
        <v>105</v>
      </c>
      <c r="BS771" t="s">
        <v>14583</v>
      </c>
      <c r="BT771" t="str">
        <f>HYPERLINK("https%3A%2F%2Fwww.webofscience.com%2Fwos%2Fwoscc%2Ffull-record%2FWOS:000388510000002","View Full Record in Web of Science")</f>
        <v>View Full Record in Web of Science</v>
      </c>
    </row>
    <row r="772" spans="1:72" x14ac:dyDescent="0.15">
      <c r="A772" t="s">
        <v>72</v>
      </c>
      <c r="B772" t="s">
        <v>14584</v>
      </c>
      <c r="C772" t="s">
        <v>74</v>
      </c>
      <c r="D772" t="s">
        <v>74</v>
      </c>
      <c r="E772" t="s">
        <v>74</v>
      </c>
      <c r="F772" t="s">
        <v>14585</v>
      </c>
      <c r="G772" t="s">
        <v>74</v>
      </c>
      <c r="H772" t="s">
        <v>74</v>
      </c>
      <c r="I772" t="s">
        <v>14586</v>
      </c>
      <c r="J772" t="s">
        <v>14549</v>
      </c>
      <c r="K772" t="s">
        <v>74</v>
      </c>
      <c r="L772" t="s">
        <v>74</v>
      </c>
      <c r="M772" t="s">
        <v>78</v>
      </c>
      <c r="N772" t="s">
        <v>79</v>
      </c>
      <c r="O772" t="s">
        <v>74</v>
      </c>
      <c r="P772" t="s">
        <v>74</v>
      </c>
      <c r="Q772" t="s">
        <v>74</v>
      </c>
      <c r="R772" t="s">
        <v>74</v>
      </c>
      <c r="S772" t="s">
        <v>74</v>
      </c>
      <c r="T772" t="s">
        <v>14587</v>
      </c>
      <c r="U772" t="s">
        <v>14588</v>
      </c>
      <c r="V772" t="s">
        <v>14589</v>
      </c>
      <c r="W772" t="s">
        <v>14590</v>
      </c>
      <c r="X772" t="s">
        <v>14591</v>
      </c>
      <c r="Y772" t="s">
        <v>14592</v>
      </c>
      <c r="Z772" t="s">
        <v>14593</v>
      </c>
      <c r="AA772" t="s">
        <v>14594</v>
      </c>
      <c r="AB772" t="s">
        <v>14595</v>
      </c>
      <c r="AC772" t="s">
        <v>14596</v>
      </c>
      <c r="AD772" t="s">
        <v>14597</v>
      </c>
      <c r="AE772" t="s">
        <v>14598</v>
      </c>
      <c r="AF772" t="s">
        <v>74</v>
      </c>
      <c r="AG772">
        <v>36</v>
      </c>
      <c r="AH772">
        <v>6</v>
      </c>
      <c r="AI772">
        <v>6</v>
      </c>
      <c r="AJ772">
        <v>0</v>
      </c>
      <c r="AK772">
        <v>10</v>
      </c>
      <c r="AL772" t="s">
        <v>168</v>
      </c>
      <c r="AM772" t="s">
        <v>169</v>
      </c>
      <c r="AN772" t="s">
        <v>170</v>
      </c>
      <c r="AO772" t="s">
        <v>14562</v>
      </c>
      <c r="AP772" t="s">
        <v>14563</v>
      </c>
      <c r="AQ772" t="s">
        <v>74</v>
      </c>
      <c r="AR772" t="s">
        <v>14564</v>
      </c>
      <c r="AS772" t="s">
        <v>14565</v>
      </c>
      <c r="AT772" t="s">
        <v>12991</v>
      </c>
      <c r="AU772">
        <v>2016</v>
      </c>
      <c r="AV772">
        <v>10</v>
      </c>
      <c r="AW772">
        <v>4</v>
      </c>
      <c r="AX772" t="s">
        <v>74</v>
      </c>
      <c r="AY772" t="s">
        <v>74</v>
      </c>
      <c r="AZ772" t="s">
        <v>74</v>
      </c>
      <c r="BA772" t="s">
        <v>74</v>
      </c>
      <c r="BB772">
        <v>476</v>
      </c>
      <c r="BC772">
        <v>496</v>
      </c>
      <c r="BD772" t="s">
        <v>74</v>
      </c>
      <c r="BE772" t="s">
        <v>14599</v>
      </c>
      <c r="BF772" t="str">
        <f>HYPERLINK("http://dx.doi.org/10.1016/j.polar.2016.06.004","http://dx.doi.org/10.1016/j.polar.2016.06.004")</f>
        <v>http://dx.doi.org/10.1016/j.polar.2016.06.004</v>
      </c>
      <c r="BG772" t="s">
        <v>74</v>
      </c>
      <c r="BH772" t="s">
        <v>74</v>
      </c>
      <c r="BI772">
        <v>21</v>
      </c>
      <c r="BJ772" t="s">
        <v>1333</v>
      </c>
      <c r="BK772" t="s">
        <v>101</v>
      </c>
      <c r="BL772" t="s">
        <v>1334</v>
      </c>
      <c r="BM772" t="s">
        <v>14567</v>
      </c>
      <c r="BN772" t="s">
        <v>74</v>
      </c>
      <c r="BO772" t="s">
        <v>301</v>
      </c>
      <c r="BP772" t="s">
        <v>74</v>
      </c>
      <c r="BQ772" t="s">
        <v>74</v>
      </c>
      <c r="BR772" t="s">
        <v>105</v>
      </c>
      <c r="BS772" t="s">
        <v>14600</v>
      </c>
      <c r="BT772" t="str">
        <f>HYPERLINK("https%3A%2F%2Fwww.webofscience.com%2Fwos%2Fwoscc%2Ffull-record%2FWOS:000388510000003","View Full Record in Web of Science")</f>
        <v>View Full Record in Web of Science</v>
      </c>
    </row>
    <row r="773" spans="1:72" x14ac:dyDescent="0.15">
      <c r="A773" t="s">
        <v>72</v>
      </c>
      <c r="B773" t="s">
        <v>14601</v>
      </c>
      <c r="C773" t="s">
        <v>74</v>
      </c>
      <c r="D773" t="s">
        <v>74</v>
      </c>
      <c r="E773" t="s">
        <v>74</v>
      </c>
      <c r="F773" t="s">
        <v>14602</v>
      </c>
      <c r="G773" t="s">
        <v>74</v>
      </c>
      <c r="H773" t="s">
        <v>74</v>
      </c>
      <c r="I773" t="s">
        <v>14603</v>
      </c>
      <c r="J773" t="s">
        <v>14549</v>
      </c>
      <c r="K773" t="s">
        <v>74</v>
      </c>
      <c r="L773" t="s">
        <v>74</v>
      </c>
      <c r="M773" t="s">
        <v>78</v>
      </c>
      <c r="N773" t="s">
        <v>79</v>
      </c>
      <c r="O773" t="s">
        <v>74</v>
      </c>
      <c r="P773" t="s">
        <v>74</v>
      </c>
      <c r="Q773" t="s">
        <v>74</v>
      </c>
      <c r="R773" t="s">
        <v>74</v>
      </c>
      <c r="S773" t="s">
        <v>74</v>
      </c>
      <c r="T773" t="s">
        <v>14604</v>
      </c>
      <c r="U773" t="s">
        <v>74</v>
      </c>
      <c r="V773" t="s">
        <v>14605</v>
      </c>
      <c r="W773" t="s">
        <v>14606</v>
      </c>
      <c r="X773" t="s">
        <v>14607</v>
      </c>
      <c r="Y773" t="s">
        <v>14608</v>
      </c>
      <c r="Z773" t="s">
        <v>14609</v>
      </c>
      <c r="AA773" t="s">
        <v>74</v>
      </c>
      <c r="AB773" t="s">
        <v>14610</v>
      </c>
      <c r="AC773" t="s">
        <v>74</v>
      </c>
      <c r="AD773" t="s">
        <v>74</v>
      </c>
      <c r="AE773" t="s">
        <v>74</v>
      </c>
      <c r="AF773" t="s">
        <v>74</v>
      </c>
      <c r="AG773">
        <v>18</v>
      </c>
      <c r="AH773">
        <v>1</v>
      </c>
      <c r="AI773">
        <v>1</v>
      </c>
      <c r="AJ773">
        <v>0</v>
      </c>
      <c r="AK773">
        <v>8</v>
      </c>
      <c r="AL773" t="s">
        <v>264</v>
      </c>
      <c r="AM773" t="s">
        <v>169</v>
      </c>
      <c r="AN773" t="s">
        <v>265</v>
      </c>
      <c r="AO773" t="s">
        <v>14562</v>
      </c>
      <c r="AP773" t="s">
        <v>14563</v>
      </c>
      <c r="AQ773" t="s">
        <v>74</v>
      </c>
      <c r="AR773" t="s">
        <v>14564</v>
      </c>
      <c r="AS773" t="s">
        <v>14565</v>
      </c>
      <c r="AT773" t="s">
        <v>12991</v>
      </c>
      <c r="AU773">
        <v>2016</v>
      </c>
      <c r="AV773">
        <v>10</v>
      </c>
      <c r="AW773">
        <v>4</v>
      </c>
      <c r="AX773" t="s">
        <v>74</v>
      </c>
      <c r="AY773" t="s">
        <v>74</v>
      </c>
      <c r="AZ773" t="s">
        <v>74</v>
      </c>
      <c r="BA773" t="s">
        <v>74</v>
      </c>
      <c r="BB773">
        <v>511</v>
      </c>
      <c r="BC773">
        <v>518</v>
      </c>
      <c r="BD773" t="s">
        <v>74</v>
      </c>
      <c r="BE773" t="s">
        <v>14611</v>
      </c>
      <c r="BF773" t="str">
        <f>HYPERLINK("http://dx.doi.org/10.1016/j.polar.2016.08.004","http://dx.doi.org/10.1016/j.polar.2016.08.004")</f>
        <v>http://dx.doi.org/10.1016/j.polar.2016.08.004</v>
      </c>
      <c r="BG773" t="s">
        <v>74</v>
      </c>
      <c r="BH773" t="s">
        <v>74</v>
      </c>
      <c r="BI773">
        <v>8</v>
      </c>
      <c r="BJ773" t="s">
        <v>1333</v>
      </c>
      <c r="BK773" t="s">
        <v>101</v>
      </c>
      <c r="BL773" t="s">
        <v>1334</v>
      </c>
      <c r="BM773" t="s">
        <v>14567</v>
      </c>
      <c r="BN773" t="s">
        <v>74</v>
      </c>
      <c r="BO773" t="s">
        <v>301</v>
      </c>
      <c r="BP773" t="s">
        <v>74</v>
      </c>
      <c r="BQ773" t="s">
        <v>74</v>
      </c>
      <c r="BR773" t="s">
        <v>105</v>
      </c>
      <c r="BS773" t="s">
        <v>14612</v>
      </c>
      <c r="BT773" t="str">
        <f>HYPERLINK("https%3A%2F%2Fwww.webofscience.com%2Fwos%2Fwoscc%2Ffull-record%2FWOS:000388510000006","View Full Record in Web of Science")</f>
        <v>View Full Record in Web of Science</v>
      </c>
    </row>
    <row r="774" spans="1:72" x14ac:dyDescent="0.15">
      <c r="A774" t="s">
        <v>72</v>
      </c>
      <c r="B774" t="s">
        <v>14613</v>
      </c>
      <c r="C774" t="s">
        <v>74</v>
      </c>
      <c r="D774" t="s">
        <v>74</v>
      </c>
      <c r="E774" t="s">
        <v>74</v>
      </c>
      <c r="F774" t="s">
        <v>14614</v>
      </c>
      <c r="G774" t="s">
        <v>74</v>
      </c>
      <c r="H774" t="s">
        <v>74</v>
      </c>
      <c r="I774" t="s">
        <v>14615</v>
      </c>
      <c r="J774" t="s">
        <v>14616</v>
      </c>
      <c r="K774" t="s">
        <v>74</v>
      </c>
      <c r="L774" t="s">
        <v>74</v>
      </c>
      <c r="M774" t="s">
        <v>78</v>
      </c>
      <c r="N774" t="s">
        <v>79</v>
      </c>
      <c r="O774" t="s">
        <v>74</v>
      </c>
      <c r="P774" t="s">
        <v>74</v>
      </c>
      <c r="Q774" t="s">
        <v>74</v>
      </c>
      <c r="R774" t="s">
        <v>74</v>
      </c>
      <c r="S774" t="s">
        <v>74</v>
      </c>
      <c r="T774" t="s">
        <v>14617</v>
      </c>
      <c r="U774" t="s">
        <v>14618</v>
      </c>
      <c r="V774" t="s">
        <v>14619</v>
      </c>
      <c r="W774" t="s">
        <v>14620</v>
      </c>
      <c r="X774" t="s">
        <v>14621</v>
      </c>
      <c r="Y774" t="s">
        <v>14622</v>
      </c>
      <c r="Z774" t="s">
        <v>14623</v>
      </c>
      <c r="AA774" t="s">
        <v>74</v>
      </c>
      <c r="AB774" t="s">
        <v>14624</v>
      </c>
      <c r="AC774" t="s">
        <v>14625</v>
      </c>
      <c r="AD774" t="s">
        <v>14626</v>
      </c>
      <c r="AE774" t="s">
        <v>14627</v>
      </c>
      <c r="AF774" t="s">
        <v>74</v>
      </c>
      <c r="AG774">
        <v>53</v>
      </c>
      <c r="AH774">
        <v>3</v>
      </c>
      <c r="AI774">
        <v>4</v>
      </c>
      <c r="AJ774">
        <v>2</v>
      </c>
      <c r="AK774">
        <v>12</v>
      </c>
      <c r="AL774" t="s">
        <v>3097</v>
      </c>
      <c r="AM774" t="s">
        <v>187</v>
      </c>
      <c r="AN774" t="s">
        <v>3098</v>
      </c>
      <c r="AO774" t="s">
        <v>14628</v>
      </c>
      <c r="AP774" t="s">
        <v>14629</v>
      </c>
      <c r="AQ774" t="s">
        <v>74</v>
      </c>
      <c r="AR774" t="s">
        <v>14630</v>
      </c>
      <c r="AS774" t="s">
        <v>14631</v>
      </c>
      <c r="AT774" t="s">
        <v>12991</v>
      </c>
      <c r="AU774">
        <v>2016</v>
      </c>
      <c r="AV774">
        <v>28</v>
      </c>
      <c r="AW774">
        <v>6</v>
      </c>
      <c r="AX774" t="s">
        <v>74</v>
      </c>
      <c r="AY774" t="s">
        <v>74</v>
      </c>
      <c r="AZ774" t="s">
        <v>74</v>
      </c>
      <c r="BA774" t="s">
        <v>74</v>
      </c>
      <c r="BB774">
        <v>425</v>
      </c>
      <c r="BC774">
        <v>431</v>
      </c>
      <c r="BD774" t="s">
        <v>74</v>
      </c>
      <c r="BE774" t="s">
        <v>14632</v>
      </c>
      <c r="BF774" t="str">
        <f>HYPERLINK("http://dx.doi.org/10.1017/S0954102016000353","http://dx.doi.org/10.1017/S0954102016000353")</f>
        <v>http://dx.doi.org/10.1017/S0954102016000353</v>
      </c>
      <c r="BG774" t="s">
        <v>74</v>
      </c>
      <c r="BH774" t="s">
        <v>74</v>
      </c>
      <c r="BI774">
        <v>7</v>
      </c>
      <c r="BJ774" t="s">
        <v>8274</v>
      </c>
      <c r="BK774" t="s">
        <v>101</v>
      </c>
      <c r="BL774" t="s">
        <v>8275</v>
      </c>
      <c r="BM774" t="s">
        <v>14633</v>
      </c>
      <c r="BN774" t="s">
        <v>74</v>
      </c>
      <c r="BO774" t="s">
        <v>74</v>
      </c>
      <c r="BP774" t="s">
        <v>74</v>
      </c>
      <c r="BQ774" t="s">
        <v>74</v>
      </c>
      <c r="BR774" t="s">
        <v>105</v>
      </c>
      <c r="BS774" t="s">
        <v>14634</v>
      </c>
      <c r="BT774" t="str">
        <f>HYPERLINK("https%3A%2F%2Fwww.webofscience.com%2Fwos%2Fwoscc%2Ffull-record%2FWOS:000387980300003","View Full Record in Web of Science")</f>
        <v>View Full Record in Web of Science</v>
      </c>
    </row>
    <row r="775" spans="1:72" x14ac:dyDescent="0.15">
      <c r="A775" t="s">
        <v>72</v>
      </c>
      <c r="B775" t="s">
        <v>14635</v>
      </c>
      <c r="C775" t="s">
        <v>74</v>
      </c>
      <c r="D775" t="s">
        <v>74</v>
      </c>
      <c r="E775" t="s">
        <v>74</v>
      </c>
      <c r="F775" t="s">
        <v>14636</v>
      </c>
      <c r="G775" t="s">
        <v>74</v>
      </c>
      <c r="H775" t="s">
        <v>74</v>
      </c>
      <c r="I775" t="s">
        <v>14637</v>
      </c>
      <c r="J775" t="s">
        <v>14616</v>
      </c>
      <c r="K775" t="s">
        <v>74</v>
      </c>
      <c r="L775" t="s">
        <v>74</v>
      </c>
      <c r="M775" t="s">
        <v>78</v>
      </c>
      <c r="N775" t="s">
        <v>79</v>
      </c>
      <c r="O775" t="s">
        <v>74</v>
      </c>
      <c r="P775" t="s">
        <v>74</v>
      </c>
      <c r="Q775" t="s">
        <v>74</v>
      </c>
      <c r="R775" t="s">
        <v>74</v>
      </c>
      <c r="S775" t="s">
        <v>74</v>
      </c>
      <c r="T775" t="s">
        <v>14638</v>
      </c>
      <c r="U775" t="s">
        <v>14639</v>
      </c>
      <c r="V775" t="s">
        <v>14640</v>
      </c>
      <c r="W775" t="s">
        <v>14641</v>
      </c>
      <c r="X775" t="s">
        <v>14642</v>
      </c>
      <c r="Y775" t="s">
        <v>14643</v>
      </c>
      <c r="Z775" t="s">
        <v>14644</v>
      </c>
      <c r="AA775" t="s">
        <v>14645</v>
      </c>
      <c r="AB775" t="s">
        <v>14646</v>
      </c>
      <c r="AC775" t="s">
        <v>14647</v>
      </c>
      <c r="AD775" t="s">
        <v>14648</v>
      </c>
      <c r="AE775" t="s">
        <v>14649</v>
      </c>
      <c r="AF775" t="s">
        <v>74</v>
      </c>
      <c r="AG775">
        <v>47</v>
      </c>
      <c r="AH775">
        <v>5</v>
      </c>
      <c r="AI775">
        <v>5</v>
      </c>
      <c r="AJ775">
        <v>1</v>
      </c>
      <c r="AK775">
        <v>19</v>
      </c>
      <c r="AL775" t="s">
        <v>3097</v>
      </c>
      <c r="AM775" t="s">
        <v>187</v>
      </c>
      <c r="AN775" t="s">
        <v>3098</v>
      </c>
      <c r="AO775" t="s">
        <v>14628</v>
      </c>
      <c r="AP775" t="s">
        <v>14629</v>
      </c>
      <c r="AQ775" t="s">
        <v>74</v>
      </c>
      <c r="AR775" t="s">
        <v>14630</v>
      </c>
      <c r="AS775" t="s">
        <v>14631</v>
      </c>
      <c r="AT775" t="s">
        <v>12991</v>
      </c>
      <c r="AU775">
        <v>2016</v>
      </c>
      <c r="AV775">
        <v>28</v>
      </c>
      <c r="AW775">
        <v>6</v>
      </c>
      <c r="AX775" t="s">
        <v>74</v>
      </c>
      <c r="AY775" t="s">
        <v>74</v>
      </c>
      <c r="AZ775" t="s">
        <v>74</v>
      </c>
      <c r="BA775" t="s">
        <v>74</v>
      </c>
      <c r="BB775">
        <v>443</v>
      </c>
      <c r="BC775">
        <v>454</v>
      </c>
      <c r="BD775" t="s">
        <v>74</v>
      </c>
      <c r="BE775" t="s">
        <v>14650</v>
      </c>
      <c r="BF775" t="str">
        <f>HYPERLINK("http://dx.doi.org/10.1017/S0954102016000274","http://dx.doi.org/10.1017/S0954102016000274")</f>
        <v>http://dx.doi.org/10.1017/S0954102016000274</v>
      </c>
      <c r="BG775" t="s">
        <v>74</v>
      </c>
      <c r="BH775" t="s">
        <v>74</v>
      </c>
      <c r="BI775">
        <v>12</v>
      </c>
      <c r="BJ775" t="s">
        <v>8274</v>
      </c>
      <c r="BK775" t="s">
        <v>101</v>
      </c>
      <c r="BL775" t="s">
        <v>8275</v>
      </c>
      <c r="BM775" t="s">
        <v>14633</v>
      </c>
      <c r="BN775" t="s">
        <v>74</v>
      </c>
      <c r="BO775" t="s">
        <v>672</v>
      </c>
      <c r="BP775" t="s">
        <v>74</v>
      </c>
      <c r="BQ775" t="s">
        <v>74</v>
      </c>
      <c r="BR775" t="s">
        <v>105</v>
      </c>
      <c r="BS775" t="s">
        <v>14651</v>
      </c>
      <c r="BT775" t="str">
        <f>HYPERLINK("https%3A%2F%2Fwww.webofscience.com%2Fwos%2Fwoscc%2Ffull-record%2FWOS:000387980300005","View Full Record in Web of Science")</f>
        <v>View Full Record in Web of Science</v>
      </c>
    </row>
    <row r="776" spans="1:72" x14ac:dyDescent="0.15">
      <c r="A776" t="s">
        <v>72</v>
      </c>
      <c r="B776" t="s">
        <v>14652</v>
      </c>
      <c r="C776" t="s">
        <v>74</v>
      </c>
      <c r="D776" t="s">
        <v>74</v>
      </c>
      <c r="E776" t="s">
        <v>74</v>
      </c>
      <c r="F776" t="s">
        <v>14653</v>
      </c>
      <c r="G776" t="s">
        <v>74</v>
      </c>
      <c r="H776" t="s">
        <v>74</v>
      </c>
      <c r="I776" t="s">
        <v>14654</v>
      </c>
      <c r="J776" t="s">
        <v>14616</v>
      </c>
      <c r="K776" t="s">
        <v>74</v>
      </c>
      <c r="L776" t="s">
        <v>74</v>
      </c>
      <c r="M776" t="s">
        <v>78</v>
      </c>
      <c r="N776" t="s">
        <v>79</v>
      </c>
      <c r="O776" t="s">
        <v>74</v>
      </c>
      <c r="P776" t="s">
        <v>74</v>
      </c>
      <c r="Q776" t="s">
        <v>74</v>
      </c>
      <c r="R776" t="s">
        <v>74</v>
      </c>
      <c r="S776" t="s">
        <v>74</v>
      </c>
      <c r="T776" t="s">
        <v>14655</v>
      </c>
      <c r="U776" t="s">
        <v>14656</v>
      </c>
      <c r="V776" t="s">
        <v>14657</v>
      </c>
      <c r="W776" t="s">
        <v>14658</v>
      </c>
      <c r="X776" t="s">
        <v>14659</v>
      </c>
      <c r="Y776" t="s">
        <v>14660</v>
      </c>
      <c r="Z776" t="s">
        <v>14661</v>
      </c>
      <c r="AA776" t="s">
        <v>14662</v>
      </c>
      <c r="AB776" t="s">
        <v>14663</v>
      </c>
      <c r="AC776" t="s">
        <v>14664</v>
      </c>
      <c r="AD776" t="s">
        <v>14665</v>
      </c>
      <c r="AE776" t="s">
        <v>14666</v>
      </c>
      <c r="AF776" t="s">
        <v>74</v>
      </c>
      <c r="AG776">
        <v>38</v>
      </c>
      <c r="AH776">
        <v>7</v>
      </c>
      <c r="AI776">
        <v>7</v>
      </c>
      <c r="AJ776">
        <v>0</v>
      </c>
      <c r="AK776">
        <v>22</v>
      </c>
      <c r="AL776" t="s">
        <v>3097</v>
      </c>
      <c r="AM776" t="s">
        <v>187</v>
      </c>
      <c r="AN776" t="s">
        <v>3098</v>
      </c>
      <c r="AO776" t="s">
        <v>14628</v>
      </c>
      <c r="AP776" t="s">
        <v>14629</v>
      </c>
      <c r="AQ776" t="s">
        <v>74</v>
      </c>
      <c r="AR776" t="s">
        <v>14630</v>
      </c>
      <c r="AS776" t="s">
        <v>14631</v>
      </c>
      <c r="AT776" t="s">
        <v>12991</v>
      </c>
      <c r="AU776">
        <v>2016</v>
      </c>
      <c r="AV776">
        <v>28</v>
      </c>
      <c r="AW776">
        <v>6</v>
      </c>
      <c r="AX776" t="s">
        <v>74</v>
      </c>
      <c r="AY776" t="s">
        <v>74</v>
      </c>
      <c r="AZ776" t="s">
        <v>74</v>
      </c>
      <c r="BA776" t="s">
        <v>74</v>
      </c>
      <c r="BB776">
        <v>462</v>
      </c>
      <c r="BC776">
        <v>472</v>
      </c>
      <c r="BD776" t="s">
        <v>74</v>
      </c>
      <c r="BE776" t="s">
        <v>14667</v>
      </c>
      <c r="BF776" t="str">
        <f>HYPERLINK("http://dx.doi.org/10.1017/S0954102016000249","http://dx.doi.org/10.1017/S0954102016000249")</f>
        <v>http://dx.doi.org/10.1017/S0954102016000249</v>
      </c>
      <c r="BG776" t="s">
        <v>74</v>
      </c>
      <c r="BH776" t="s">
        <v>74</v>
      </c>
      <c r="BI776">
        <v>11</v>
      </c>
      <c r="BJ776" t="s">
        <v>8274</v>
      </c>
      <c r="BK776" t="s">
        <v>101</v>
      </c>
      <c r="BL776" t="s">
        <v>8275</v>
      </c>
      <c r="BM776" t="s">
        <v>14633</v>
      </c>
      <c r="BN776" t="s">
        <v>74</v>
      </c>
      <c r="BO776" t="s">
        <v>74</v>
      </c>
      <c r="BP776" t="s">
        <v>74</v>
      </c>
      <c r="BQ776" t="s">
        <v>74</v>
      </c>
      <c r="BR776" t="s">
        <v>105</v>
      </c>
      <c r="BS776" t="s">
        <v>14668</v>
      </c>
      <c r="BT776" t="str">
        <f>HYPERLINK("https%3A%2F%2Fwww.webofscience.com%2Fwos%2Fwoscc%2Ffull-record%2FWOS:000387980300007","View Full Record in Web of Science")</f>
        <v>View Full Record in Web of Science</v>
      </c>
    </row>
    <row r="777" spans="1:72" x14ac:dyDescent="0.15">
      <c r="A777" t="s">
        <v>72</v>
      </c>
      <c r="B777" t="s">
        <v>14669</v>
      </c>
      <c r="C777" t="s">
        <v>74</v>
      </c>
      <c r="D777" t="s">
        <v>74</v>
      </c>
      <c r="E777" t="s">
        <v>74</v>
      </c>
      <c r="F777" t="s">
        <v>14670</v>
      </c>
      <c r="G777" t="s">
        <v>74</v>
      </c>
      <c r="H777" t="s">
        <v>74</v>
      </c>
      <c r="I777" t="s">
        <v>14671</v>
      </c>
      <c r="J777" t="s">
        <v>14616</v>
      </c>
      <c r="K777" t="s">
        <v>74</v>
      </c>
      <c r="L777" t="s">
        <v>74</v>
      </c>
      <c r="M777" t="s">
        <v>78</v>
      </c>
      <c r="N777" t="s">
        <v>79</v>
      </c>
      <c r="O777" t="s">
        <v>74</v>
      </c>
      <c r="P777" t="s">
        <v>74</v>
      </c>
      <c r="Q777" t="s">
        <v>74</v>
      </c>
      <c r="R777" t="s">
        <v>74</v>
      </c>
      <c r="S777" t="s">
        <v>74</v>
      </c>
      <c r="T777" t="s">
        <v>74</v>
      </c>
      <c r="U777" t="s">
        <v>74</v>
      </c>
      <c r="V777" t="s">
        <v>74</v>
      </c>
      <c r="W777" t="s">
        <v>14672</v>
      </c>
      <c r="X777" t="s">
        <v>14673</v>
      </c>
      <c r="Y777" t="s">
        <v>14674</v>
      </c>
      <c r="Z777" t="s">
        <v>14675</v>
      </c>
      <c r="AA777" t="s">
        <v>14676</v>
      </c>
      <c r="AB777" t="s">
        <v>14677</v>
      </c>
      <c r="AC777" t="s">
        <v>14678</v>
      </c>
      <c r="AD777" t="s">
        <v>14679</v>
      </c>
      <c r="AE777" t="s">
        <v>14680</v>
      </c>
      <c r="AF777" t="s">
        <v>74</v>
      </c>
      <c r="AG777">
        <v>3</v>
      </c>
      <c r="AH777">
        <v>8</v>
      </c>
      <c r="AI777">
        <v>8</v>
      </c>
      <c r="AJ777">
        <v>0</v>
      </c>
      <c r="AK777">
        <v>5</v>
      </c>
      <c r="AL777" t="s">
        <v>3097</v>
      </c>
      <c r="AM777" t="s">
        <v>187</v>
      </c>
      <c r="AN777" t="s">
        <v>3098</v>
      </c>
      <c r="AO777" t="s">
        <v>14628</v>
      </c>
      <c r="AP777" t="s">
        <v>14629</v>
      </c>
      <c r="AQ777" t="s">
        <v>74</v>
      </c>
      <c r="AR777" t="s">
        <v>14630</v>
      </c>
      <c r="AS777" t="s">
        <v>14631</v>
      </c>
      <c r="AT777" t="s">
        <v>12991</v>
      </c>
      <c r="AU777">
        <v>2016</v>
      </c>
      <c r="AV777">
        <v>28</v>
      </c>
      <c r="AW777">
        <v>6</v>
      </c>
      <c r="AX777" t="s">
        <v>74</v>
      </c>
      <c r="AY777" t="s">
        <v>74</v>
      </c>
      <c r="AZ777" t="s">
        <v>74</v>
      </c>
      <c r="BA777" t="s">
        <v>74</v>
      </c>
      <c r="BB777">
        <v>473</v>
      </c>
      <c r="BC777">
        <v>474</v>
      </c>
      <c r="BD777" t="s">
        <v>74</v>
      </c>
      <c r="BE777" t="s">
        <v>14681</v>
      </c>
      <c r="BF777" t="str">
        <f>HYPERLINK("http://dx.doi.org/10.1017/S0954102016000377","http://dx.doi.org/10.1017/S0954102016000377")</f>
        <v>http://dx.doi.org/10.1017/S0954102016000377</v>
      </c>
      <c r="BG777" t="s">
        <v>74</v>
      </c>
      <c r="BH777" t="s">
        <v>74</v>
      </c>
      <c r="BI777">
        <v>2</v>
      </c>
      <c r="BJ777" t="s">
        <v>8274</v>
      </c>
      <c r="BK777" t="s">
        <v>101</v>
      </c>
      <c r="BL777" t="s">
        <v>8275</v>
      </c>
      <c r="BM777" t="s">
        <v>14633</v>
      </c>
      <c r="BN777" t="s">
        <v>74</v>
      </c>
      <c r="BO777" t="s">
        <v>74</v>
      </c>
      <c r="BP777" t="s">
        <v>74</v>
      </c>
      <c r="BQ777" t="s">
        <v>74</v>
      </c>
      <c r="BR777" t="s">
        <v>105</v>
      </c>
      <c r="BS777" t="s">
        <v>14682</v>
      </c>
      <c r="BT777" t="str">
        <f>HYPERLINK("https%3A%2F%2Fwww.webofscience.com%2Fwos%2Fwoscc%2Ffull-record%2FWOS:000387980300008","View Full Record in Web of Science")</f>
        <v>View Full Record in Web of Science</v>
      </c>
    </row>
    <row r="778" spans="1:72" x14ac:dyDescent="0.15">
      <c r="A778" t="s">
        <v>72</v>
      </c>
      <c r="B778" t="s">
        <v>14683</v>
      </c>
      <c r="C778" t="s">
        <v>74</v>
      </c>
      <c r="D778" t="s">
        <v>74</v>
      </c>
      <c r="E778" t="s">
        <v>74</v>
      </c>
      <c r="F778" t="s">
        <v>14684</v>
      </c>
      <c r="G778" t="s">
        <v>74</v>
      </c>
      <c r="H778" t="s">
        <v>74</v>
      </c>
      <c r="I778" t="s">
        <v>14685</v>
      </c>
      <c r="J778" t="s">
        <v>14616</v>
      </c>
      <c r="K778" t="s">
        <v>74</v>
      </c>
      <c r="L778" t="s">
        <v>74</v>
      </c>
      <c r="M778" t="s">
        <v>78</v>
      </c>
      <c r="N778" t="s">
        <v>79</v>
      </c>
      <c r="O778" t="s">
        <v>74</v>
      </c>
      <c r="P778" t="s">
        <v>74</v>
      </c>
      <c r="Q778" t="s">
        <v>74</v>
      </c>
      <c r="R778" t="s">
        <v>74</v>
      </c>
      <c r="S778" t="s">
        <v>74</v>
      </c>
      <c r="T778" t="s">
        <v>14686</v>
      </c>
      <c r="U778" t="s">
        <v>14687</v>
      </c>
      <c r="V778" t="s">
        <v>14688</v>
      </c>
      <c r="W778" t="s">
        <v>14689</v>
      </c>
      <c r="X778" t="s">
        <v>14690</v>
      </c>
      <c r="Y778" t="s">
        <v>14691</v>
      </c>
      <c r="Z778" t="s">
        <v>14692</v>
      </c>
      <c r="AA778" t="s">
        <v>14693</v>
      </c>
      <c r="AB778" t="s">
        <v>14694</v>
      </c>
      <c r="AC778" t="s">
        <v>14695</v>
      </c>
      <c r="AD778" t="s">
        <v>14696</v>
      </c>
      <c r="AE778" t="s">
        <v>14697</v>
      </c>
      <c r="AF778" t="s">
        <v>74</v>
      </c>
      <c r="AG778">
        <v>37</v>
      </c>
      <c r="AH778">
        <v>17</v>
      </c>
      <c r="AI778">
        <v>17</v>
      </c>
      <c r="AJ778">
        <v>0</v>
      </c>
      <c r="AK778">
        <v>17</v>
      </c>
      <c r="AL778" t="s">
        <v>3097</v>
      </c>
      <c r="AM778" t="s">
        <v>187</v>
      </c>
      <c r="AN778" t="s">
        <v>3098</v>
      </c>
      <c r="AO778" t="s">
        <v>14628</v>
      </c>
      <c r="AP778" t="s">
        <v>14629</v>
      </c>
      <c r="AQ778" t="s">
        <v>74</v>
      </c>
      <c r="AR778" t="s">
        <v>14630</v>
      </c>
      <c r="AS778" t="s">
        <v>14631</v>
      </c>
      <c r="AT778" t="s">
        <v>12991</v>
      </c>
      <c r="AU778">
        <v>2016</v>
      </c>
      <c r="AV778">
        <v>28</v>
      </c>
      <c r="AW778">
        <v>6</v>
      </c>
      <c r="AX778" t="s">
        <v>74</v>
      </c>
      <c r="AY778" t="s">
        <v>74</v>
      </c>
      <c r="AZ778" t="s">
        <v>74</v>
      </c>
      <c r="BA778" t="s">
        <v>74</v>
      </c>
      <c r="BB778">
        <v>475</v>
      </c>
      <c r="BC778">
        <v>486</v>
      </c>
      <c r="BD778" t="s">
        <v>74</v>
      </c>
      <c r="BE778" t="s">
        <v>14698</v>
      </c>
      <c r="BF778" t="str">
        <f>HYPERLINK("http://dx.doi.org/10.1017/S0954102016000262","http://dx.doi.org/10.1017/S0954102016000262")</f>
        <v>http://dx.doi.org/10.1017/S0954102016000262</v>
      </c>
      <c r="BG778" t="s">
        <v>74</v>
      </c>
      <c r="BH778" t="s">
        <v>74</v>
      </c>
      <c r="BI778">
        <v>12</v>
      </c>
      <c r="BJ778" t="s">
        <v>8274</v>
      </c>
      <c r="BK778" t="s">
        <v>101</v>
      </c>
      <c r="BL778" t="s">
        <v>8275</v>
      </c>
      <c r="BM778" t="s">
        <v>14633</v>
      </c>
      <c r="BN778" t="s">
        <v>74</v>
      </c>
      <c r="BO778" t="s">
        <v>74</v>
      </c>
      <c r="BP778" t="s">
        <v>74</v>
      </c>
      <c r="BQ778" t="s">
        <v>74</v>
      </c>
      <c r="BR778" t="s">
        <v>105</v>
      </c>
      <c r="BS778" t="s">
        <v>14699</v>
      </c>
      <c r="BT778" t="str">
        <f>HYPERLINK("https%3A%2F%2Fwww.webofscience.com%2Fwos%2Fwoscc%2Ffull-record%2FWOS:000387980300009","View Full Record in Web of Science")</f>
        <v>View Full Record in Web of Science</v>
      </c>
    </row>
    <row r="779" spans="1:72" x14ac:dyDescent="0.15">
      <c r="A779" t="s">
        <v>72</v>
      </c>
      <c r="B779" t="s">
        <v>14700</v>
      </c>
      <c r="C779" t="s">
        <v>74</v>
      </c>
      <c r="D779" t="s">
        <v>74</v>
      </c>
      <c r="E779" t="s">
        <v>74</v>
      </c>
      <c r="F779" t="s">
        <v>14701</v>
      </c>
      <c r="G779" t="s">
        <v>74</v>
      </c>
      <c r="H779" t="s">
        <v>74</v>
      </c>
      <c r="I779" t="s">
        <v>14702</v>
      </c>
      <c r="J779" t="s">
        <v>14616</v>
      </c>
      <c r="K779" t="s">
        <v>74</v>
      </c>
      <c r="L779" t="s">
        <v>74</v>
      </c>
      <c r="M779" t="s">
        <v>78</v>
      </c>
      <c r="N779" t="s">
        <v>79</v>
      </c>
      <c r="O779" t="s">
        <v>74</v>
      </c>
      <c r="P779" t="s">
        <v>74</v>
      </c>
      <c r="Q779" t="s">
        <v>74</v>
      </c>
      <c r="R779" t="s">
        <v>74</v>
      </c>
      <c r="S779" t="s">
        <v>74</v>
      </c>
      <c r="T779" t="s">
        <v>14703</v>
      </c>
      <c r="U779" t="s">
        <v>14704</v>
      </c>
      <c r="V779" t="s">
        <v>14705</v>
      </c>
      <c r="W779" t="s">
        <v>14706</v>
      </c>
      <c r="X779" t="s">
        <v>14707</v>
      </c>
      <c r="Y779" t="s">
        <v>14708</v>
      </c>
      <c r="Z779" t="s">
        <v>14709</v>
      </c>
      <c r="AA779" t="s">
        <v>74</v>
      </c>
      <c r="AB779" t="s">
        <v>14710</v>
      </c>
      <c r="AC779" t="s">
        <v>14711</v>
      </c>
      <c r="AD779" t="s">
        <v>14712</v>
      </c>
      <c r="AE779" t="s">
        <v>14713</v>
      </c>
      <c r="AF779" t="s">
        <v>74</v>
      </c>
      <c r="AG779">
        <v>55</v>
      </c>
      <c r="AH779">
        <v>10</v>
      </c>
      <c r="AI779">
        <v>10</v>
      </c>
      <c r="AJ779">
        <v>0</v>
      </c>
      <c r="AK779">
        <v>13</v>
      </c>
      <c r="AL779" t="s">
        <v>3097</v>
      </c>
      <c r="AM779" t="s">
        <v>187</v>
      </c>
      <c r="AN779" t="s">
        <v>3098</v>
      </c>
      <c r="AO779" t="s">
        <v>14628</v>
      </c>
      <c r="AP779" t="s">
        <v>14629</v>
      </c>
      <c r="AQ779" t="s">
        <v>74</v>
      </c>
      <c r="AR779" t="s">
        <v>14630</v>
      </c>
      <c r="AS779" t="s">
        <v>14631</v>
      </c>
      <c r="AT779" t="s">
        <v>12991</v>
      </c>
      <c r="AU779">
        <v>2016</v>
      </c>
      <c r="AV779">
        <v>28</v>
      </c>
      <c r="AW779">
        <v>6</v>
      </c>
      <c r="AX779" t="s">
        <v>74</v>
      </c>
      <c r="AY779" t="s">
        <v>74</v>
      </c>
      <c r="AZ779" t="s">
        <v>74</v>
      </c>
      <c r="BA779" t="s">
        <v>74</v>
      </c>
      <c r="BB779">
        <v>487</v>
      </c>
      <c r="BC779">
        <v>503</v>
      </c>
      <c r="BD779" t="s">
        <v>74</v>
      </c>
      <c r="BE779" t="s">
        <v>14714</v>
      </c>
      <c r="BF779" t="str">
        <f>HYPERLINK("http://dx.doi.org/10.1017/S095410201600033X","http://dx.doi.org/10.1017/S095410201600033X")</f>
        <v>http://dx.doi.org/10.1017/S095410201600033X</v>
      </c>
      <c r="BG779" t="s">
        <v>74</v>
      </c>
      <c r="BH779" t="s">
        <v>74</v>
      </c>
      <c r="BI779">
        <v>17</v>
      </c>
      <c r="BJ779" t="s">
        <v>8274</v>
      </c>
      <c r="BK779" t="s">
        <v>101</v>
      </c>
      <c r="BL779" t="s">
        <v>8275</v>
      </c>
      <c r="BM779" t="s">
        <v>14633</v>
      </c>
      <c r="BN779" t="s">
        <v>74</v>
      </c>
      <c r="BO779" t="s">
        <v>74</v>
      </c>
      <c r="BP779" t="s">
        <v>74</v>
      </c>
      <c r="BQ779" t="s">
        <v>74</v>
      </c>
      <c r="BR779" t="s">
        <v>105</v>
      </c>
      <c r="BS779" t="s">
        <v>14715</v>
      </c>
      <c r="BT779" t="str">
        <f>HYPERLINK("https%3A%2F%2Fwww.webofscience.com%2Fwos%2Fwoscc%2Ffull-record%2FWOS:000387980300010","View Full Record in Web of Science")</f>
        <v>View Full Record in Web of Science</v>
      </c>
    </row>
    <row r="780" spans="1:72" x14ac:dyDescent="0.15">
      <c r="A780" t="s">
        <v>72</v>
      </c>
      <c r="B780" t="s">
        <v>14716</v>
      </c>
      <c r="C780" t="s">
        <v>74</v>
      </c>
      <c r="D780" t="s">
        <v>74</v>
      </c>
      <c r="E780" t="s">
        <v>74</v>
      </c>
      <c r="F780" t="s">
        <v>14717</v>
      </c>
      <c r="G780" t="s">
        <v>74</v>
      </c>
      <c r="H780" t="s">
        <v>74</v>
      </c>
      <c r="I780" t="s">
        <v>14718</v>
      </c>
      <c r="J780" t="s">
        <v>14719</v>
      </c>
      <c r="K780" t="s">
        <v>74</v>
      </c>
      <c r="L780" t="s">
        <v>74</v>
      </c>
      <c r="M780" t="s">
        <v>78</v>
      </c>
      <c r="N780" t="s">
        <v>79</v>
      </c>
      <c r="O780" t="s">
        <v>74</v>
      </c>
      <c r="P780" t="s">
        <v>74</v>
      </c>
      <c r="Q780" t="s">
        <v>74</v>
      </c>
      <c r="R780" t="s">
        <v>74</v>
      </c>
      <c r="S780" t="s">
        <v>74</v>
      </c>
      <c r="T780" t="s">
        <v>14720</v>
      </c>
      <c r="U780" t="s">
        <v>14721</v>
      </c>
      <c r="V780" t="s">
        <v>14722</v>
      </c>
      <c r="W780" t="s">
        <v>14723</v>
      </c>
      <c r="X780" t="s">
        <v>14724</v>
      </c>
      <c r="Y780" t="s">
        <v>14725</v>
      </c>
      <c r="Z780" t="s">
        <v>14726</v>
      </c>
      <c r="AA780" t="s">
        <v>14727</v>
      </c>
      <c r="AB780" t="s">
        <v>14728</v>
      </c>
      <c r="AC780" t="s">
        <v>14729</v>
      </c>
      <c r="AD780" t="s">
        <v>14730</v>
      </c>
      <c r="AE780" t="s">
        <v>14731</v>
      </c>
      <c r="AF780" t="s">
        <v>74</v>
      </c>
      <c r="AG780">
        <v>65</v>
      </c>
      <c r="AH780">
        <v>20</v>
      </c>
      <c r="AI780">
        <v>23</v>
      </c>
      <c r="AJ780">
        <v>2</v>
      </c>
      <c r="AK780">
        <v>157</v>
      </c>
      <c r="AL780" t="s">
        <v>7819</v>
      </c>
      <c r="AM780" t="s">
        <v>7820</v>
      </c>
      <c r="AN780" t="s">
        <v>7821</v>
      </c>
      <c r="AO780" t="s">
        <v>14732</v>
      </c>
      <c r="AP780" t="s">
        <v>14733</v>
      </c>
      <c r="AQ780" t="s">
        <v>74</v>
      </c>
      <c r="AR780" t="s">
        <v>14734</v>
      </c>
      <c r="AS780" t="s">
        <v>14735</v>
      </c>
      <c r="AT780" t="s">
        <v>12991</v>
      </c>
      <c r="AU780">
        <v>2016</v>
      </c>
      <c r="AV780">
        <v>35</v>
      </c>
      <c r="AW780">
        <v>4</v>
      </c>
      <c r="AX780" t="s">
        <v>74</v>
      </c>
      <c r="AY780" t="s">
        <v>74</v>
      </c>
      <c r="AZ780" t="s">
        <v>74</v>
      </c>
      <c r="BA780" t="s">
        <v>74</v>
      </c>
      <c r="BB780">
        <v>1164</v>
      </c>
      <c r="BC780">
        <v>1175</v>
      </c>
      <c r="BD780" t="s">
        <v>74</v>
      </c>
      <c r="BE780" t="s">
        <v>14736</v>
      </c>
      <c r="BF780" t="str">
        <f>HYPERLINK("http://dx.doi.org/10.1086/688872","http://dx.doi.org/10.1086/688872")</f>
        <v>http://dx.doi.org/10.1086/688872</v>
      </c>
      <c r="BG780" t="s">
        <v>74</v>
      </c>
      <c r="BH780" t="s">
        <v>74</v>
      </c>
      <c r="BI780">
        <v>12</v>
      </c>
      <c r="BJ780" t="s">
        <v>9526</v>
      </c>
      <c r="BK780" t="s">
        <v>101</v>
      </c>
      <c r="BL780" t="s">
        <v>1124</v>
      </c>
      <c r="BM780" t="s">
        <v>14737</v>
      </c>
      <c r="BN780" t="s">
        <v>74</v>
      </c>
      <c r="BO780" t="s">
        <v>488</v>
      </c>
      <c r="BP780" t="s">
        <v>74</v>
      </c>
      <c r="BQ780" t="s">
        <v>74</v>
      </c>
      <c r="BR780" t="s">
        <v>105</v>
      </c>
      <c r="BS780" t="s">
        <v>14738</v>
      </c>
      <c r="BT780" t="str">
        <f>HYPERLINK("https%3A%2F%2Fwww.webofscience.com%2Fwos%2Fwoscc%2Ffull-record%2FWOS:000388080700009","View Full Record in Web of Science")</f>
        <v>View Full Record in Web of Science</v>
      </c>
    </row>
    <row r="781" spans="1:72" x14ac:dyDescent="0.15">
      <c r="A781" t="s">
        <v>72</v>
      </c>
      <c r="B781" t="s">
        <v>14739</v>
      </c>
      <c r="C781" t="s">
        <v>74</v>
      </c>
      <c r="D781" t="s">
        <v>74</v>
      </c>
      <c r="E781" t="s">
        <v>74</v>
      </c>
      <c r="F781" t="s">
        <v>14740</v>
      </c>
      <c r="G781" t="s">
        <v>74</v>
      </c>
      <c r="H781" t="s">
        <v>74</v>
      </c>
      <c r="I781" t="s">
        <v>14741</v>
      </c>
      <c r="J781" t="s">
        <v>14616</v>
      </c>
      <c r="K781" t="s">
        <v>74</v>
      </c>
      <c r="L781" t="s">
        <v>74</v>
      </c>
      <c r="M781" t="s">
        <v>78</v>
      </c>
      <c r="N781" t="s">
        <v>185</v>
      </c>
      <c r="O781" t="s">
        <v>74</v>
      </c>
      <c r="P781" t="s">
        <v>74</v>
      </c>
      <c r="Q781" t="s">
        <v>74</v>
      </c>
      <c r="R781" t="s">
        <v>74</v>
      </c>
      <c r="S781" t="s">
        <v>74</v>
      </c>
      <c r="T781" t="s">
        <v>74</v>
      </c>
      <c r="U781" t="s">
        <v>74</v>
      </c>
      <c r="V781" t="s">
        <v>74</v>
      </c>
      <c r="W781" t="s">
        <v>74</v>
      </c>
      <c r="X781" t="s">
        <v>74</v>
      </c>
      <c r="Y781" t="s">
        <v>74</v>
      </c>
      <c r="Z781" t="s">
        <v>74</v>
      </c>
      <c r="AA781" t="s">
        <v>14742</v>
      </c>
      <c r="AB781" t="s">
        <v>14743</v>
      </c>
      <c r="AC781" t="s">
        <v>74</v>
      </c>
      <c r="AD781" t="s">
        <v>74</v>
      </c>
      <c r="AE781" t="s">
        <v>74</v>
      </c>
      <c r="AF781" t="s">
        <v>74</v>
      </c>
      <c r="AG781">
        <v>0</v>
      </c>
      <c r="AH781">
        <v>0</v>
      </c>
      <c r="AI781">
        <v>0</v>
      </c>
      <c r="AJ781">
        <v>0</v>
      </c>
      <c r="AK781">
        <v>11</v>
      </c>
      <c r="AL781" t="s">
        <v>3097</v>
      </c>
      <c r="AM781" t="s">
        <v>187</v>
      </c>
      <c r="AN781" t="s">
        <v>3098</v>
      </c>
      <c r="AO781" t="s">
        <v>14628</v>
      </c>
      <c r="AP781" t="s">
        <v>14629</v>
      </c>
      <c r="AQ781" t="s">
        <v>74</v>
      </c>
      <c r="AR781" t="s">
        <v>14630</v>
      </c>
      <c r="AS781" t="s">
        <v>14631</v>
      </c>
      <c r="AT781" t="s">
        <v>12991</v>
      </c>
      <c r="AU781">
        <v>2016</v>
      </c>
      <c r="AV781">
        <v>28</v>
      </c>
      <c r="AW781">
        <v>6</v>
      </c>
      <c r="AX781" t="s">
        <v>74</v>
      </c>
      <c r="AY781" t="s">
        <v>74</v>
      </c>
      <c r="AZ781" t="s">
        <v>74</v>
      </c>
      <c r="BA781" t="s">
        <v>74</v>
      </c>
      <c r="BB781">
        <v>405</v>
      </c>
      <c r="BC781">
        <v>405</v>
      </c>
      <c r="BD781" t="s">
        <v>74</v>
      </c>
      <c r="BE781" t="s">
        <v>14744</v>
      </c>
      <c r="BF781" t="str">
        <f>HYPERLINK("http://dx.doi.org/10.1017/S0954102016000523","http://dx.doi.org/10.1017/S0954102016000523")</f>
        <v>http://dx.doi.org/10.1017/S0954102016000523</v>
      </c>
      <c r="BG781" t="s">
        <v>74</v>
      </c>
      <c r="BH781" t="s">
        <v>74</v>
      </c>
      <c r="BI781">
        <v>1</v>
      </c>
      <c r="BJ781" t="s">
        <v>8274</v>
      </c>
      <c r="BK781" t="s">
        <v>101</v>
      </c>
      <c r="BL781" t="s">
        <v>8275</v>
      </c>
      <c r="BM781" t="s">
        <v>14633</v>
      </c>
      <c r="BN781" t="s">
        <v>74</v>
      </c>
      <c r="BO781" t="s">
        <v>672</v>
      </c>
      <c r="BP781" t="s">
        <v>74</v>
      </c>
      <c r="BQ781" t="s">
        <v>74</v>
      </c>
      <c r="BR781" t="s">
        <v>105</v>
      </c>
      <c r="BS781" t="s">
        <v>14745</v>
      </c>
      <c r="BT781" t="str">
        <f>HYPERLINK("https%3A%2F%2Fwww.webofscience.com%2Fwos%2Fwoscc%2Ffull-record%2FWOS:000387980300001","View Full Record in Web of Science")</f>
        <v>View Full Record in Web of Science</v>
      </c>
    </row>
    <row r="782" spans="1:72" x14ac:dyDescent="0.15">
      <c r="A782" t="s">
        <v>72</v>
      </c>
      <c r="B782" t="s">
        <v>14746</v>
      </c>
      <c r="C782" t="s">
        <v>74</v>
      </c>
      <c r="D782" t="s">
        <v>74</v>
      </c>
      <c r="E782" t="s">
        <v>74</v>
      </c>
      <c r="F782" t="s">
        <v>14747</v>
      </c>
      <c r="G782" t="s">
        <v>74</v>
      </c>
      <c r="H782" t="s">
        <v>74</v>
      </c>
      <c r="I782" t="s">
        <v>14748</v>
      </c>
      <c r="J782" t="s">
        <v>14616</v>
      </c>
      <c r="K782" t="s">
        <v>74</v>
      </c>
      <c r="L782" t="s">
        <v>74</v>
      </c>
      <c r="M782" t="s">
        <v>78</v>
      </c>
      <c r="N782" t="s">
        <v>79</v>
      </c>
      <c r="O782" t="s">
        <v>74</v>
      </c>
      <c r="P782" t="s">
        <v>74</v>
      </c>
      <c r="Q782" t="s">
        <v>74</v>
      </c>
      <c r="R782" t="s">
        <v>74</v>
      </c>
      <c r="S782" t="s">
        <v>74</v>
      </c>
      <c r="T782" t="s">
        <v>14749</v>
      </c>
      <c r="U782" t="s">
        <v>14750</v>
      </c>
      <c r="V782" t="s">
        <v>14751</v>
      </c>
      <c r="W782" t="s">
        <v>14752</v>
      </c>
      <c r="X782" t="s">
        <v>14753</v>
      </c>
      <c r="Y782" t="s">
        <v>14754</v>
      </c>
      <c r="Z782" t="s">
        <v>14755</v>
      </c>
      <c r="AA782" t="s">
        <v>14756</v>
      </c>
      <c r="AB782" t="s">
        <v>14757</v>
      </c>
      <c r="AC782" t="s">
        <v>14758</v>
      </c>
      <c r="AD782" t="s">
        <v>14759</v>
      </c>
      <c r="AE782" t="s">
        <v>14760</v>
      </c>
      <c r="AF782" t="s">
        <v>74</v>
      </c>
      <c r="AG782">
        <v>34</v>
      </c>
      <c r="AH782">
        <v>32</v>
      </c>
      <c r="AI782">
        <v>32</v>
      </c>
      <c r="AJ782">
        <v>0</v>
      </c>
      <c r="AK782">
        <v>40</v>
      </c>
      <c r="AL782" t="s">
        <v>3097</v>
      </c>
      <c r="AM782" t="s">
        <v>187</v>
      </c>
      <c r="AN782" t="s">
        <v>3098</v>
      </c>
      <c r="AO782" t="s">
        <v>14628</v>
      </c>
      <c r="AP782" t="s">
        <v>14629</v>
      </c>
      <c r="AQ782" t="s">
        <v>74</v>
      </c>
      <c r="AR782" t="s">
        <v>14630</v>
      </c>
      <c r="AS782" t="s">
        <v>14631</v>
      </c>
      <c r="AT782" t="s">
        <v>12991</v>
      </c>
      <c r="AU782">
        <v>2016</v>
      </c>
      <c r="AV782">
        <v>28</v>
      </c>
      <c r="AW782">
        <v>6</v>
      </c>
      <c r="AX782" t="s">
        <v>74</v>
      </c>
      <c r="AY782" t="s">
        <v>74</v>
      </c>
      <c r="AZ782" t="s">
        <v>74</v>
      </c>
      <c r="BA782" t="s">
        <v>74</v>
      </c>
      <c r="BB782">
        <v>407</v>
      </c>
      <c r="BC782">
        <v>423</v>
      </c>
      <c r="BD782" t="s">
        <v>74</v>
      </c>
      <c r="BE782" t="s">
        <v>14761</v>
      </c>
      <c r="BF782" t="str">
        <f>HYPERLINK("http://dx.doi.org/10.1017/S0954102016000481","http://dx.doi.org/10.1017/S0954102016000481")</f>
        <v>http://dx.doi.org/10.1017/S0954102016000481</v>
      </c>
      <c r="BG782" t="s">
        <v>74</v>
      </c>
      <c r="BH782" t="s">
        <v>74</v>
      </c>
      <c r="BI782">
        <v>17</v>
      </c>
      <c r="BJ782" t="s">
        <v>8274</v>
      </c>
      <c r="BK782" t="s">
        <v>101</v>
      </c>
      <c r="BL782" t="s">
        <v>8275</v>
      </c>
      <c r="BM782" t="s">
        <v>14633</v>
      </c>
      <c r="BN782" t="s">
        <v>74</v>
      </c>
      <c r="BO782" t="s">
        <v>14762</v>
      </c>
      <c r="BP782" t="s">
        <v>74</v>
      </c>
      <c r="BQ782" t="s">
        <v>74</v>
      </c>
      <c r="BR782" t="s">
        <v>105</v>
      </c>
      <c r="BS782" t="s">
        <v>14763</v>
      </c>
      <c r="BT782" t="str">
        <f>HYPERLINK("https%3A%2F%2Fwww.webofscience.com%2Fwos%2Fwoscc%2Ffull-record%2FWOS:000387980300002","View Full Record in Web of Science")</f>
        <v>View Full Record in Web of Science</v>
      </c>
    </row>
    <row r="783" spans="1:72" x14ac:dyDescent="0.15">
      <c r="A783" t="s">
        <v>72</v>
      </c>
      <c r="B783" t="s">
        <v>14764</v>
      </c>
      <c r="C783" t="s">
        <v>74</v>
      </c>
      <c r="D783" t="s">
        <v>74</v>
      </c>
      <c r="E783" t="s">
        <v>74</v>
      </c>
      <c r="F783" t="s">
        <v>14765</v>
      </c>
      <c r="G783" t="s">
        <v>74</v>
      </c>
      <c r="H783" t="s">
        <v>74</v>
      </c>
      <c r="I783" t="s">
        <v>14766</v>
      </c>
      <c r="J783" t="s">
        <v>14616</v>
      </c>
      <c r="K783" t="s">
        <v>74</v>
      </c>
      <c r="L783" t="s">
        <v>74</v>
      </c>
      <c r="M783" t="s">
        <v>78</v>
      </c>
      <c r="N783" t="s">
        <v>79</v>
      </c>
      <c r="O783" t="s">
        <v>74</v>
      </c>
      <c r="P783" t="s">
        <v>74</v>
      </c>
      <c r="Q783" t="s">
        <v>74</v>
      </c>
      <c r="R783" t="s">
        <v>74</v>
      </c>
      <c r="S783" t="s">
        <v>74</v>
      </c>
      <c r="T783" t="s">
        <v>14767</v>
      </c>
      <c r="U783" t="s">
        <v>14768</v>
      </c>
      <c r="V783" t="s">
        <v>14769</v>
      </c>
      <c r="W783" t="s">
        <v>14770</v>
      </c>
      <c r="X783" t="s">
        <v>14771</v>
      </c>
      <c r="Y783" t="s">
        <v>14772</v>
      </c>
      <c r="Z783" t="s">
        <v>14773</v>
      </c>
      <c r="AA783" t="s">
        <v>14774</v>
      </c>
      <c r="AB783" t="s">
        <v>14775</v>
      </c>
      <c r="AC783" t="s">
        <v>14776</v>
      </c>
      <c r="AD783" t="s">
        <v>14777</v>
      </c>
      <c r="AE783" t="s">
        <v>14778</v>
      </c>
      <c r="AF783" t="s">
        <v>74</v>
      </c>
      <c r="AG783">
        <v>40</v>
      </c>
      <c r="AH783">
        <v>17</v>
      </c>
      <c r="AI783">
        <v>17</v>
      </c>
      <c r="AJ783">
        <v>1</v>
      </c>
      <c r="AK783">
        <v>21</v>
      </c>
      <c r="AL783" t="s">
        <v>3097</v>
      </c>
      <c r="AM783" t="s">
        <v>187</v>
      </c>
      <c r="AN783" t="s">
        <v>3098</v>
      </c>
      <c r="AO783" t="s">
        <v>14628</v>
      </c>
      <c r="AP783" t="s">
        <v>14629</v>
      </c>
      <c r="AQ783" t="s">
        <v>74</v>
      </c>
      <c r="AR783" t="s">
        <v>14630</v>
      </c>
      <c r="AS783" t="s">
        <v>14631</v>
      </c>
      <c r="AT783" t="s">
        <v>12991</v>
      </c>
      <c r="AU783">
        <v>2016</v>
      </c>
      <c r="AV783">
        <v>28</v>
      </c>
      <c r="AW783">
        <v>6</v>
      </c>
      <c r="AX783" t="s">
        <v>74</v>
      </c>
      <c r="AY783" t="s">
        <v>74</v>
      </c>
      <c r="AZ783" t="s">
        <v>74</v>
      </c>
      <c r="BA783" t="s">
        <v>74</v>
      </c>
      <c r="BB783">
        <v>433</v>
      </c>
      <c r="BC783">
        <v>442</v>
      </c>
      <c r="BD783" t="s">
        <v>74</v>
      </c>
      <c r="BE783" t="s">
        <v>14779</v>
      </c>
      <c r="BF783" t="str">
        <f>HYPERLINK("http://dx.doi.org/10.1017/S0954102016000250","http://dx.doi.org/10.1017/S0954102016000250")</f>
        <v>http://dx.doi.org/10.1017/S0954102016000250</v>
      </c>
      <c r="BG783" t="s">
        <v>74</v>
      </c>
      <c r="BH783" t="s">
        <v>74</v>
      </c>
      <c r="BI783">
        <v>10</v>
      </c>
      <c r="BJ783" t="s">
        <v>8274</v>
      </c>
      <c r="BK783" t="s">
        <v>101</v>
      </c>
      <c r="BL783" t="s">
        <v>8275</v>
      </c>
      <c r="BM783" t="s">
        <v>14633</v>
      </c>
      <c r="BN783" t="s">
        <v>74</v>
      </c>
      <c r="BO783" t="s">
        <v>74</v>
      </c>
      <c r="BP783" t="s">
        <v>74</v>
      </c>
      <c r="BQ783" t="s">
        <v>74</v>
      </c>
      <c r="BR783" t="s">
        <v>105</v>
      </c>
      <c r="BS783" t="s">
        <v>14780</v>
      </c>
      <c r="BT783" t="str">
        <f>HYPERLINK("https%3A%2F%2Fwww.webofscience.com%2Fwos%2Fwoscc%2Ffull-record%2FWOS:000387980300004","View Full Record in Web of Science")</f>
        <v>View Full Record in Web of Science</v>
      </c>
    </row>
    <row r="784" spans="1:72" x14ac:dyDescent="0.15">
      <c r="A784" t="s">
        <v>72</v>
      </c>
      <c r="B784" t="s">
        <v>14781</v>
      </c>
      <c r="C784" t="s">
        <v>74</v>
      </c>
      <c r="D784" t="s">
        <v>74</v>
      </c>
      <c r="E784" t="s">
        <v>74</v>
      </c>
      <c r="F784" t="s">
        <v>14782</v>
      </c>
      <c r="G784" t="s">
        <v>74</v>
      </c>
      <c r="H784" t="s">
        <v>74</v>
      </c>
      <c r="I784" t="s">
        <v>14783</v>
      </c>
      <c r="J784" t="s">
        <v>14616</v>
      </c>
      <c r="K784" t="s">
        <v>74</v>
      </c>
      <c r="L784" t="s">
        <v>74</v>
      </c>
      <c r="M784" t="s">
        <v>78</v>
      </c>
      <c r="N784" t="s">
        <v>79</v>
      </c>
      <c r="O784" t="s">
        <v>74</v>
      </c>
      <c r="P784" t="s">
        <v>74</v>
      </c>
      <c r="Q784" t="s">
        <v>74</v>
      </c>
      <c r="R784" t="s">
        <v>74</v>
      </c>
      <c r="S784" t="s">
        <v>74</v>
      </c>
      <c r="T784" t="s">
        <v>14784</v>
      </c>
      <c r="U784" t="s">
        <v>14785</v>
      </c>
      <c r="V784" t="s">
        <v>14786</v>
      </c>
      <c r="W784" t="s">
        <v>14787</v>
      </c>
      <c r="X784" t="s">
        <v>14788</v>
      </c>
      <c r="Y784" t="s">
        <v>14789</v>
      </c>
      <c r="Z784" t="s">
        <v>14790</v>
      </c>
      <c r="AA784" t="s">
        <v>14791</v>
      </c>
      <c r="AB784" t="s">
        <v>74</v>
      </c>
      <c r="AC784" t="s">
        <v>14792</v>
      </c>
      <c r="AD784" t="s">
        <v>1608</v>
      </c>
      <c r="AE784" t="s">
        <v>14793</v>
      </c>
      <c r="AF784" t="s">
        <v>74</v>
      </c>
      <c r="AG784">
        <v>36</v>
      </c>
      <c r="AH784">
        <v>16</v>
      </c>
      <c r="AI784">
        <v>18</v>
      </c>
      <c r="AJ784">
        <v>5</v>
      </c>
      <c r="AK784">
        <v>48</v>
      </c>
      <c r="AL784" t="s">
        <v>3097</v>
      </c>
      <c r="AM784" t="s">
        <v>187</v>
      </c>
      <c r="AN784" t="s">
        <v>3098</v>
      </c>
      <c r="AO784" t="s">
        <v>14628</v>
      </c>
      <c r="AP784" t="s">
        <v>14629</v>
      </c>
      <c r="AQ784" t="s">
        <v>74</v>
      </c>
      <c r="AR784" t="s">
        <v>14630</v>
      </c>
      <c r="AS784" t="s">
        <v>14631</v>
      </c>
      <c r="AT784" t="s">
        <v>12991</v>
      </c>
      <c r="AU784">
        <v>2016</v>
      </c>
      <c r="AV784">
        <v>28</v>
      </c>
      <c r="AW784">
        <v>6</v>
      </c>
      <c r="AX784" t="s">
        <v>74</v>
      </c>
      <c r="AY784" t="s">
        <v>74</v>
      </c>
      <c r="AZ784" t="s">
        <v>74</v>
      </c>
      <c r="BA784" t="s">
        <v>74</v>
      </c>
      <c r="BB784">
        <v>455</v>
      </c>
      <c r="BC784">
        <v>461</v>
      </c>
      <c r="BD784" t="s">
        <v>74</v>
      </c>
      <c r="BE784" t="s">
        <v>14794</v>
      </c>
      <c r="BF784" t="str">
        <f>HYPERLINK("http://dx.doi.org/10.1017/S0954102016000286","http://dx.doi.org/10.1017/S0954102016000286")</f>
        <v>http://dx.doi.org/10.1017/S0954102016000286</v>
      </c>
      <c r="BG784" t="s">
        <v>74</v>
      </c>
      <c r="BH784" t="s">
        <v>74</v>
      </c>
      <c r="BI784">
        <v>7</v>
      </c>
      <c r="BJ784" t="s">
        <v>8274</v>
      </c>
      <c r="BK784" t="s">
        <v>101</v>
      </c>
      <c r="BL784" t="s">
        <v>8275</v>
      </c>
      <c r="BM784" t="s">
        <v>14633</v>
      </c>
      <c r="BN784" t="s">
        <v>74</v>
      </c>
      <c r="BO784" t="s">
        <v>74</v>
      </c>
      <c r="BP784" t="s">
        <v>74</v>
      </c>
      <c r="BQ784" t="s">
        <v>74</v>
      </c>
      <c r="BR784" t="s">
        <v>105</v>
      </c>
      <c r="BS784" t="s">
        <v>14795</v>
      </c>
      <c r="BT784" t="str">
        <f>HYPERLINK("https%3A%2F%2Fwww.webofscience.com%2Fwos%2Fwoscc%2Ffull-record%2FWOS:000387980300006","View Full Record in Web of Science")</f>
        <v>View Full Record in Web of Science</v>
      </c>
    </row>
    <row r="785" spans="1:72" x14ac:dyDescent="0.15">
      <c r="A785" t="s">
        <v>72</v>
      </c>
      <c r="B785" t="s">
        <v>14796</v>
      </c>
      <c r="C785" t="s">
        <v>74</v>
      </c>
      <c r="D785" t="s">
        <v>74</v>
      </c>
      <c r="E785" t="s">
        <v>74</v>
      </c>
      <c r="F785" t="s">
        <v>14797</v>
      </c>
      <c r="G785" t="s">
        <v>74</v>
      </c>
      <c r="H785" t="s">
        <v>74</v>
      </c>
      <c r="I785" t="s">
        <v>14798</v>
      </c>
      <c r="J785" t="s">
        <v>14799</v>
      </c>
      <c r="K785" t="s">
        <v>74</v>
      </c>
      <c r="L785" t="s">
        <v>74</v>
      </c>
      <c r="M785" t="s">
        <v>78</v>
      </c>
      <c r="N785" t="s">
        <v>79</v>
      </c>
      <c r="O785" t="s">
        <v>74</v>
      </c>
      <c r="P785" t="s">
        <v>74</v>
      </c>
      <c r="Q785" t="s">
        <v>74</v>
      </c>
      <c r="R785" t="s">
        <v>74</v>
      </c>
      <c r="S785" t="s">
        <v>74</v>
      </c>
      <c r="T785" t="s">
        <v>14800</v>
      </c>
      <c r="U785" t="s">
        <v>14801</v>
      </c>
      <c r="V785" t="s">
        <v>14802</v>
      </c>
      <c r="W785" t="s">
        <v>14803</v>
      </c>
      <c r="X785" t="s">
        <v>14804</v>
      </c>
      <c r="Y785" t="s">
        <v>14805</v>
      </c>
      <c r="Z785" t="s">
        <v>14806</v>
      </c>
      <c r="AA785" t="s">
        <v>14807</v>
      </c>
      <c r="AB785" t="s">
        <v>14808</v>
      </c>
      <c r="AC785" t="s">
        <v>14809</v>
      </c>
      <c r="AD785" t="s">
        <v>14810</v>
      </c>
      <c r="AE785" t="s">
        <v>14811</v>
      </c>
      <c r="AF785" t="s">
        <v>74</v>
      </c>
      <c r="AG785">
        <v>63</v>
      </c>
      <c r="AH785">
        <v>29</v>
      </c>
      <c r="AI785">
        <v>31</v>
      </c>
      <c r="AJ785">
        <v>1</v>
      </c>
      <c r="AK785">
        <v>83</v>
      </c>
      <c r="AL785" t="s">
        <v>211</v>
      </c>
      <c r="AM785" t="s">
        <v>187</v>
      </c>
      <c r="AN785" t="s">
        <v>2131</v>
      </c>
      <c r="AO785" t="s">
        <v>14812</v>
      </c>
      <c r="AP785" t="s">
        <v>14813</v>
      </c>
      <c r="AQ785" t="s">
        <v>74</v>
      </c>
      <c r="AR785" t="s">
        <v>14814</v>
      </c>
      <c r="AS785" t="s">
        <v>14815</v>
      </c>
      <c r="AT785" t="s">
        <v>12991</v>
      </c>
      <c r="AU785">
        <v>2016</v>
      </c>
      <c r="AV785">
        <v>70</v>
      </c>
      <c r="AW785">
        <v>12</v>
      </c>
      <c r="AX785" t="s">
        <v>74</v>
      </c>
      <c r="AY785" t="s">
        <v>74</v>
      </c>
      <c r="AZ785" t="s">
        <v>74</v>
      </c>
      <c r="BA785" t="s">
        <v>74</v>
      </c>
      <c r="BB785">
        <v>2149</v>
      </c>
      <c r="BC785">
        <v>2160</v>
      </c>
      <c r="BD785" t="s">
        <v>74</v>
      </c>
      <c r="BE785" t="s">
        <v>14816</v>
      </c>
      <c r="BF785" t="str">
        <f>HYPERLINK("http://dx.doi.org/10.1007/s00265-016-2218-8","http://dx.doi.org/10.1007/s00265-016-2218-8")</f>
        <v>http://dx.doi.org/10.1007/s00265-016-2218-8</v>
      </c>
      <c r="BG785" t="s">
        <v>74</v>
      </c>
      <c r="BH785" t="s">
        <v>74</v>
      </c>
      <c r="BI785">
        <v>12</v>
      </c>
      <c r="BJ785" t="s">
        <v>14817</v>
      </c>
      <c r="BK785" t="s">
        <v>101</v>
      </c>
      <c r="BL785" t="s">
        <v>14818</v>
      </c>
      <c r="BM785" t="s">
        <v>14819</v>
      </c>
      <c r="BN785" t="s">
        <v>74</v>
      </c>
      <c r="BO785" t="s">
        <v>74</v>
      </c>
      <c r="BP785" t="s">
        <v>74</v>
      </c>
      <c r="BQ785" t="s">
        <v>74</v>
      </c>
      <c r="BR785" t="s">
        <v>105</v>
      </c>
      <c r="BS785" t="s">
        <v>14820</v>
      </c>
      <c r="BT785" t="str">
        <f>HYPERLINK("https%3A%2F%2Fwww.webofscience.com%2Fwos%2Fwoscc%2Ffull-record%2FWOS:000387656900015","View Full Record in Web of Science")</f>
        <v>View Full Record in Web of Science</v>
      </c>
    </row>
    <row r="786" spans="1:72" x14ac:dyDescent="0.15">
      <c r="A786" t="s">
        <v>72</v>
      </c>
      <c r="B786" t="s">
        <v>14821</v>
      </c>
      <c r="C786" t="s">
        <v>74</v>
      </c>
      <c r="D786" t="s">
        <v>74</v>
      </c>
      <c r="E786" t="s">
        <v>74</v>
      </c>
      <c r="F786" t="s">
        <v>14822</v>
      </c>
      <c r="G786" t="s">
        <v>74</v>
      </c>
      <c r="H786" t="s">
        <v>74</v>
      </c>
      <c r="I786" t="s">
        <v>14823</v>
      </c>
      <c r="J786" t="s">
        <v>10049</v>
      </c>
      <c r="K786" t="s">
        <v>74</v>
      </c>
      <c r="L786" t="s">
        <v>74</v>
      </c>
      <c r="M786" t="s">
        <v>78</v>
      </c>
      <c r="N786" t="s">
        <v>79</v>
      </c>
      <c r="O786" t="s">
        <v>74</v>
      </c>
      <c r="P786" t="s">
        <v>74</v>
      </c>
      <c r="Q786" t="s">
        <v>74</v>
      </c>
      <c r="R786" t="s">
        <v>74</v>
      </c>
      <c r="S786" t="s">
        <v>74</v>
      </c>
      <c r="T786" t="s">
        <v>74</v>
      </c>
      <c r="U786" t="s">
        <v>14824</v>
      </c>
      <c r="V786" t="s">
        <v>14825</v>
      </c>
      <c r="W786" t="s">
        <v>14826</v>
      </c>
      <c r="X786" t="s">
        <v>14827</v>
      </c>
      <c r="Y786" t="s">
        <v>14828</v>
      </c>
      <c r="Z786" t="s">
        <v>14829</v>
      </c>
      <c r="AA786" t="s">
        <v>14830</v>
      </c>
      <c r="AB786" t="s">
        <v>14831</v>
      </c>
      <c r="AC786" t="s">
        <v>74</v>
      </c>
      <c r="AD786" t="s">
        <v>74</v>
      </c>
      <c r="AE786" t="s">
        <v>74</v>
      </c>
      <c r="AF786" t="s">
        <v>74</v>
      </c>
      <c r="AG786">
        <v>81</v>
      </c>
      <c r="AH786">
        <v>30</v>
      </c>
      <c r="AI786">
        <v>31</v>
      </c>
      <c r="AJ786">
        <v>2</v>
      </c>
      <c r="AK786">
        <v>77</v>
      </c>
      <c r="AL786" t="s">
        <v>2325</v>
      </c>
      <c r="AM786" t="s">
        <v>292</v>
      </c>
      <c r="AN786" t="s">
        <v>2326</v>
      </c>
      <c r="AO786" t="s">
        <v>10062</v>
      </c>
      <c r="AP786" t="s">
        <v>10063</v>
      </c>
      <c r="AQ786" t="s">
        <v>74</v>
      </c>
      <c r="AR786" t="s">
        <v>10064</v>
      </c>
      <c r="AS786" t="s">
        <v>10065</v>
      </c>
      <c r="AT786" t="s">
        <v>12991</v>
      </c>
      <c r="AU786">
        <v>2016</v>
      </c>
      <c r="AV786">
        <v>204</v>
      </c>
      <c r="AW786" t="s">
        <v>74</v>
      </c>
      <c r="AX786" t="s">
        <v>2331</v>
      </c>
      <c r="AY786" t="s">
        <v>74</v>
      </c>
      <c r="AZ786" t="s">
        <v>74</v>
      </c>
      <c r="BA786" t="s">
        <v>74</v>
      </c>
      <c r="BB786">
        <v>459</v>
      </c>
      <c r="BC786">
        <v>467</v>
      </c>
      <c r="BD786" t="s">
        <v>74</v>
      </c>
      <c r="BE786" t="s">
        <v>14832</v>
      </c>
      <c r="BF786" t="str">
        <f>HYPERLINK("http://dx.doi.org/10.1016/j.biocon.2016.11.008","http://dx.doi.org/10.1016/j.biocon.2016.11.008")</f>
        <v>http://dx.doi.org/10.1016/j.biocon.2016.11.008</v>
      </c>
      <c r="BG786" t="s">
        <v>74</v>
      </c>
      <c r="BH786" t="s">
        <v>74</v>
      </c>
      <c r="BI786">
        <v>9</v>
      </c>
      <c r="BJ786" t="s">
        <v>10067</v>
      </c>
      <c r="BK786" t="s">
        <v>101</v>
      </c>
      <c r="BL786" t="s">
        <v>2257</v>
      </c>
      <c r="BM786" t="s">
        <v>14833</v>
      </c>
      <c r="BN786" t="s">
        <v>74</v>
      </c>
      <c r="BO786" t="s">
        <v>74</v>
      </c>
      <c r="BP786" t="s">
        <v>74</v>
      </c>
      <c r="BQ786" t="s">
        <v>74</v>
      </c>
      <c r="BR786" t="s">
        <v>105</v>
      </c>
      <c r="BS786" t="s">
        <v>14834</v>
      </c>
      <c r="BT786" t="str">
        <f>HYPERLINK("https%3A%2F%2Fwww.webofscience.com%2Fwos%2Fwoscc%2Ffull-record%2FWOS:000390968900038","View Full Record in Web of Science")</f>
        <v>View Full Record in Web of Science</v>
      </c>
    </row>
    <row r="787" spans="1:72" x14ac:dyDescent="0.15">
      <c r="A787" t="s">
        <v>72</v>
      </c>
      <c r="B787" t="s">
        <v>14835</v>
      </c>
      <c r="C787" t="s">
        <v>74</v>
      </c>
      <c r="D787" t="s">
        <v>74</v>
      </c>
      <c r="E787" t="s">
        <v>74</v>
      </c>
      <c r="F787" t="s">
        <v>14836</v>
      </c>
      <c r="G787" t="s">
        <v>74</v>
      </c>
      <c r="H787" t="s">
        <v>74</v>
      </c>
      <c r="I787" t="s">
        <v>14837</v>
      </c>
      <c r="J787" t="s">
        <v>14838</v>
      </c>
      <c r="K787" t="s">
        <v>74</v>
      </c>
      <c r="L787" t="s">
        <v>74</v>
      </c>
      <c r="M787" t="s">
        <v>78</v>
      </c>
      <c r="N787" t="s">
        <v>79</v>
      </c>
      <c r="O787" t="s">
        <v>74</v>
      </c>
      <c r="P787" t="s">
        <v>74</v>
      </c>
      <c r="Q787" t="s">
        <v>74</v>
      </c>
      <c r="R787" t="s">
        <v>74</v>
      </c>
      <c r="S787" t="s">
        <v>74</v>
      </c>
      <c r="T787" t="s">
        <v>14839</v>
      </c>
      <c r="U787" t="s">
        <v>14840</v>
      </c>
      <c r="V787" t="s">
        <v>14841</v>
      </c>
      <c r="W787" t="s">
        <v>14842</v>
      </c>
      <c r="X787" t="s">
        <v>14843</v>
      </c>
      <c r="Y787" t="s">
        <v>14844</v>
      </c>
      <c r="Z787" t="s">
        <v>14845</v>
      </c>
      <c r="AA787" t="s">
        <v>14846</v>
      </c>
      <c r="AB787" t="s">
        <v>14847</v>
      </c>
      <c r="AC787" t="s">
        <v>14848</v>
      </c>
      <c r="AD787" t="s">
        <v>14849</v>
      </c>
      <c r="AE787" t="s">
        <v>14850</v>
      </c>
      <c r="AF787" t="s">
        <v>74</v>
      </c>
      <c r="AG787">
        <v>36</v>
      </c>
      <c r="AH787">
        <v>14</v>
      </c>
      <c r="AI787">
        <v>16</v>
      </c>
      <c r="AJ787">
        <v>2</v>
      </c>
      <c r="AK787">
        <v>21</v>
      </c>
      <c r="AL787" t="s">
        <v>211</v>
      </c>
      <c r="AM787" t="s">
        <v>212</v>
      </c>
      <c r="AN787" t="s">
        <v>213</v>
      </c>
      <c r="AO787" t="s">
        <v>14851</v>
      </c>
      <c r="AP787" t="s">
        <v>14852</v>
      </c>
      <c r="AQ787" t="s">
        <v>74</v>
      </c>
      <c r="AR787" t="s">
        <v>14853</v>
      </c>
      <c r="AS787" t="s">
        <v>14854</v>
      </c>
      <c r="AT787" t="s">
        <v>12991</v>
      </c>
      <c r="AU787">
        <v>2016</v>
      </c>
      <c r="AV787">
        <v>161</v>
      </c>
      <c r="AW787">
        <v>3</v>
      </c>
      <c r="AX787" t="s">
        <v>74</v>
      </c>
      <c r="AY787" t="s">
        <v>74</v>
      </c>
      <c r="AZ787" t="s">
        <v>74</v>
      </c>
      <c r="BA787" t="s">
        <v>74</v>
      </c>
      <c r="BB787">
        <v>417</v>
      </c>
      <c r="BC787">
        <v>437</v>
      </c>
      <c r="BD787" t="s">
        <v>74</v>
      </c>
      <c r="BE787" t="s">
        <v>14855</v>
      </c>
      <c r="BF787" t="str">
        <f>HYPERLINK("http://dx.doi.org/10.1007/s10546-016-0176-3","http://dx.doi.org/10.1007/s10546-016-0176-3")</f>
        <v>http://dx.doi.org/10.1007/s10546-016-0176-3</v>
      </c>
      <c r="BG787" t="s">
        <v>74</v>
      </c>
      <c r="BH787" t="s">
        <v>74</v>
      </c>
      <c r="BI787">
        <v>21</v>
      </c>
      <c r="BJ787" t="s">
        <v>747</v>
      </c>
      <c r="BK787" t="s">
        <v>101</v>
      </c>
      <c r="BL787" t="s">
        <v>747</v>
      </c>
      <c r="BM787" t="s">
        <v>14856</v>
      </c>
      <c r="BN787" t="s">
        <v>74</v>
      </c>
      <c r="BO787" t="s">
        <v>1223</v>
      </c>
      <c r="BP787" t="s">
        <v>74</v>
      </c>
      <c r="BQ787" t="s">
        <v>74</v>
      </c>
      <c r="BR787" t="s">
        <v>105</v>
      </c>
      <c r="BS787" t="s">
        <v>14857</v>
      </c>
      <c r="BT787" t="str">
        <f>HYPERLINK("https%3A%2F%2Fwww.webofscience.com%2Fwos%2Fwoscc%2Ffull-record%2FWOS:000388586100002","View Full Record in Web of Science")</f>
        <v>View Full Record in Web of Science</v>
      </c>
    </row>
    <row r="788" spans="1:72" x14ac:dyDescent="0.15">
      <c r="A788" t="s">
        <v>72</v>
      </c>
      <c r="B788" t="s">
        <v>14858</v>
      </c>
      <c r="C788" t="s">
        <v>74</v>
      </c>
      <c r="D788" t="s">
        <v>74</v>
      </c>
      <c r="E788" t="s">
        <v>74</v>
      </c>
      <c r="F788" t="s">
        <v>14859</v>
      </c>
      <c r="G788" t="s">
        <v>74</v>
      </c>
      <c r="H788" t="s">
        <v>74</v>
      </c>
      <c r="I788" t="s">
        <v>14860</v>
      </c>
      <c r="J788" t="s">
        <v>14861</v>
      </c>
      <c r="K788" t="s">
        <v>74</v>
      </c>
      <c r="L788" t="s">
        <v>74</v>
      </c>
      <c r="M788" t="s">
        <v>78</v>
      </c>
      <c r="N788" t="s">
        <v>79</v>
      </c>
      <c r="O788" t="s">
        <v>74</v>
      </c>
      <c r="P788" t="s">
        <v>74</v>
      </c>
      <c r="Q788" t="s">
        <v>74</v>
      </c>
      <c r="R788" t="s">
        <v>74</v>
      </c>
      <c r="S788" t="s">
        <v>74</v>
      </c>
      <c r="T788" t="s">
        <v>14862</v>
      </c>
      <c r="U788" t="s">
        <v>14863</v>
      </c>
      <c r="V788" t="s">
        <v>14864</v>
      </c>
      <c r="W788" t="s">
        <v>14865</v>
      </c>
      <c r="X788" t="s">
        <v>14866</v>
      </c>
      <c r="Y788" t="s">
        <v>14867</v>
      </c>
      <c r="Z788" t="s">
        <v>14868</v>
      </c>
      <c r="AA788" t="s">
        <v>14869</v>
      </c>
      <c r="AB788" t="s">
        <v>14870</v>
      </c>
      <c r="AC788" t="s">
        <v>14871</v>
      </c>
      <c r="AD788" t="s">
        <v>14872</v>
      </c>
      <c r="AE788" t="s">
        <v>14873</v>
      </c>
      <c r="AF788" t="s">
        <v>74</v>
      </c>
      <c r="AG788">
        <v>55</v>
      </c>
      <c r="AH788">
        <v>14</v>
      </c>
      <c r="AI788">
        <v>15</v>
      </c>
      <c r="AJ788">
        <v>4</v>
      </c>
      <c r="AK788">
        <v>97</v>
      </c>
      <c r="AL788" t="s">
        <v>291</v>
      </c>
      <c r="AM788" t="s">
        <v>292</v>
      </c>
      <c r="AN788" t="s">
        <v>293</v>
      </c>
      <c r="AO788" t="s">
        <v>14874</v>
      </c>
      <c r="AP788" t="s">
        <v>14875</v>
      </c>
      <c r="AQ788" t="s">
        <v>74</v>
      </c>
      <c r="AR788" t="s">
        <v>14861</v>
      </c>
      <c r="AS788" t="s">
        <v>14876</v>
      </c>
      <c r="AT788" t="s">
        <v>12991</v>
      </c>
      <c r="AU788">
        <v>2016</v>
      </c>
      <c r="AV788">
        <v>165</v>
      </c>
      <c r="AW788" t="s">
        <v>74</v>
      </c>
      <c r="AX788" t="s">
        <v>74</v>
      </c>
      <c r="AY788" t="s">
        <v>74</v>
      </c>
      <c r="AZ788" t="s">
        <v>74</v>
      </c>
      <c r="BA788" t="s">
        <v>74</v>
      </c>
      <c r="BB788">
        <v>418</v>
      </c>
      <c r="BC788">
        <v>426</v>
      </c>
      <c r="BD788" t="s">
        <v>74</v>
      </c>
      <c r="BE788" t="s">
        <v>14877</v>
      </c>
      <c r="BF788" t="str">
        <f>HYPERLINK("http://dx.doi.org/10.1016/j.chemosphere.2016.09.049","http://dx.doi.org/10.1016/j.chemosphere.2016.09.049")</f>
        <v>http://dx.doi.org/10.1016/j.chemosphere.2016.09.049</v>
      </c>
      <c r="BG788" t="s">
        <v>74</v>
      </c>
      <c r="BH788" t="s">
        <v>74</v>
      </c>
      <c r="BI788">
        <v>9</v>
      </c>
      <c r="BJ788" t="s">
        <v>177</v>
      </c>
      <c r="BK788" t="s">
        <v>101</v>
      </c>
      <c r="BL788" t="s">
        <v>178</v>
      </c>
      <c r="BM788" t="s">
        <v>14878</v>
      </c>
      <c r="BN788">
        <v>27668719</v>
      </c>
      <c r="BO788" t="s">
        <v>74</v>
      </c>
      <c r="BP788" t="s">
        <v>74</v>
      </c>
      <c r="BQ788" t="s">
        <v>74</v>
      </c>
      <c r="BR788" t="s">
        <v>105</v>
      </c>
      <c r="BS788" t="s">
        <v>14879</v>
      </c>
      <c r="BT788" t="str">
        <f>HYPERLINK("https%3A%2F%2Fwww.webofscience.com%2Fwos%2Fwoscc%2Ffull-record%2FWOS:000386402200049","View Full Record in Web of Science")</f>
        <v>View Full Record in Web of Science</v>
      </c>
    </row>
    <row r="789" spans="1:72" x14ac:dyDescent="0.15">
      <c r="A789" t="s">
        <v>72</v>
      </c>
      <c r="B789" t="s">
        <v>14880</v>
      </c>
      <c r="C789" t="s">
        <v>74</v>
      </c>
      <c r="D789" t="s">
        <v>74</v>
      </c>
      <c r="E789" t="s">
        <v>74</v>
      </c>
      <c r="F789" t="s">
        <v>14881</v>
      </c>
      <c r="G789" t="s">
        <v>74</v>
      </c>
      <c r="H789" t="s">
        <v>74</v>
      </c>
      <c r="I789" t="s">
        <v>14882</v>
      </c>
      <c r="J789" t="s">
        <v>14883</v>
      </c>
      <c r="K789" t="s">
        <v>74</v>
      </c>
      <c r="L789" t="s">
        <v>74</v>
      </c>
      <c r="M789" t="s">
        <v>78</v>
      </c>
      <c r="N789" t="s">
        <v>79</v>
      </c>
      <c r="O789" t="s">
        <v>74</v>
      </c>
      <c r="P789" t="s">
        <v>74</v>
      </c>
      <c r="Q789" t="s">
        <v>74</v>
      </c>
      <c r="R789" t="s">
        <v>74</v>
      </c>
      <c r="S789" t="s">
        <v>74</v>
      </c>
      <c r="T789" t="s">
        <v>14884</v>
      </c>
      <c r="U789" t="s">
        <v>14885</v>
      </c>
      <c r="V789" t="s">
        <v>14886</v>
      </c>
      <c r="W789" t="s">
        <v>14887</v>
      </c>
      <c r="X789" t="s">
        <v>14888</v>
      </c>
      <c r="Y789" t="s">
        <v>14889</v>
      </c>
      <c r="Z789" t="s">
        <v>14890</v>
      </c>
      <c r="AA789" t="s">
        <v>14891</v>
      </c>
      <c r="AB789" t="s">
        <v>14892</v>
      </c>
      <c r="AC789" t="s">
        <v>14893</v>
      </c>
      <c r="AD789" t="s">
        <v>14893</v>
      </c>
      <c r="AE789" t="s">
        <v>14894</v>
      </c>
      <c r="AF789" t="s">
        <v>74</v>
      </c>
      <c r="AG789">
        <v>73</v>
      </c>
      <c r="AH789">
        <v>33</v>
      </c>
      <c r="AI789">
        <v>39</v>
      </c>
      <c r="AJ789">
        <v>5</v>
      </c>
      <c r="AK789">
        <v>109</v>
      </c>
      <c r="AL789" t="s">
        <v>2377</v>
      </c>
      <c r="AM789" t="s">
        <v>2378</v>
      </c>
      <c r="AN789" t="s">
        <v>2379</v>
      </c>
      <c r="AO789" t="s">
        <v>14895</v>
      </c>
      <c r="AP789" t="s">
        <v>14896</v>
      </c>
      <c r="AQ789" t="s">
        <v>74</v>
      </c>
      <c r="AR789" t="s">
        <v>14897</v>
      </c>
      <c r="AS789" t="s">
        <v>14898</v>
      </c>
      <c r="AT789" t="s">
        <v>12991</v>
      </c>
      <c r="AU789">
        <v>2016</v>
      </c>
      <c r="AV789">
        <v>30</v>
      </c>
      <c r="AW789">
        <v>6</v>
      </c>
      <c r="AX789" t="s">
        <v>74</v>
      </c>
      <c r="AY789" t="s">
        <v>74</v>
      </c>
      <c r="AZ789" t="s">
        <v>74</v>
      </c>
      <c r="BA789" t="s">
        <v>74</v>
      </c>
      <c r="BB789">
        <v>1182</v>
      </c>
      <c r="BC789">
        <v>1191</v>
      </c>
      <c r="BD789" t="s">
        <v>74</v>
      </c>
      <c r="BE789" t="s">
        <v>14899</v>
      </c>
      <c r="BF789" t="str">
        <f>HYPERLINK("http://dx.doi.org/10.1111/cobi.12722","http://dx.doi.org/10.1111/cobi.12722")</f>
        <v>http://dx.doi.org/10.1111/cobi.12722</v>
      </c>
      <c r="BG789" t="s">
        <v>74</v>
      </c>
      <c r="BH789" t="s">
        <v>74</v>
      </c>
      <c r="BI789">
        <v>10</v>
      </c>
      <c r="BJ789" t="s">
        <v>10067</v>
      </c>
      <c r="BK789" t="s">
        <v>101</v>
      </c>
      <c r="BL789" t="s">
        <v>2257</v>
      </c>
      <c r="BM789" t="s">
        <v>14900</v>
      </c>
      <c r="BN789">
        <v>26991947</v>
      </c>
      <c r="BO789" t="s">
        <v>8890</v>
      </c>
      <c r="BP789" t="s">
        <v>74</v>
      </c>
      <c r="BQ789" t="s">
        <v>74</v>
      </c>
      <c r="BR789" t="s">
        <v>105</v>
      </c>
      <c r="BS789" t="s">
        <v>14901</v>
      </c>
      <c r="BT789" t="str">
        <f>HYPERLINK("https%3A%2F%2Fwww.webofscience.com%2Fwos%2Fwoscc%2Ffull-record%2FWOS:000387229900005","View Full Record in Web of Science")</f>
        <v>View Full Record in Web of Science</v>
      </c>
    </row>
    <row r="790" spans="1:72" x14ac:dyDescent="0.15">
      <c r="A790" t="s">
        <v>72</v>
      </c>
      <c r="B790" t="s">
        <v>14902</v>
      </c>
      <c r="C790" t="s">
        <v>74</v>
      </c>
      <c r="D790" t="s">
        <v>74</v>
      </c>
      <c r="E790" t="s">
        <v>74</v>
      </c>
      <c r="F790" t="s">
        <v>14903</v>
      </c>
      <c r="G790" t="s">
        <v>74</v>
      </c>
      <c r="H790" t="s">
        <v>74</v>
      </c>
      <c r="I790" t="s">
        <v>14904</v>
      </c>
      <c r="J790" t="s">
        <v>14905</v>
      </c>
      <c r="K790" t="s">
        <v>74</v>
      </c>
      <c r="L790" t="s">
        <v>74</v>
      </c>
      <c r="M790" t="s">
        <v>78</v>
      </c>
      <c r="N790" t="s">
        <v>79</v>
      </c>
      <c r="O790" t="s">
        <v>74</v>
      </c>
      <c r="P790" t="s">
        <v>74</v>
      </c>
      <c r="Q790" t="s">
        <v>74</v>
      </c>
      <c r="R790" t="s">
        <v>74</v>
      </c>
      <c r="S790" t="s">
        <v>74</v>
      </c>
      <c r="T790" t="s">
        <v>14906</v>
      </c>
      <c r="U790" t="s">
        <v>14907</v>
      </c>
      <c r="V790" t="s">
        <v>14908</v>
      </c>
      <c r="W790" t="s">
        <v>14909</v>
      </c>
      <c r="X790" t="s">
        <v>8787</v>
      </c>
      <c r="Y790" t="s">
        <v>14910</v>
      </c>
      <c r="Z790" t="s">
        <v>14911</v>
      </c>
      <c r="AA790" t="s">
        <v>74</v>
      </c>
      <c r="AB790" t="s">
        <v>14912</v>
      </c>
      <c r="AC790" t="s">
        <v>14913</v>
      </c>
      <c r="AD790" t="s">
        <v>14914</v>
      </c>
      <c r="AE790" t="s">
        <v>14915</v>
      </c>
      <c r="AF790" t="s">
        <v>74</v>
      </c>
      <c r="AG790">
        <v>60</v>
      </c>
      <c r="AH790">
        <v>33</v>
      </c>
      <c r="AI790">
        <v>35</v>
      </c>
      <c r="AJ790">
        <v>0</v>
      </c>
      <c r="AK790">
        <v>53</v>
      </c>
      <c r="AL790" t="s">
        <v>291</v>
      </c>
      <c r="AM790" t="s">
        <v>292</v>
      </c>
      <c r="AN790" t="s">
        <v>293</v>
      </c>
      <c r="AO790" t="s">
        <v>14916</v>
      </c>
      <c r="AP790" t="s">
        <v>14917</v>
      </c>
      <c r="AQ790" t="s">
        <v>74</v>
      </c>
      <c r="AR790" t="s">
        <v>14918</v>
      </c>
      <c r="AS790" t="s">
        <v>14919</v>
      </c>
      <c r="AT790" t="s">
        <v>12991</v>
      </c>
      <c r="AU790">
        <v>2016</v>
      </c>
      <c r="AV790">
        <v>134</v>
      </c>
      <c r="AW790" t="s">
        <v>74</v>
      </c>
      <c r="AX790" t="s">
        <v>74</v>
      </c>
      <c r="AY790" t="s">
        <v>74</v>
      </c>
      <c r="AZ790" t="s">
        <v>74</v>
      </c>
      <c r="BA790" t="s">
        <v>74</v>
      </c>
      <c r="BB790">
        <v>181</v>
      </c>
      <c r="BC790">
        <v>189</v>
      </c>
      <c r="BD790" t="s">
        <v>74</v>
      </c>
      <c r="BE790" t="s">
        <v>14920</v>
      </c>
      <c r="BF790" t="str">
        <f>HYPERLINK("http://dx.doi.org/10.1016/j.dsr2.2015.04.001","http://dx.doi.org/10.1016/j.dsr2.2015.04.001")</f>
        <v>http://dx.doi.org/10.1016/j.dsr2.2015.04.001</v>
      </c>
      <c r="BG790" t="s">
        <v>74</v>
      </c>
      <c r="BH790" t="s">
        <v>74</v>
      </c>
      <c r="BI790">
        <v>9</v>
      </c>
      <c r="BJ790" t="s">
        <v>2164</v>
      </c>
      <c r="BK790" t="s">
        <v>101</v>
      </c>
      <c r="BL790" t="s">
        <v>2164</v>
      </c>
      <c r="BM790" t="s">
        <v>14921</v>
      </c>
      <c r="BN790" t="s">
        <v>74</v>
      </c>
      <c r="BO790" t="s">
        <v>301</v>
      </c>
      <c r="BP790" t="s">
        <v>74</v>
      </c>
      <c r="BQ790" t="s">
        <v>74</v>
      </c>
      <c r="BR790" t="s">
        <v>105</v>
      </c>
      <c r="BS790" t="s">
        <v>14922</v>
      </c>
      <c r="BT790" t="str">
        <f>HYPERLINK("https%3A%2F%2Fwww.webofscience.com%2Fwos%2Fwoscc%2Ffull-record%2FWOS:000390510500013","View Full Record in Web of Science")</f>
        <v>View Full Record in Web of Science</v>
      </c>
    </row>
    <row r="791" spans="1:72" x14ac:dyDescent="0.15">
      <c r="A791" t="s">
        <v>72</v>
      </c>
      <c r="B791" t="s">
        <v>14923</v>
      </c>
      <c r="C791" t="s">
        <v>74</v>
      </c>
      <c r="D791" t="s">
        <v>74</v>
      </c>
      <c r="E791" t="s">
        <v>74</v>
      </c>
      <c r="F791" t="s">
        <v>14924</v>
      </c>
      <c r="G791" t="s">
        <v>74</v>
      </c>
      <c r="H791" t="s">
        <v>74</v>
      </c>
      <c r="I791" t="s">
        <v>14925</v>
      </c>
      <c r="J791" t="s">
        <v>14926</v>
      </c>
      <c r="K791" t="s">
        <v>74</v>
      </c>
      <c r="L791" t="s">
        <v>74</v>
      </c>
      <c r="M791" t="s">
        <v>78</v>
      </c>
      <c r="N791" t="s">
        <v>79</v>
      </c>
      <c r="O791" t="s">
        <v>74</v>
      </c>
      <c r="P791" t="s">
        <v>74</v>
      </c>
      <c r="Q791" t="s">
        <v>74</v>
      </c>
      <c r="R791" t="s">
        <v>74</v>
      </c>
      <c r="S791" t="s">
        <v>74</v>
      </c>
      <c r="T791" t="s">
        <v>14927</v>
      </c>
      <c r="U791" t="s">
        <v>14928</v>
      </c>
      <c r="V791" t="s">
        <v>14929</v>
      </c>
      <c r="W791" t="s">
        <v>14930</v>
      </c>
      <c r="X791" t="s">
        <v>14931</v>
      </c>
      <c r="Y791" t="s">
        <v>14932</v>
      </c>
      <c r="Z791" t="s">
        <v>14933</v>
      </c>
      <c r="AA791" t="s">
        <v>14934</v>
      </c>
      <c r="AB791" t="s">
        <v>14935</v>
      </c>
      <c r="AC791" t="s">
        <v>6246</v>
      </c>
      <c r="AD791" t="s">
        <v>6211</v>
      </c>
      <c r="AE791" t="s">
        <v>74</v>
      </c>
      <c r="AF791" t="s">
        <v>74</v>
      </c>
      <c r="AG791">
        <v>88</v>
      </c>
      <c r="AH791">
        <v>16</v>
      </c>
      <c r="AI791">
        <v>20</v>
      </c>
      <c r="AJ791">
        <v>0</v>
      </c>
      <c r="AK791">
        <v>2</v>
      </c>
      <c r="AL791" t="s">
        <v>8532</v>
      </c>
      <c r="AM791" t="s">
        <v>8533</v>
      </c>
      <c r="AN791" t="s">
        <v>8534</v>
      </c>
      <c r="AO791" t="s">
        <v>74</v>
      </c>
      <c r="AP791" t="s">
        <v>14936</v>
      </c>
      <c r="AQ791" t="s">
        <v>74</v>
      </c>
      <c r="AR791" t="s">
        <v>14926</v>
      </c>
      <c r="AS791" t="s">
        <v>14937</v>
      </c>
      <c r="AT791" t="s">
        <v>12991</v>
      </c>
      <c r="AU791">
        <v>2016</v>
      </c>
      <c r="AV791">
        <v>8</v>
      </c>
      <c r="AW791">
        <v>4</v>
      </c>
      <c r="AX791" t="s">
        <v>74</v>
      </c>
      <c r="AY791" t="s">
        <v>74</v>
      </c>
      <c r="AZ791" t="s">
        <v>74</v>
      </c>
      <c r="BA791" t="s">
        <v>74</v>
      </c>
      <c r="BB791" t="s">
        <v>74</v>
      </c>
      <c r="BC791" t="s">
        <v>74</v>
      </c>
      <c r="BD791">
        <v>21</v>
      </c>
      <c r="BE791" t="s">
        <v>14938</v>
      </c>
      <c r="BF791" t="str">
        <f>HYPERLINK("http://dx.doi.org/10.3390/d8040021","http://dx.doi.org/10.3390/d8040021")</f>
        <v>http://dx.doi.org/10.3390/d8040021</v>
      </c>
      <c r="BG791" t="s">
        <v>74</v>
      </c>
      <c r="BH791" t="s">
        <v>74</v>
      </c>
      <c r="BI791">
        <v>22</v>
      </c>
      <c r="BJ791" t="s">
        <v>5867</v>
      </c>
      <c r="BK791" t="s">
        <v>101</v>
      </c>
      <c r="BL791" t="s">
        <v>2257</v>
      </c>
      <c r="BM791" t="s">
        <v>14939</v>
      </c>
      <c r="BN791" t="s">
        <v>74</v>
      </c>
      <c r="BO791" t="s">
        <v>10901</v>
      </c>
      <c r="BP791" t="s">
        <v>74</v>
      </c>
      <c r="BQ791" t="s">
        <v>74</v>
      </c>
      <c r="BR791" t="s">
        <v>105</v>
      </c>
      <c r="BS791" t="s">
        <v>14940</v>
      </c>
      <c r="BT791" t="str">
        <f>HYPERLINK("https%3A%2F%2Fwww.webofscience.com%2Fwos%2Fwoscc%2Ffull-record%2FWOS:000390134700004","View Full Record in Web of Science")</f>
        <v>View Full Record in Web of Science</v>
      </c>
    </row>
    <row r="792" spans="1:72" x14ac:dyDescent="0.15">
      <c r="A792" t="s">
        <v>72</v>
      </c>
      <c r="B792" t="s">
        <v>14941</v>
      </c>
      <c r="C792" t="s">
        <v>74</v>
      </c>
      <c r="D792" t="s">
        <v>74</v>
      </c>
      <c r="E792" t="s">
        <v>74</v>
      </c>
      <c r="F792" t="s">
        <v>14942</v>
      </c>
      <c r="G792" t="s">
        <v>74</v>
      </c>
      <c r="H792" t="s">
        <v>74</v>
      </c>
      <c r="I792" t="s">
        <v>14943</v>
      </c>
      <c r="J792" t="s">
        <v>14926</v>
      </c>
      <c r="K792" t="s">
        <v>74</v>
      </c>
      <c r="L792" t="s">
        <v>74</v>
      </c>
      <c r="M792" t="s">
        <v>78</v>
      </c>
      <c r="N792" t="s">
        <v>79</v>
      </c>
      <c r="O792" t="s">
        <v>74</v>
      </c>
      <c r="P792" t="s">
        <v>74</v>
      </c>
      <c r="Q792" t="s">
        <v>74</v>
      </c>
      <c r="R792" t="s">
        <v>74</v>
      </c>
      <c r="S792" t="s">
        <v>74</v>
      </c>
      <c r="T792" t="s">
        <v>14944</v>
      </c>
      <c r="U792" t="s">
        <v>14945</v>
      </c>
      <c r="V792" t="s">
        <v>14946</v>
      </c>
      <c r="W792" t="s">
        <v>14947</v>
      </c>
      <c r="X792" t="s">
        <v>14948</v>
      </c>
      <c r="Y792" t="s">
        <v>14949</v>
      </c>
      <c r="Z792" t="s">
        <v>14950</v>
      </c>
      <c r="AA792" t="s">
        <v>14951</v>
      </c>
      <c r="AB792" t="s">
        <v>14952</v>
      </c>
      <c r="AC792" t="s">
        <v>74</v>
      </c>
      <c r="AD792" t="s">
        <v>74</v>
      </c>
      <c r="AE792" t="s">
        <v>74</v>
      </c>
      <c r="AF792" t="s">
        <v>74</v>
      </c>
      <c r="AG792">
        <v>30</v>
      </c>
      <c r="AH792">
        <v>4</v>
      </c>
      <c r="AI792">
        <v>4</v>
      </c>
      <c r="AJ792">
        <v>1</v>
      </c>
      <c r="AK792">
        <v>5</v>
      </c>
      <c r="AL792" t="s">
        <v>8532</v>
      </c>
      <c r="AM792" t="s">
        <v>8533</v>
      </c>
      <c r="AN792" t="s">
        <v>8534</v>
      </c>
      <c r="AO792" t="s">
        <v>74</v>
      </c>
      <c r="AP792" t="s">
        <v>14936</v>
      </c>
      <c r="AQ792" t="s">
        <v>74</v>
      </c>
      <c r="AR792" t="s">
        <v>14926</v>
      </c>
      <c r="AS792" t="s">
        <v>14937</v>
      </c>
      <c r="AT792" t="s">
        <v>12991</v>
      </c>
      <c r="AU792">
        <v>2016</v>
      </c>
      <c r="AV792">
        <v>8</v>
      </c>
      <c r="AW792">
        <v>4</v>
      </c>
      <c r="AX792" t="s">
        <v>74</v>
      </c>
      <c r="AY792" t="s">
        <v>74</v>
      </c>
      <c r="AZ792" t="s">
        <v>74</v>
      </c>
      <c r="BA792" t="s">
        <v>74</v>
      </c>
      <c r="BB792" t="s">
        <v>74</v>
      </c>
      <c r="BC792" t="s">
        <v>74</v>
      </c>
      <c r="BD792">
        <v>32</v>
      </c>
      <c r="BE792" t="s">
        <v>14953</v>
      </c>
      <c r="BF792" t="str">
        <f>HYPERLINK("http://dx.doi.org/10.3390/d8040032","http://dx.doi.org/10.3390/d8040032")</f>
        <v>http://dx.doi.org/10.3390/d8040032</v>
      </c>
      <c r="BG792" t="s">
        <v>74</v>
      </c>
      <c r="BH792" t="s">
        <v>74</v>
      </c>
      <c r="BI792">
        <v>8</v>
      </c>
      <c r="BJ792" t="s">
        <v>5867</v>
      </c>
      <c r="BK792" t="s">
        <v>101</v>
      </c>
      <c r="BL792" t="s">
        <v>2257</v>
      </c>
      <c r="BM792" t="s">
        <v>14939</v>
      </c>
      <c r="BN792" t="s">
        <v>74</v>
      </c>
      <c r="BO792" t="s">
        <v>790</v>
      </c>
      <c r="BP792" t="s">
        <v>74</v>
      </c>
      <c r="BQ792" t="s">
        <v>74</v>
      </c>
      <c r="BR792" t="s">
        <v>105</v>
      </c>
      <c r="BS792" t="s">
        <v>14954</v>
      </c>
      <c r="BT792" t="str">
        <f>HYPERLINK("https%3A%2F%2Fwww.webofscience.com%2Fwos%2Fwoscc%2Ffull-record%2FWOS:000390134700015","View Full Record in Web of Science")</f>
        <v>View Full Record in Web of Science</v>
      </c>
    </row>
    <row r="793" spans="1:72" x14ac:dyDescent="0.15">
      <c r="A793" t="s">
        <v>72</v>
      </c>
      <c r="B793" t="s">
        <v>14955</v>
      </c>
      <c r="C793" t="s">
        <v>74</v>
      </c>
      <c r="D793" t="s">
        <v>74</v>
      </c>
      <c r="E793" t="s">
        <v>74</v>
      </c>
      <c r="F793" t="s">
        <v>14956</v>
      </c>
      <c r="G793" t="s">
        <v>74</v>
      </c>
      <c r="H793" t="s">
        <v>74</v>
      </c>
      <c r="I793" t="s">
        <v>14957</v>
      </c>
      <c r="J793" t="s">
        <v>14958</v>
      </c>
      <c r="K793" t="s">
        <v>74</v>
      </c>
      <c r="L793" t="s">
        <v>74</v>
      </c>
      <c r="M793" t="s">
        <v>78</v>
      </c>
      <c r="N793" t="s">
        <v>79</v>
      </c>
      <c r="O793" t="s">
        <v>74</v>
      </c>
      <c r="P793" t="s">
        <v>74</v>
      </c>
      <c r="Q793" t="s">
        <v>74</v>
      </c>
      <c r="R793" t="s">
        <v>74</v>
      </c>
      <c r="S793" t="s">
        <v>74</v>
      </c>
      <c r="T793" t="s">
        <v>14959</v>
      </c>
      <c r="U793" t="s">
        <v>14960</v>
      </c>
      <c r="V793" t="s">
        <v>14961</v>
      </c>
      <c r="W793" t="s">
        <v>14962</v>
      </c>
      <c r="X793" t="s">
        <v>14963</v>
      </c>
      <c r="Y793" t="s">
        <v>14964</v>
      </c>
      <c r="Z793" t="s">
        <v>14965</v>
      </c>
      <c r="AA793" t="s">
        <v>14966</v>
      </c>
      <c r="AB793" t="s">
        <v>14967</v>
      </c>
      <c r="AC793" t="s">
        <v>14968</v>
      </c>
      <c r="AD793" t="s">
        <v>14969</v>
      </c>
      <c r="AE793" t="s">
        <v>14970</v>
      </c>
      <c r="AF793" t="s">
        <v>74</v>
      </c>
      <c r="AG793">
        <v>73</v>
      </c>
      <c r="AH793">
        <v>14</v>
      </c>
      <c r="AI793">
        <v>15</v>
      </c>
      <c r="AJ793">
        <v>2</v>
      </c>
      <c r="AK793">
        <v>37</v>
      </c>
      <c r="AL793" t="s">
        <v>264</v>
      </c>
      <c r="AM793" t="s">
        <v>169</v>
      </c>
      <c r="AN793" t="s">
        <v>265</v>
      </c>
      <c r="AO793" t="s">
        <v>14971</v>
      </c>
      <c r="AP793" t="s">
        <v>14972</v>
      </c>
      <c r="AQ793" t="s">
        <v>74</v>
      </c>
      <c r="AR793" t="s">
        <v>14973</v>
      </c>
      <c r="AS793" t="s">
        <v>14974</v>
      </c>
      <c r="AT793" t="s">
        <v>12991</v>
      </c>
      <c r="AU793">
        <v>2016</v>
      </c>
      <c r="AV793">
        <v>76</v>
      </c>
      <c r="AW793" t="s">
        <v>74</v>
      </c>
      <c r="AX793" t="s">
        <v>2081</v>
      </c>
      <c r="AY793" t="s">
        <v>74</v>
      </c>
      <c r="AZ793" t="s">
        <v>74</v>
      </c>
      <c r="BA793" t="s">
        <v>74</v>
      </c>
      <c r="BB793">
        <v>72</v>
      </c>
      <c r="BC793">
        <v>82</v>
      </c>
      <c r="BD793" t="s">
        <v>74</v>
      </c>
      <c r="BE793" t="s">
        <v>14975</v>
      </c>
      <c r="BF793" t="str">
        <f>HYPERLINK("http://dx.doi.org/10.1016/j.dynatmoce.2016.09.002","http://dx.doi.org/10.1016/j.dynatmoce.2016.09.002")</f>
        <v>http://dx.doi.org/10.1016/j.dynatmoce.2016.09.002</v>
      </c>
      <c r="BG793" t="s">
        <v>74</v>
      </c>
      <c r="BH793" t="s">
        <v>74</v>
      </c>
      <c r="BI793">
        <v>11</v>
      </c>
      <c r="BJ793" t="s">
        <v>14976</v>
      </c>
      <c r="BK793" t="s">
        <v>101</v>
      </c>
      <c r="BL793" t="s">
        <v>14976</v>
      </c>
      <c r="BM793" t="s">
        <v>14977</v>
      </c>
      <c r="BN793" t="s">
        <v>74</v>
      </c>
      <c r="BO793" t="s">
        <v>74</v>
      </c>
      <c r="BP793" t="s">
        <v>74</v>
      </c>
      <c r="BQ793" t="s">
        <v>74</v>
      </c>
      <c r="BR793" t="s">
        <v>105</v>
      </c>
      <c r="BS793" t="s">
        <v>14978</v>
      </c>
      <c r="BT793" t="str">
        <f>HYPERLINK("https%3A%2F%2Fwww.webofscience.com%2Fwos%2Fwoscc%2Ffull-record%2FWOS:000389389900006","View Full Record in Web of Science")</f>
        <v>View Full Record in Web of Science</v>
      </c>
    </row>
    <row r="794" spans="1:72" x14ac:dyDescent="0.15">
      <c r="A794" t="s">
        <v>72</v>
      </c>
      <c r="B794" t="s">
        <v>14979</v>
      </c>
      <c r="C794" t="s">
        <v>74</v>
      </c>
      <c r="D794" t="s">
        <v>74</v>
      </c>
      <c r="E794" t="s">
        <v>74</v>
      </c>
      <c r="F794" t="s">
        <v>14980</v>
      </c>
      <c r="G794" t="s">
        <v>74</v>
      </c>
      <c r="H794" t="s">
        <v>74</v>
      </c>
      <c r="I794" t="s">
        <v>14981</v>
      </c>
      <c r="J794" t="s">
        <v>1187</v>
      </c>
      <c r="K794" t="s">
        <v>74</v>
      </c>
      <c r="L794" t="s">
        <v>74</v>
      </c>
      <c r="M794" t="s">
        <v>78</v>
      </c>
      <c r="N794" t="s">
        <v>79</v>
      </c>
      <c r="O794" t="s">
        <v>74</v>
      </c>
      <c r="P794" t="s">
        <v>74</v>
      </c>
      <c r="Q794" t="s">
        <v>74</v>
      </c>
      <c r="R794" t="s">
        <v>74</v>
      </c>
      <c r="S794" t="s">
        <v>74</v>
      </c>
      <c r="T794" t="s">
        <v>14982</v>
      </c>
      <c r="U794" t="s">
        <v>14983</v>
      </c>
      <c r="V794" t="s">
        <v>14984</v>
      </c>
      <c r="W794" t="s">
        <v>14985</v>
      </c>
      <c r="X794" t="s">
        <v>14986</v>
      </c>
      <c r="Y794" t="s">
        <v>14987</v>
      </c>
      <c r="Z794" t="s">
        <v>14988</v>
      </c>
      <c r="AA794" t="s">
        <v>74</v>
      </c>
      <c r="AB794" t="s">
        <v>14989</v>
      </c>
      <c r="AC794" t="s">
        <v>14990</v>
      </c>
      <c r="AD794" t="s">
        <v>14991</v>
      </c>
      <c r="AE794" t="s">
        <v>14992</v>
      </c>
      <c r="AF794" t="s">
        <v>74</v>
      </c>
      <c r="AG794">
        <v>69</v>
      </c>
      <c r="AH794">
        <v>15</v>
      </c>
      <c r="AI794">
        <v>16</v>
      </c>
      <c r="AJ794">
        <v>1</v>
      </c>
      <c r="AK794">
        <v>19</v>
      </c>
      <c r="AL794" t="s">
        <v>264</v>
      </c>
      <c r="AM794" t="s">
        <v>169</v>
      </c>
      <c r="AN794" t="s">
        <v>265</v>
      </c>
      <c r="AO794" t="s">
        <v>1200</v>
      </c>
      <c r="AP794" t="s">
        <v>1201</v>
      </c>
      <c r="AQ794" t="s">
        <v>74</v>
      </c>
      <c r="AR794" t="s">
        <v>1202</v>
      </c>
      <c r="AS794" t="s">
        <v>1203</v>
      </c>
      <c r="AT794" t="s">
        <v>13135</v>
      </c>
      <c r="AU794">
        <v>2016</v>
      </c>
      <c r="AV794">
        <v>455</v>
      </c>
      <c r="AW794" t="s">
        <v>74</v>
      </c>
      <c r="AX794" t="s">
        <v>74</v>
      </c>
      <c r="AY794" t="s">
        <v>74</v>
      </c>
      <c r="AZ794" t="s">
        <v>74</v>
      </c>
      <c r="BA794" t="s">
        <v>74</v>
      </c>
      <c r="BB794">
        <v>73</v>
      </c>
      <c r="BC794">
        <v>84</v>
      </c>
      <c r="BD794" t="s">
        <v>74</v>
      </c>
      <c r="BE794" t="s">
        <v>14993</v>
      </c>
      <c r="BF794" t="str">
        <f>HYPERLINK("http://dx.doi.org/10.1016/j.epsl.2016.07.027","http://dx.doi.org/10.1016/j.epsl.2016.07.027")</f>
        <v>http://dx.doi.org/10.1016/j.epsl.2016.07.027</v>
      </c>
      <c r="BG794" t="s">
        <v>74</v>
      </c>
      <c r="BH794" t="s">
        <v>74</v>
      </c>
      <c r="BI794">
        <v>12</v>
      </c>
      <c r="BJ794" t="s">
        <v>299</v>
      </c>
      <c r="BK794" t="s">
        <v>101</v>
      </c>
      <c r="BL794" t="s">
        <v>299</v>
      </c>
      <c r="BM794" t="s">
        <v>14359</v>
      </c>
      <c r="BN794" t="s">
        <v>74</v>
      </c>
      <c r="BO794" t="s">
        <v>378</v>
      </c>
      <c r="BP794" t="s">
        <v>74</v>
      </c>
      <c r="BQ794" t="s">
        <v>74</v>
      </c>
      <c r="BR794" t="s">
        <v>105</v>
      </c>
      <c r="BS794" t="s">
        <v>14994</v>
      </c>
      <c r="BT794" t="str">
        <f>HYPERLINK("https%3A%2F%2Fwww.webofscience.com%2Fwos%2Fwoscc%2Ffull-record%2FWOS:000386738200008","View Full Record in Web of Science")</f>
        <v>View Full Record in Web of Science</v>
      </c>
    </row>
    <row r="795" spans="1:72" x14ac:dyDescent="0.15">
      <c r="A795" t="s">
        <v>72</v>
      </c>
      <c r="B795" t="s">
        <v>14995</v>
      </c>
      <c r="C795" t="s">
        <v>74</v>
      </c>
      <c r="D795" t="s">
        <v>74</v>
      </c>
      <c r="E795" t="s">
        <v>74</v>
      </c>
      <c r="F795" t="s">
        <v>14996</v>
      </c>
      <c r="G795" t="s">
        <v>74</v>
      </c>
      <c r="H795" t="s">
        <v>74</v>
      </c>
      <c r="I795" t="s">
        <v>14997</v>
      </c>
      <c r="J795" t="s">
        <v>1187</v>
      </c>
      <c r="K795" t="s">
        <v>74</v>
      </c>
      <c r="L795" t="s">
        <v>74</v>
      </c>
      <c r="M795" t="s">
        <v>78</v>
      </c>
      <c r="N795" t="s">
        <v>79</v>
      </c>
      <c r="O795" t="s">
        <v>74</v>
      </c>
      <c r="P795" t="s">
        <v>74</v>
      </c>
      <c r="Q795" t="s">
        <v>74</v>
      </c>
      <c r="R795" t="s">
        <v>74</v>
      </c>
      <c r="S795" t="s">
        <v>74</v>
      </c>
      <c r="T795" t="s">
        <v>14998</v>
      </c>
      <c r="U795" t="s">
        <v>14999</v>
      </c>
      <c r="V795" t="s">
        <v>15000</v>
      </c>
      <c r="W795" t="s">
        <v>15001</v>
      </c>
      <c r="X795" t="s">
        <v>15002</v>
      </c>
      <c r="Y795" t="s">
        <v>15003</v>
      </c>
      <c r="Z795" t="s">
        <v>15004</v>
      </c>
      <c r="AA795" t="s">
        <v>74</v>
      </c>
      <c r="AB795" t="s">
        <v>15005</v>
      </c>
      <c r="AC795" t="s">
        <v>15006</v>
      </c>
      <c r="AD795" t="s">
        <v>15007</v>
      </c>
      <c r="AE795" t="s">
        <v>15008</v>
      </c>
      <c r="AF795" t="s">
        <v>74</v>
      </c>
      <c r="AG795">
        <v>60</v>
      </c>
      <c r="AH795">
        <v>22</v>
      </c>
      <c r="AI795">
        <v>24</v>
      </c>
      <c r="AJ795">
        <v>0</v>
      </c>
      <c r="AK795">
        <v>5</v>
      </c>
      <c r="AL795" t="s">
        <v>264</v>
      </c>
      <c r="AM795" t="s">
        <v>169</v>
      </c>
      <c r="AN795" t="s">
        <v>265</v>
      </c>
      <c r="AO795" t="s">
        <v>1200</v>
      </c>
      <c r="AP795" t="s">
        <v>1201</v>
      </c>
      <c r="AQ795" t="s">
        <v>74</v>
      </c>
      <c r="AR795" t="s">
        <v>1202</v>
      </c>
      <c r="AS795" t="s">
        <v>1203</v>
      </c>
      <c r="AT795" t="s">
        <v>13135</v>
      </c>
      <c r="AU795">
        <v>2016</v>
      </c>
      <c r="AV795">
        <v>455</v>
      </c>
      <c r="AW795" t="s">
        <v>74</v>
      </c>
      <c r="AX795" t="s">
        <v>74</v>
      </c>
      <c r="AY795" t="s">
        <v>74</v>
      </c>
      <c r="AZ795" t="s">
        <v>74</v>
      </c>
      <c r="BA795" t="s">
        <v>74</v>
      </c>
      <c r="BB795">
        <v>115</v>
      </c>
      <c r="BC795">
        <v>124</v>
      </c>
      <c r="BD795" t="s">
        <v>74</v>
      </c>
      <c r="BE795" t="s">
        <v>15009</v>
      </c>
      <c r="BF795" t="str">
        <f>HYPERLINK("http://dx.doi.org/10.1016/j.epsl.2016.09.026","http://dx.doi.org/10.1016/j.epsl.2016.09.026")</f>
        <v>http://dx.doi.org/10.1016/j.epsl.2016.09.026</v>
      </c>
      <c r="BG795" t="s">
        <v>74</v>
      </c>
      <c r="BH795" t="s">
        <v>74</v>
      </c>
      <c r="BI795">
        <v>10</v>
      </c>
      <c r="BJ795" t="s">
        <v>299</v>
      </c>
      <c r="BK795" t="s">
        <v>101</v>
      </c>
      <c r="BL795" t="s">
        <v>299</v>
      </c>
      <c r="BM795" t="s">
        <v>14359</v>
      </c>
      <c r="BN795" t="s">
        <v>74</v>
      </c>
      <c r="BO795" t="s">
        <v>301</v>
      </c>
      <c r="BP795" t="s">
        <v>74</v>
      </c>
      <c r="BQ795" t="s">
        <v>74</v>
      </c>
      <c r="BR795" t="s">
        <v>105</v>
      </c>
      <c r="BS795" t="s">
        <v>15010</v>
      </c>
      <c r="BT795" t="str">
        <f>HYPERLINK("https%3A%2F%2Fwww.webofscience.com%2Fwos%2Fwoscc%2Ffull-record%2FWOS:000386738200012","View Full Record in Web of Science")</f>
        <v>View Full Record in Web of Science</v>
      </c>
    </row>
    <row r="796" spans="1:72" x14ac:dyDescent="0.15">
      <c r="A796" t="s">
        <v>72</v>
      </c>
      <c r="B796" t="s">
        <v>15011</v>
      </c>
      <c r="C796" t="s">
        <v>74</v>
      </c>
      <c r="D796" t="s">
        <v>74</v>
      </c>
      <c r="E796" t="s">
        <v>74</v>
      </c>
      <c r="F796" t="s">
        <v>15012</v>
      </c>
      <c r="G796" t="s">
        <v>74</v>
      </c>
      <c r="H796" t="s">
        <v>74</v>
      </c>
      <c r="I796" t="s">
        <v>15013</v>
      </c>
      <c r="J796" t="s">
        <v>9135</v>
      </c>
      <c r="K796" t="s">
        <v>74</v>
      </c>
      <c r="L796" t="s">
        <v>74</v>
      </c>
      <c r="M796" t="s">
        <v>78</v>
      </c>
      <c r="N796" t="s">
        <v>79</v>
      </c>
      <c r="O796" t="s">
        <v>74</v>
      </c>
      <c r="P796" t="s">
        <v>74</v>
      </c>
      <c r="Q796" t="s">
        <v>74</v>
      </c>
      <c r="R796" t="s">
        <v>74</v>
      </c>
      <c r="S796" t="s">
        <v>74</v>
      </c>
      <c r="T796" t="s">
        <v>15014</v>
      </c>
      <c r="U796" t="s">
        <v>15015</v>
      </c>
      <c r="V796" t="s">
        <v>15016</v>
      </c>
      <c r="W796" t="s">
        <v>15017</v>
      </c>
      <c r="X796" t="s">
        <v>15018</v>
      </c>
      <c r="Y796" t="s">
        <v>15019</v>
      </c>
      <c r="Z796" t="s">
        <v>15020</v>
      </c>
      <c r="AA796" t="s">
        <v>15021</v>
      </c>
      <c r="AB796" t="s">
        <v>15022</v>
      </c>
      <c r="AC796" t="s">
        <v>15023</v>
      </c>
      <c r="AD796" t="s">
        <v>15024</v>
      </c>
      <c r="AE796" t="s">
        <v>15025</v>
      </c>
      <c r="AF796" t="s">
        <v>74</v>
      </c>
      <c r="AG796">
        <v>54</v>
      </c>
      <c r="AH796">
        <v>38</v>
      </c>
      <c r="AI796">
        <v>42</v>
      </c>
      <c r="AJ796">
        <v>1</v>
      </c>
      <c r="AK796">
        <v>45</v>
      </c>
      <c r="AL796" t="s">
        <v>2377</v>
      </c>
      <c r="AM796" t="s">
        <v>2378</v>
      </c>
      <c r="AN796" t="s">
        <v>2379</v>
      </c>
      <c r="AO796" t="s">
        <v>9148</v>
      </c>
      <c r="AP796" t="s">
        <v>9149</v>
      </c>
      <c r="AQ796" t="s">
        <v>74</v>
      </c>
      <c r="AR796" t="s">
        <v>9150</v>
      </c>
      <c r="AS796" t="s">
        <v>9151</v>
      </c>
      <c r="AT796" t="s">
        <v>12991</v>
      </c>
      <c r="AU796">
        <v>2016</v>
      </c>
      <c r="AV796">
        <v>26</v>
      </c>
      <c r="AW796">
        <v>8</v>
      </c>
      <c r="AX796" t="s">
        <v>74</v>
      </c>
      <c r="AY796" t="s">
        <v>74</v>
      </c>
      <c r="AZ796" t="s">
        <v>74</v>
      </c>
      <c r="BA796" t="s">
        <v>74</v>
      </c>
      <c r="BB796">
        <v>2493</v>
      </c>
      <c r="BC796">
        <v>2504</v>
      </c>
      <c r="BD796" t="s">
        <v>74</v>
      </c>
      <c r="BE796" t="s">
        <v>15026</v>
      </c>
      <c r="BF796" t="str">
        <f>HYPERLINK("http://dx.doi.org/10.1002/eap.1406","http://dx.doi.org/10.1002/eap.1406")</f>
        <v>http://dx.doi.org/10.1002/eap.1406</v>
      </c>
      <c r="BG796" t="s">
        <v>74</v>
      </c>
      <c r="BH796" t="s">
        <v>74</v>
      </c>
      <c r="BI796">
        <v>12</v>
      </c>
      <c r="BJ796" t="s">
        <v>3104</v>
      </c>
      <c r="BK796" t="s">
        <v>101</v>
      </c>
      <c r="BL796" t="s">
        <v>178</v>
      </c>
      <c r="BM796" t="s">
        <v>15027</v>
      </c>
      <c r="BN796">
        <v>27787926</v>
      </c>
      <c r="BO796" t="s">
        <v>506</v>
      </c>
      <c r="BP796" t="s">
        <v>74</v>
      </c>
      <c r="BQ796" t="s">
        <v>74</v>
      </c>
      <c r="BR796" t="s">
        <v>105</v>
      </c>
      <c r="BS796" t="s">
        <v>15028</v>
      </c>
      <c r="BT796" t="str">
        <f>HYPERLINK("https%3A%2F%2Fwww.webofscience.com%2Fwos%2Fwoscc%2Ffull-record%2FWOS:000389316400012","View Full Record in Web of Science")</f>
        <v>View Full Record in Web of Science</v>
      </c>
    </row>
    <row r="797" spans="1:72" x14ac:dyDescent="0.15">
      <c r="A797" t="s">
        <v>72</v>
      </c>
      <c r="B797" t="s">
        <v>15029</v>
      </c>
      <c r="C797" t="s">
        <v>74</v>
      </c>
      <c r="D797" t="s">
        <v>74</v>
      </c>
      <c r="E797" t="s">
        <v>74</v>
      </c>
      <c r="F797" t="s">
        <v>15030</v>
      </c>
      <c r="G797" t="s">
        <v>74</v>
      </c>
      <c r="H797" t="s">
        <v>74</v>
      </c>
      <c r="I797" t="s">
        <v>15031</v>
      </c>
      <c r="J797" t="s">
        <v>8477</v>
      </c>
      <c r="K797" t="s">
        <v>74</v>
      </c>
      <c r="L797" t="s">
        <v>74</v>
      </c>
      <c r="M797" t="s">
        <v>78</v>
      </c>
      <c r="N797" t="s">
        <v>79</v>
      </c>
      <c r="O797" t="s">
        <v>74</v>
      </c>
      <c r="P797" t="s">
        <v>74</v>
      </c>
      <c r="Q797" t="s">
        <v>74</v>
      </c>
      <c r="R797" t="s">
        <v>74</v>
      </c>
      <c r="S797" t="s">
        <v>74</v>
      </c>
      <c r="T797" t="s">
        <v>15032</v>
      </c>
      <c r="U797" t="s">
        <v>15033</v>
      </c>
      <c r="V797" t="s">
        <v>15034</v>
      </c>
      <c r="W797" t="s">
        <v>15035</v>
      </c>
      <c r="X797" t="s">
        <v>15036</v>
      </c>
      <c r="Y797" t="s">
        <v>15037</v>
      </c>
      <c r="Z797" t="s">
        <v>15038</v>
      </c>
      <c r="AA797" t="s">
        <v>15039</v>
      </c>
      <c r="AB797" t="s">
        <v>15040</v>
      </c>
      <c r="AC797" t="s">
        <v>15041</v>
      </c>
      <c r="AD797" t="s">
        <v>15042</v>
      </c>
      <c r="AE797" t="s">
        <v>15043</v>
      </c>
      <c r="AF797" t="s">
        <v>74</v>
      </c>
      <c r="AG797">
        <v>82</v>
      </c>
      <c r="AH797">
        <v>14</v>
      </c>
      <c r="AI797">
        <v>16</v>
      </c>
      <c r="AJ797">
        <v>1</v>
      </c>
      <c r="AK797">
        <v>32</v>
      </c>
      <c r="AL797" t="s">
        <v>2377</v>
      </c>
      <c r="AM797" t="s">
        <v>2378</v>
      </c>
      <c r="AN797" t="s">
        <v>2379</v>
      </c>
      <c r="AO797" t="s">
        <v>8488</v>
      </c>
      <c r="AP797" t="s">
        <v>74</v>
      </c>
      <c r="AQ797" t="s">
        <v>74</v>
      </c>
      <c r="AR797" t="s">
        <v>8477</v>
      </c>
      <c r="AS797" t="s">
        <v>8489</v>
      </c>
      <c r="AT797" t="s">
        <v>12991</v>
      </c>
      <c r="AU797">
        <v>2016</v>
      </c>
      <c r="AV797">
        <v>7</v>
      </c>
      <c r="AW797">
        <v>12</v>
      </c>
      <c r="AX797" t="s">
        <v>74</v>
      </c>
      <c r="AY797" t="s">
        <v>74</v>
      </c>
      <c r="AZ797" t="s">
        <v>74</v>
      </c>
      <c r="BA797" t="s">
        <v>74</v>
      </c>
      <c r="BB797" t="s">
        <v>74</v>
      </c>
      <c r="BC797" t="s">
        <v>74</v>
      </c>
      <c r="BD797" t="s">
        <v>15044</v>
      </c>
      <c r="BE797" t="s">
        <v>15045</v>
      </c>
      <c r="BF797" t="str">
        <f>HYPERLINK("http://dx.doi.org/10.1002/ecs2.1449","http://dx.doi.org/10.1002/ecs2.1449")</f>
        <v>http://dx.doi.org/10.1002/ecs2.1449</v>
      </c>
      <c r="BG797" t="s">
        <v>74</v>
      </c>
      <c r="BH797" t="s">
        <v>74</v>
      </c>
      <c r="BI797">
        <v>22</v>
      </c>
      <c r="BJ797" t="s">
        <v>1739</v>
      </c>
      <c r="BK797" t="s">
        <v>101</v>
      </c>
      <c r="BL797" t="s">
        <v>178</v>
      </c>
      <c r="BM797" t="s">
        <v>13947</v>
      </c>
      <c r="BN797" t="s">
        <v>74</v>
      </c>
      <c r="BO797" t="s">
        <v>941</v>
      </c>
      <c r="BP797" t="s">
        <v>74</v>
      </c>
      <c r="BQ797" t="s">
        <v>74</v>
      </c>
      <c r="BR797" t="s">
        <v>105</v>
      </c>
      <c r="BS797" t="s">
        <v>15046</v>
      </c>
      <c r="BT797" t="str">
        <f>HYPERLINK("https%3A%2F%2Fwww.webofscience.com%2Fwos%2Fwoscc%2Ffull-record%2FWOS:000390136700021","View Full Record in Web of Science")</f>
        <v>View Full Record in Web of Science</v>
      </c>
    </row>
    <row r="798" spans="1:72" x14ac:dyDescent="0.15">
      <c r="A798" t="s">
        <v>72</v>
      </c>
      <c r="B798" t="s">
        <v>15047</v>
      </c>
      <c r="C798" t="s">
        <v>74</v>
      </c>
      <c r="D798" t="s">
        <v>74</v>
      </c>
      <c r="E798" t="s">
        <v>74</v>
      </c>
      <c r="F798" t="s">
        <v>15048</v>
      </c>
      <c r="G798" t="s">
        <v>74</v>
      </c>
      <c r="H798" t="s">
        <v>74</v>
      </c>
      <c r="I798" t="s">
        <v>15049</v>
      </c>
      <c r="J798" t="s">
        <v>15050</v>
      </c>
      <c r="K798" t="s">
        <v>74</v>
      </c>
      <c r="L798" t="s">
        <v>74</v>
      </c>
      <c r="M798" t="s">
        <v>78</v>
      </c>
      <c r="N798" t="s">
        <v>7937</v>
      </c>
      <c r="O798" t="s">
        <v>74</v>
      </c>
      <c r="P798" t="s">
        <v>74</v>
      </c>
      <c r="Q798" t="s">
        <v>74</v>
      </c>
      <c r="R798" t="s">
        <v>74</v>
      </c>
      <c r="S798" t="s">
        <v>74</v>
      </c>
      <c r="T798" t="s">
        <v>74</v>
      </c>
      <c r="U798" t="s">
        <v>15051</v>
      </c>
      <c r="V798" t="s">
        <v>74</v>
      </c>
      <c r="W798" t="s">
        <v>15052</v>
      </c>
      <c r="X798" t="s">
        <v>15053</v>
      </c>
      <c r="Y798" t="s">
        <v>15054</v>
      </c>
      <c r="Z798" t="s">
        <v>15055</v>
      </c>
      <c r="AA798" t="s">
        <v>15056</v>
      </c>
      <c r="AB798" t="s">
        <v>15057</v>
      </c>
      <c r="AC798" t="s">
        <v>15058</v>
      </c>
      <c r="AD798" t="s">
        <v>15059</v>
      </c>
      <c r="AE798" t="s">
        <v>74</v>
      </c>
      <c r="AF798" t="s">
        <v>74</v>
      </c>
      <c r="AG798">
        <v>10</v>
      </c>
      <c r="AH798">
        <v>16</v>
      </c>
      <c r="AI798">
        <v>16</v>
      </c>
      <c r="AJ798">
        <v>0</v>
      </c>
      <c r="AK798">
        <v>21</v>
      </c>
      <c r="AL798" t="s">
        <v>15060</v>
      </c>
      <c r="AM798" t="s">
        <v>15061</v>
      </c>
      <c r="AN798" t="s">
        <v>15062</v>
      </c>
      <c r="AO798" t="s">
        <v>15063</v>
      </c>
      <c r="AP798" t="s">
        <v>15064</v>
      </c>
      <c r="AQ798" t="s">
        <v>74</v>
      </c>
      <c r="AR798" t="s">
        <v>15065</v>
      </c>
      <c r="AS798" t="s">
        <v>15066</v>
      </c>
      <c r="AT798" t="s">
        <v>12991</v>
      </c>
      <c r="AU798">
        <v>2016</v>
      </c>
      <c r="AV798">
        <v>22</v>
      </c>
      <c r="AW798">
        <v>12</v>
      </c>
      <c r="AX798" t="s">
        <v>74</v>
      </c>
      <c r="AY798" t="s">
        <v>74</v>
      </c>
      <c r="AZ798" t="s">
        <v>74</v>
      </c>
      <c r="BA798" t="s">
        <v>74</v>
      </c>
      <c r="BB798">
        <v>2221</v>
      </c>
      <c r="BC798">
        <v>2223</v>
      </c>
      <c r="BD798" t="s">
        <v>74</v>
      </c>
      <c r="BE798" t="s">
        <v>15067</v>
      </c>
      <c r="BF798" t="str">
        <f>HYPERLINK("http://dx.doi.org/10.3201/eid2212.161076","http://dx.doi.org/10.3201/eid2212.161076")</f>
        <v>http://dx.doi.org/10.3201/eid2212.161076</v>
      </c>
      <c r="BG798" t="s">
        <v>74</v>
      </c>
      <c r="BH798" t="s">
        <v>74</v>
      </c>
      <c r="BI798">
        <v>3</v>
      </c>
      <c r="BJ798" t="s">
        <v>15068</v>
      </c>
      <c r="BK798" t="s">
        <v>101</v>
      </c>
      <c r="BL798" t="s">
        <v>15068</v>
      </c>
      <c r="BM798" t="s">
        <v>15069</v>
      </c>
      <c r="BN798">
        <v>27662612</v>
      </c>
      <c r="BO798" t="s">
        <v>591</v>
      </c>
      <c r="BP798" t="s">
        <v>74</v>
      </c>
      <c r="BQ798" t="s">
        <v>74</v>
      </c>
      <c r="BR798" t="s">
        <v>105</v>
      </c>
      <c r="BS798" t="s">
        <v>15070</v>
      </c>
      <c r="BT798" t="str">
        <f>HYPERLINK("https%3A%2F%2Fwww.webofscience.com%2Fwos%2Fwoscc%2Ffull-record%2FWOS:000388912900044","View Full Record in Web of Science")</f>
        <v>View Full Record in Web of Science</v>
      </c>
    </row>
    <row r="799" spans="1:72" x14ac:dyDescent="0.15">
      <c r="A799" t="s">
        <v>72</v>
      </c>
      <c r="B799" t="s">
        <v>15071</v>
      </c>
      <c r="C799" t="s">
        <v>74</v>
      </c>
      <c r="D799" t="s">
        <v>74</v>
      </c>
      <c r="E799" t="s">
        <v>74</v>
      </c>
      <c r="F799" t="s">
        <v>15072</v>
      </c>
      <c r="G799" t="s">
        <v>74</v>
      </c>
      <c r="H799" t="s">
        <v>74</v>
      </c>
      <c r="I799" t="s">
        <v>15073</v>
      </c>
      <c r="J799" t="s">
        <v>13367</v>
      </c>
      <c r="K799" t="s">
        <v>74</v>
      </c>
      <c r="L799" t="s">
        <v>74</v>
      </c>
      <c r="M799" t="s">
        <v>78</v>
      </c>
      <c r="N799" t="s">
        <v>79</v>
      </c>
      <c r="O799" t="s">
        <v>74</v>
      </c>
      <c r="P799" t="s">
        <v>74</v>
      </c>
      <c r="Q799" t="s">
        <v>74</v>
      </c>
      <c r="R799" t="s">
        <v>74</v>
      </c>
      <c r="S799" t="s">
        <v>74</v>
      </c>
      <c r="T799" t="s">
        <v>74</v>
      </c>
      <c r="U799" t="s">
        <v>15074</v>
      </c>
      <c r="V799" t="s">
        <v>15075</v>
      </c>
      <c r="W799" t="s">
        <v>15076</v>
      </c>
      <c r="X799" t="s">
        <v>15077</v>
      </c>
      <c r="Y799" t="s">
        <v>15078</v>
      </c>
      <c r="Z799" t="s">
        <v>15079</v>
      </c>
      <c r="AA799" t="s">
        <v>15080</v>
      </c>
      <c r="AB799" t="s">
        <v>15081</v>
      </c>
      <c r="AC799" t="s">
        <v>15082</v>
      </c>
      <c r="AD799" t="s">
        <v>15083</v>
      </c>
      <c r="AE799" t="s">
        <v>15084</v>
      </c>
      <c r="AF799" t="s">
        <v>74</v>
      </c>
      <c r="AG799">
        <v>79</v>
      </c>
      <c r="AH799">
        <v>17</v>
      </c>
      <c r="AI799">
        <v>19</v>
      </c>
      <c r="AJ799">
        <v>2</v>
      </c>
      <c r="AK799">
        <v>36</v>
      </c>
      <c r="AL799" t="s">
        <v>2377</v>
      </c>
      <c r="AM799" t="s">
        <v>2378</v>
      </c>
      <c r="AN799" t="s">
        <v>2379</v>
      </c>
      <c r="AO799" t="s">
        <v>13379</v>
      </c>
      <c r="AP799" t="s">
        <v>13380</v>
      </c>
      <c r="AQ799" t="s">
        <v>74</v>
      </c>
      <c r="AR799" t="s">
        <v>13381</v>
      </c>
      <c r="AS799" t="s">
        <v>13382</v>
      </c>
      <c r="AT799" t="s">
        <v>12991</v>
      </c>
      <c r="AU799">
        <v>2016</v>
      </c>
      <c r="AV799">
        <v>18</v>
      </c>
      <c r="AW799">
        <v>12</v>
      </c>
      <c r="AX799" t="s">
        <v>74</v>
      </c>
      <c r="AY799" t="s">
        <v>74</v>
      </c>
      <c r="AZ799" t="s">
        <v>74</v>
      </c>
      <c r="BA799" t="s">
        <v>74</v>
      </c>
      <c r="BB799">
        <v>4426</v>
      </c>
      <c r="BC799">
        <v>4441</v>
      </c>
      <c r="BD799" t="s">
        <v>74</v>
      </c>
      <c r="BE799" t="s">
        <v>15085</v>
      </c>
      <c r="BF799" t="str">
        <f>HYPERLINK("http://dx.doi.org/10.1111/1462-2920.13388","http://dx.doi.org/10.1111/1462-2920.13388")</f>
        <v>http://dx.doi.org/10.1111/1462-2920.13388</v>
      </c>
      <c r="BG799" t="s">
        <v>74</v>
      </c>
      <c r="BH799" t="s">
        <v>74</v>
      </c>
      <c r="BI799">
        <v>16</v>
      </c>
      <c r="BJ799" t="s">
        <v>2026</v>
      </c>
      <c r="BK799" t="s">
        <v>101</v>
      </c>
      <c r="BL799" t="s">
        <v>2026</v>
      </c>
      <c r="BM799" t="s">
        <v>13384</v>
      </c>
      <c r="BN799">
        <v>27241114</v>
      </c>
      <c r="BO799" t="s">
        <v>74</v>
      </c>
      <c r="BP799" t="s">
        <v>74</v>
      </c>
      <c r="BQ799" t="s">
        <v>74</v>
      </c>
      <c r="BR799" t="s">
        <v>105</v>
      </c>
      <c r="BS799" t="s">
        <v>15086</v>
      </c>
      <c r="BT799" t="str">
        <f>HYPERLINK("https%3A%2F%2Fwww.webofscience.com%2Fwos%2Fwoscc%2Ffull-record%2FWOS:000392946900011","View Full Record in Web of Science")</f>
        <v>View Full Record in Web of Science</v>
      </c>
    </row>
    <row r="800" spans="1:72" x14ac:dyDescent="0.15">
      <c r="A800" t="s">
        <v>72</v>
      </c>
      <c r="B800" t="s">
        <v>15087</v>
      </c>
      <c r="C800" t="s">
        <v>74</v>
      </c>
      <c r="D800" t="s">
        <v>74</v>
      </c>
      <c r="E800" t="s">
        <v>74</v>
      </c>
      <c r="F800" t="s">
        <v>15088</v>
      </c>
      <c r="G800" t="s">
        <v>74</v>
      </c>
      <c r="H800" t="s">
        <v>74</v>
      </c>
      <c r="I800" t="s">
        <v>15089</v>
      </c>
      <c r="J800" t="s">
        <v>13367</v>
      </c>
      <c r="K800" t="s">
        <v>74</v>
      </c>
      <c r="L800" t="s">
        <v>74</v>
      </c>
      <c r="M800" t="s">
        <v>78</v>
      </c>
      <c r="N800" t="s">
        <v>79</v>
      </c>
      <c r="O800" t="s">
        <v>74</v>
      </c>
      <c r="P800" t="s">
        <v>74</v>
      </c>
      <c r="Q800" t="s">
        <v>74</v>
      </c>
      <c r="R800" t="s">
        <v>74</v>
      </c>
      <c r="S800" t="s">
        <v>74</v>
      </c>
      <c r="T800" t="s">
        <v>74</v>
      </c>
      <c r="U800" t="s">
        <v>15090</v>
      </c>
      <c r="V800" t="s">
        <v>15091</v>
      </c>
      <c r="W800" t="s">
        <v>15092</v>
      </c>
      <c r="X800" t="s">
        <v>15093</v>
      </c>
      <c r="Y800" t="s">
        <v>15094</v>
      </c>
      <c r="Z800" t="s">
        <v>15095</v>
      </c>
      <c r="AA800" t="s">
        <v>15096</v>
      </c>
      <c r="AB800" t="s">
        <v>15097</v>
      </c>
      <c r="AC800" t="s">
        <v>15098</v>
      </c>
      <c r="AD800" t="s">
        <v>15099</v>
      </c>
      <c r="AE800" t="s">
        <v>15100</v>
      </c>
      <c r="AF800" t="s">
        <v>74</v>
      </c>
      <c r="AG800">
        <v>70</v>
      </c>
      <c r="AH800">
        <v>25</v>
      </c>
      <c r="AI800">
        <v>26</v>
      </c>
      <c r="AJ800">
        <v>1</v>
      </c>
      <c r="AK800">
        <v>31</v>
      </c>
      <c r="AL800" t="s">
        <v>2377</v>
      </c>
      <c r="AM800" t="s">
        <v>2378</v>
      </c>
      <c r="AN800" t="s">
        <v>2379</v>
      </c>
      <c r="AO800" t="s">
        <v>13379</v>
      </c>
      <c r="AP800" t="s">
        <v>13380</v>
      </c>
      <c r="AQ800" t="s">
        <v>74</v>
      </c>
      <c r="AR800" t="s">
        <v>13381</v>
      </c>
      <c r="AS800" t="s">
        <v>13382</v>
      </c>
      <c r="AT800" t="s">
        <v>12991</v>
      </c>
      <c r="AU800">
        <v>2016</v>
      </c>
      <c r="AV800">
        <v>18</v>
      </c>
      <c r="AW800">
        <v>12</v>
      </c>
      <c r="AX800" t="s">
        <v>74</v>
      </c>
      <c r="AY800" t="s">
        <v>74</v>
      </c>
      <c r="AZ800" t="s">
        <v>74</v>
      </c>
      <c r="BA800" t="s">
        <v>74</v>
      </c>
      <c r="BB800">
        <v>4471</v>
      </c>
      <c r="BC800">
        <v>4484</v>
      </c>
      <c r="BD800" t="s">
        <v>74</v>
      </c>
      <c r="BE800" t="s">
        <v>15101</v>
      </c>
      <c r="BF800" t="str">
        <f>HYPERLINK("http://dx.doi.org/10.1111/1462-2920.13433","http://dx.doi.org/10.1111/1462-2920.13433")</f>
        <v>http://dx.doi.org/10.1111/1462-2920.13433</v>
      </c>
      <c r="BG800" t="s">
        <v>74</v>
      </c>
      <c r="BH800" t="s">
        <v>74</v>
      </c>
      <c r="BI800">
        <v>14</v>
      </c>
      <c r="BJ800" t="s">
        <v>2026</v>
      </c>
      <c r="BK800" t="s">
        <v>101</v>
      </c>
      <c r="BL800" t="s">
        <v>2026</v>
      </c>
      <c r="BM800" t="s">
        <v>13384</v>
      </c>
      <c r="BN800">
        <v>27348213</v>
      </c>
      <c r="BO800" t="s">
        <v>2771</v>
      </c>
      <c r="BP800" t="s">
        <v>74</v>
      </c>
      <c r="BQ800" t="s">
        <v>74</v>
      </c>
      <c r="BR800" t="s">
        <v>105</v>
      </c>
      <c r="BS800" t="s">
        <v>15102</v>
      </c>
      <c r="BT800" t="str">
        <f>HYPERLINK("https%3A%2F%2Fwww.webofscience.com%2Fwos%2Fwoscc%2Ffull-record%2FWOS:000392946900014","View Full Record in Web of Science")</f>
        <v>View Full Record in Web of Science</v>
      </c>
    </row>
    <row r="801" spans="1:72" x14ac:dyDescent="0.15">
      <c r="A801" t="s">
        <v>72</v>
      </c>
      <c r="B801" t="s">
        <v>15103</v>
      </c>
      <c r="C801" t="s">
        <v>74</v>
      </c>
      <c r="D801" t="s">
        <v>74</v>
      </c>
      <c r="E801" t="s">
        <v>74</v>
      </c>
      <c r="F801" t="s">
        <v>15104</v>
      </c>
      <c r="G801" t="s">
        <v>74</v>
      </c>
      <c r="H801" t="s">
        <v>74</v>
      </c>
      <c r="I801" t="s">
        <v>15105</v>
      </c>
      <c r="J801" t="s">
        <v>15106</v>
      </c>
      <c r="K801" t="s">
        <v>74</v>
      </c>
      <c r="L801" t="s">
        <v>74</v>
      </c>
      <c r="M801" t="s">
        <v>78</v>
      </c>
      <c r="N801" t="s">
        <v>79</v>
      </c>
      <c r="O801" t="s">
        <v>74</v>
      </c>
      <c r="P801" t="s">
        <v>74</v>
      </c>
      <c r="Q801" t="s">
        <v>74</v>
      </c>
      <c r="R801" t="s">
        <v>74</v>
      </c>
      <c r="S801" t="s">
        <v>74</v>
      </c>
      <c r="T801" t="s">
        <v>15107</v>
      </c>
      <c r="U801" t="s">
        <v>15108</v>
      </c>
      <c r="V801" t="s">
        <v>15109</v>
      </c>
      <c r="W801" t="s">
        <v>15110</v>
      </c>
      <c r="X801" t="s">
        <v>15111</v>
      </c>
      <c r="Y801" t="s">
        <v>15112</v>
      </c>
      <c r="Z801" t="s">
        <v>15113</v>
      </c>
      <c r="AA801" t="s">
        <v>15114</v>
      </c>
      <c r="AB801" t="s">
        <v>15115</v>
      </c>
      <c r="AC801" t="s">
        <v>15116</v>
      </c>
      <c r="AD801" t="s">
        <v>15117</v>
      </c>
      <c r="AE801" t="s">
        <v>15118</v>
      </c>
      <c r="AF801" t="s">
        <v>74</v>
      </c>
      <c r="AG801">
        <v>74</v>
      </c>
      <c r="AH801">
        <v>78</v>
      </c>
      <c r="AI801">
        <v>88</v>
      </c>
      <c r="AJ801">
        <v>7</v>
      </c>
      <c r="AK801">
        <v>53</v>
      </c>
      <c r="AL801" t="s">
        <v>4304</v>
      </c>
      <c r="AM801" t="s">
        <v>4305</v>
      </c>
      <c r="AN801" t="s">
        <v>9739</v>
      </c>
      <c r="AO801" t="s">
        <v>15119</v>
      </c>
      <c r="AP801" t="s">
        <v>74</v>
      </c>
      <c r="AQ801" t="s">
        <v>74</v>
      </c>
      <c r="AR801" t="s">
        <v>15120</v>
      </c>
      <c r="AS801" t="s">
        <v>15121</v>
      </c>
      <c r="AT801" t="s">
        <v>12991</v>
      </c>
      <c r="AU801">
        <v>2016</v>
      </c>
      <c r="AV801">
        <v>11</v>
      </c>
      <c r="AW801">
        <v>12</v>
      </c>
      <c r="AX801" t="s">
        <v>74</v>
      </c>
      <c r="AY801" t="s">
        <v>74</v>
      </c>
      <c r="AZ801" t="s">
        <v>74</v>
      </c>
      <c r="BA801" t="s">
        <v>74</v>
      </c>
      <c r="BB801" t="s">
        <v>74</v>
      </c>
      <c r="BC801" t="s">
        <v>74</v>
      </c>
      <c r="BD801">
        <v>124026</v>
      </c>
      <c r="BE801" t="s">
        <v>15122</v>
      </c>
      <c r="BF801" t="str">
        <f>HYPERLINK("http://dx.doi.org/10.1088/1748-9326/11/12/124026","http://dx.doi.org/10.1088/1748-9326/11/12/124026")</f>
        <v>http://dx.doi.org/10.1088/1748-9326/11/12/124026</v>
      </c>
      <c r="BG801" t="s">
        <v>74</v>
      </c>
      <c r="BH801" t="s">
        <v>74</v>
      </c>
      <c r="BI801">
        <v>11</v>
      </c>
      <c r="BJ801" t="s">
        <v>981</v>
      </c>
      <c r="BK801" t="s">
        <v>101</v>
      </c>
      <c r="BL801" t="s">
        <v>982</v>
      </c>
      <c r="BM801" t="s">
        <v>15123</v>
      </c>
      <c r="BN801" t="s">
        <v>74</v>
      </c>
      <c r="BO801" t="s">
        <v>941</v>
      </c>
      <c r="BP801" t="s">
        <v>74</v>
      </c>
      <c r="BQ801" t="s">
        <v>74</v>
      </c>
      <c r="BR801" t="s">
        <v>105</v>
      </c>
      <c r="BS801" t="s">
        <v>15124</v>
      </c>
      <c r="BT801" t="str">
        <f>HYPERLINK("https%3A%2F%2Fwww.webofscience.com%2Fwos%2Fwoscc%2Ffull-record%2FWOS:000391294200004","View Full Record in Web of Science")</f>
        <v>View Full Record in Web of Science</v>
      </c>
    </row>
    <row r="802" spans="1:72" x14ac:dyDescent="0.15">
      <c r="A802" t="s">
        <v>72</v>
      </c>
      <c r="B802" t="s">
        <v>15125</v>
      </c>
      <c r="C802" t="s">
        <v>74</v>
      </c>
      <c r="D802" t="s">
        <v>74</v>
      </c>
      <c r="E802" t="s">
        <v>74</v>
      </c>
      <c r="F802" t="s">
        <v>15126</v>
      </c>
      <c r="G802" t="s">
        <v>74</v>
      </c>
      <c r="H802" t="s">
        <v>74</v>
      </c>
      <c r="I802" t="s">
        <v>15127</v>
      </c>
      <c r="J802" t="s">
        <v>2338</v>
      </c>
      <c r="K802" t="s">
        <v>74</v>
      </c>
      <c r="L802" t="s">
        <v>74</v>
      </c>
      <c r="M802" t="s">
        <v>78</v>
      </c>
      <c r="N802" t="s">
        <v>79</v>
      </c>
      <c r="O802" t="s">
        <v>74</v>
      </c>
      <c r="P802" t="s">
        <v>74</v>
      </c>
      <c r="Q802" t="s">
        <v>74</v>
      </c>
      <c r="R802" t="s">
        <v>74</v>
      </c>
      <c r="S802" t="s">
        <v>74</v>
      </c>
      <c r="T802" t="s">
        <v>74</v>
      </c>
      <c r="U802" t="s">
        <v>15128</v>
      </c>
      <c r="V802" t="s">
        <v>15129</v>
      </c>
      <c r="W802" t="s">
        <v>15130</v>
      </c>
      <c r="X802" t="s">
        <v>2805</v>
      </c>
      <c r="Y802" t="s">
        <v>15131</v>
      </c>
      <c r="Z802" t="s">
        <v>15132</v>
      </c>
      <c r="AA802" t="s">
        <v>15133</v>
      </c>
      <c r="AB802" t="s">
        <v>15134</v>
      </c>
      <c r="AC802" t="s">
        <v>15135</v>
      </c>
      <c r="AD802" t="s">
        <v>15135</v>
      </c>
      <c r="AE802" t="s">
        <v>15136</v>
      </c>
      <c r="AF802" t="s">
        <v>74</v>
      </c>
      <c r="AG802">
        <v>76</v>
      </c>
      <c r="AH802">
        <v>28</v>
      </c>
      <c r="AI802">
        <v>31</v>
      </c>
      <c r="AJ802">
        <v>4</v>
      </c>
      <c r="AK802">
        <v>84</v>
      </c>
      <c r="AL802" t="s">
        <v>2351</v>
      </c>
      <c r="AM802" t="s">
        <v>2352</v>
      </c>
      <c r="AN802" t="s">
        <v>2353</v>
      </c>
      <c r="AO802" t="s">
        <v>2354</v>
      </c>
      <c r="AP802" t="s">
        <v>2355</v>
      </c>
      <c r="AQ802" t="s">
        <v>74</v>
      </c>
      <c r="AR802" t="s">
        <v>2356</v>
      </c>
      <c r="AS802" t="s">
        <v>2357</v>
      </c>
      <c r="AT802" t="s">
        <v>12991</v>
      </c>
      <c r="AU802">
        <v>2016</v>
      </c>
      <c r="AV802">
        <v>23</v>
      </c>
      <c r="AW802">
        <v>23</v>
      </c>
      <c r="AX802" t="s">
        <v>74</v>
      </c>
      <c r="AY802" t="s">
        <v>74</v>
      </c>
      <c r="AZ802" t="s">
        <v>74</v>
      </c>
      <c r="BA802" t="s">
        <v>74</v>
      </c>
      <c r="BB802">
        <v>23951</v>
      </c>
      <c r="BC802">
        <v>23958</v>
      </c>
      <c r="BD802" t="s">
        <v>74</v>
      </c>
      <c r="BE802" t="s">
        <v>15137</v>
      </c>
      <c r="BF802" t="str">
        <f>HYPERLINK("http://dx.doi.org/10.1007/s11356-016-7613-1","http://dx.doi.org/10.1007/s11356-016-7613-1")</f>
        <v>http://dx.doi.org/10.1007/s11356-016-7613-1</v>
      </c>
      <c r="BG802" t="s">
        <v>74</v>
      </c>
      <c r="BH802" t="s">
        <v>74</v>
      </c>
      <c r="BI802">
        <v>8</v>
      </c>
      <c r="BJ802" t="s">
        <v>177</v>
      </c>
      <c r="BK802" t="s">
        <v>101</v>
      </c>
      <c r="BL802" t="s">
        <v>178</v>
      </c>
      <c r="BM802" t="s">
        <v>15138</v>
      </c>
      <c r="BN802">
        <v>27638797</v>
      </c>
      <c r="BO802" t="s">
        <v>74</v>
      </c>
      <c r="BP802" t="s">
        <v>74</v>
      </c>
      <c r="BQ802" t="s">
        <v>74</v>
      </c>
      <c r="BR802" t="s">
        <v>105</v>
      </c>
      <c r="BS802" t="s">
        <v>15139</v>
      </c>
      <c r="BT802" t="str">
        <f>HYPERLINK("https%3A%2F%2Fwww.webofscience.com%2Fwos%2Fwoscc%2Ffull-record%2FWOS:000388601400055","View Full Record in Web of Science")</f>
        <v>View Full Record in Web of Science</v>
      </c>
    </row>
    <row r="803" spans="1:72" x14ac:dyDescent="0.15">
      <c r="A803" t="s">
        <v>72</v>
      </c>
      <c r="B803" t="s">
        <v>15140</v>
      </c>
      <c r="C803" t="s">
        <v>74</v>
      </c>
      <c r="D803" t="s">
        <v>74</v>
      </c>
      <c r="E803" t="s">
        <v>74</v>
      </c>
      <c r="F803" t="s">
        <v>15141</v>
      </c>
      <c r="G803" t="s">
        <v>74</v>
      </c>
      <c r="H803" t="s">
        <v>74</v>
      </c>
      <c r="I803" t="s">
        <v>15142</v>
      </c>
      <c r="J803" t="s">
        <v>15143</v>
      </c>
      <c r="K803" t="s">
        <v>74</v>
      </c>
      <c r="L803" t="s">
        <v>74</v>
      </c>
      <c r="M803" t="s">
        <v>78</v>
      </c>
      <c r="N803" t="s">
        <v>79</v>
      </c>
      <c r="O803" t="s">
        <v>74</v>
      </c>
      <c r="P803" t="s">
        <v>74</v>
      </c>
      <c r="Q803" t="s">
        <v>74</v>
      </c>
      <c r="R803" t="s">
        <v>74</v>
      </c>
      <c r="S803" t="s">
        <v>74</v>
      </c>
      <c r="T803" t="s">
        <v>74</v>
      </c>
      <c r="U803" t="s">
        <v>15144</v>
      </c>
      <c r="V803" t="s">
        <v>15145</v>
      </c>
      <c r="W803" t="s">
        <v>15146</v>
      </c>
      <c r="X803" t="s">
        <v>15147</v>
      </c>
      <c r="Y803" t="s">
        <v>15148</v>
      </c>
      <c r="Z803" t="s">
        <v>15149</v>
      </c>
      <c r="AA803" t="s">
        <v>74</v>
      </c>
      <c r="AB803" t="s">
        <v>74</v>
      </c>
      <c r="AC803" t="s">
        <v>15150</v>
      </c>
      <c r="AD803" t="s">
        <v>15151</v>
      </c>
      <c r="AE803" t="s">
        <v>15152</v>
      </c>
      <c r="AF803" t="s">
        <v>74</v>
      </c>
      <c r="AG803">
        <v>38</v>
      </c>
      <c r="AH803">
        <v>17</v>
      </c>
      <c r="AI803">
        <v>19</v>
      </c>
      <c r="AJ803">
        <v>0</v>
      </c>
      <c r="AK803">
        <v>24</v>
      </c>
      <c r="AL803" t="s">
        <v>211</v>
      </c>
      <c r="AM803" t="s">
        <v>187</v>
      </c>
      <c r="AN803" t="s">
        <v>2131</v>
      </c>
      <c r="AO803" t="s">
        <v>15153</v>
      </c>
      <c r="AP803" t="s">
        <v>15154</v>
      </c>
      <c r="AQ803" t="s">
        <v>74</v>
      </c>
      <c r="AR803" t="s">
        <v>15155</v>
      </c>
      <c r="AS803" t="s">
        <v>15156</v>
      </c>
      <c r="AT803" t="s">
        <v>12991</v>
      </c>
      <c r="AU803">
        <v>2016</v>
      </c>
      <c r="AV803">
        <v>57</v>
      </c>
      <c r="AW803">
        <v>12</v>
      </c>
      <c r="AX803" t="s">
        <v>74</v>
      </c>
      <c r="AY803" t="s">
        <v>74</v>
      </c>
      <c r="AZ803" t="s">
        <v>74</v>
      </c>
      <c r="BA803" t="s">
        <v>74</v>
      </c>
      <c r="BB803" t="s">
        <v>74</v>
      </c>
      <c r="BC803" t="s">
        <v>74</v>
      </c>
      <c r="BD803">
        <v>180</v>
      </c>
      <c r="BE803" t="s">
        <v>15157</v>
      </c>
      <c r="BF803" t="str">
        <f>HYPERLINK("http://dx.doi.org/10.1007/s00348-016-2269-7","http://dx.doi.org/10.1007/s00348-016-2269-7")</f>
        <v>http://dx.doi.org/10.1007/s00348-016-2269-7</v>
      </c>
      <c r="BG803" t="s">
        <v>74</v>
      </c>
      <c r="BH803" t="s">
        <v>74</v>
      </c>
      <c r="BI803">
        <v>17</v>
      </c>
      <c r="BJ803" t="s">
        <v>15158</v>
      </c>
      <c r="BK803" t="s">
        <v>101</v>
      </c>
      <c r="BL803" t="s">
        <v>15159</v>
      </c>
      <c r="BM803" t="s">
        <v>15160</v>
      </c>
      <c r="BN803" t="s">
        <v>74</v>
      </c>
      <c r="BO803" t="s">
        <v>74</v>
      </c>
      <c r="BP803" t="s">
        <v>74</v>
      </c>
      <c r="BQ803" t="s">
        <v>74</v>
      </c>
      <c r="BR803" t="s">
        <v>105</v>
      </c>
      <c r="BS803" t="s">
        <v>15161</v>
      </c>
      <c r="BT803" t="str">
        <f>HYPERLINK("https%3A%2F%2Fwww.webofscience.com%2Fwos%2Fwoscc%2Ffull-record%2FWOS:000388738600005","View Full Record in Web of Science")</f>
        <v>View Full Record in Web of Science</v>
      </c>
    </row>
    <row r="804" spans="1:72" x14ac:dyDescent="0.15">
      <c r="A804" t="s">
        <v>72</v>
      </c>
      <c r="B804" t="s">
        <v>15162</v>
      </c>
      <c r="C804" t="s">
        <v>74</v>
      </c>
      <c r="D804" t="s">
        <v>74</v>
      </c>
      <c r="E804" t="s">
        <v>74</v>
      </c>
      <c r="F804" t="s">
        <v>15163</v>
      </c>
      <c r="G804" t="s">
        <v>74</v>
      </c>
      <c r="H804" t="s">
        <v>74</v>
      </c>
      <c r="I804" t="s">
        <v>15164</v>
      </c>
      <c r="J804" t="s">
        <v>7835</v>
      </c>
      <c r="K804" t="s">
        <v>74</v>
      </c>
      <c r="L804" t="s">
        <v>74</v>
      </c>
      <c r="M804" t="s">
        <v>78</v>
      </c>
      <c r="N804" t="s">
        <v>79</v>
      </c>
      <c r="O804" t="s">
        <v>74</v>
      </c>
      <c r="P804" t="s">
        <v>74</v>
      </c>
      <c r="Q804" t="s">
        <v>74</v>
      </c>
      <c r="R804" t="s">
        <v>74</v>
      </c>
      <c r="S804" t="s">
        <v>74</v>
      </c>
      <c r="T804" t="s">
        <v>15165</v>
      </c>
      <c r="U804" t="s">
        <v>15166</v>
      </c>
      <c r="V804" t="s">
        <v>15167</v>
      </c>
      <c r="W804" t="s">
        <v>15168</v>
      </c>
      <c r="X804" t="s">
        <v>15169</v>
      </c>
      <c r="Y804" t="s">
        <v>15170</v>
      </c>
      <c r="Z804" t="s">
        <v>15171</v>
      </c>
      <c r="AA804" t="s">
        <v>15172</v>
      </c>
      <c r="AB804" t="s">
        <v>15173</v>
      </c>
      <c r="AC804" t="s">
        <v>15174</v>
      </c>
      <c r="AD804" t="s">
        <v>15175</v>
      </c>
      <c r="AE804" t="s">
        <v>15176</v>
      </c>
      <c r="AF804" t="s">
        <v>74</v>
      </c>
      <c r="AG804">
        <v>161</v>
      </c>
      <c r="AH804">
        <v>40</v>
      </c>
      <c r="AI804">
        <v>42</v>
      </c>
      <c r="AJ804">
        <v>7</v>
      </c>
      <c r="AK804">
        <v>104</v>
      </c>
      <c r="AL804" t="s">
        <v>8845</v>
      </c>
      <c r="AM804" t="s">
        <v>2378</v>
      </c>
      <c r="AN804" t="s">
        <v>2379</v>
      </c>
      <c r="AO804" t="s">
        <v>7848</v>
      </c>
      <c r="AP804" t="s">
        <v>7849</v>
      </c>
      <c r="AQ804" t="s">
        <v>74</v>
      </c>
      <c r="AR804" t="s">
        <v>7850</v>
      </c>
      <c r="AS804" t="s">
        <v>7851</v>
      </c>
      <c r="AT804" t="s">
        <v>12991</v>
      </c>
      <c r="AU804">
        <v>2016</v>
      </c>
      <c r="AV804">
        <v>17</v>
      </c>
      <c r="AW804">
        <v>4</v>
      </c>
      <c r="AX804" t="s">
        <v>74</v>
      </c>
      <c r="AY804" t="s">
        <v>74</v>
      </c>
      <c r="AZ804" t="s">
        <v>74</v>
      </c>
      <c r="BA804" t="s">
        <v>74</v>
      </c>
      <c r="BB804">
        <v>1029</v>
      </c>
      <c r="BC804">
        <v>1054</v>
      </c>
      <c r="BD804" t="s">
        <v>74</v>
      </c>
      <c r="BE804" t="s">
        <v>15177</v>
      </c>
      <c r="BF804" t="str">
        <f>HYPERLINK("http://dx.doi.org/10.1111/faf.12157","http://dx.doi.org/10.1111/faf.12157")</f>
        <v>http://dx.doi.org/10.1111/faf.12157</v>
      </c>
      <c r="BG804" t="s">
        <v>74</v>
      </c>
      <c r="BH804" t="s">
        <v>74</v>
      </c>
      <c r="BI804">
        <v>26</v>
      </c>
      <c r="BJ804" t="s">
        <v>272</v>
      </c>
      <c r="BK804" t="s">
        <v>101</v>
      </c>
      <c r="BL804" t="s">
        <v>272</v>
      </c>
      <c r="BM804" t="s">
        <v>15178</v>
      </c>
      <c r="BN804" t="s">
        <v>74</v>
      </c>
      <c r="BO804" t="s">
        <v>8332</v>
      </c>
      <c r="BP804" t="s">
        <v>74</v>
      </c>
      <c r="BQ804" t="s">
        <v>74</v>
      </c>
      <c r="BR804" t="s">
        <v>105</v>
      </c>
      <c r="BS804" t="s">
        <v>15179</v>
      </c>
      <c r="BT804" t="str">
        <f>HYPERLINK("https%3A%2F%2Fwww.webofscience.com%2Fwos%2Fwoscc%2Ffull-record%2FWOS:000386938900006","View Full Record in Web of Science")</f>
        <v>View Full Record in Web of Science</v>
      </c>
    </row>
    <row r="805" spans="1:72" x14ac:dyDescent="0.15">
      <c r="A805" t="s">
        <v>72</v>
      </c>
      <c r="B805" t="s">
        <v>15180</v>
      </c>
      <c r="C805" t="s">
        <v>74</v>
      </c>
      <c r="D805" t="s">
        <v>74</v>
      </c>
      <c r="E805" t="s">
        <v>74</v>
      </c>
      <c r="F805" t="s">
        <v>15181</v>
      </c>
      <c r="G805" t="s">
        <v>74</v>
      </c>
      <c r="H805" t="s">
        <v>74</v>
      </c>
      <c r="I805" t="s">
        <v>15182</v>
      </c>
      <c r="J805" t="s">
        <v>7835</v>
      </c>
      <c r="K805" t="s">
        <v>74</v>
      </c>
      <c r="L805" t="s">
        <v>74</v>
      </c>
      <c r="M805" t="s">
        <v>78</v>
      </c>
      <c r="N805" t="s">
        <v>79</v>
      </c>
      <c r="O805" t="s">
        <v>74</v>
      </c>
      <c r="P805" t="s">
        <v>74</v>
      </c>
      <c r="Q805" t="s">
        <v>74</v>
      </c>
      <c r="R805" t="s">
        <v>74</v>
      </c>
      <c r="S805" t="s">
        <v>74</v>
      </c>
      <c r="T805" t="s">
        <v>15183</v>
      </c>
      <c r="U805" t="s">
        <v>15184</v>
      </c>
      <c r="V805" t="s">
        <v>15185</v>
      </c>
      <c r="W805" t="s">
        <v>15186</v>
      </c>
      <c r="X805" t="s">
        <v>15187</v>
      </c>
      <c r="Y805" t="s">
        <v>15188</v>
      </c>
      <c r="Z805" t="s">
        <v>15189</v>
      </c>
      <c r="AA805" t="s">
        <v>15190</v>
      </c>
      <c r="AB805" t="s">
        <v>15191</v>
      </c>
      <c r="AC805" t="s">
        <v>15192</v>
      </c>
      <c r="AD805" t="s">
        <v>15193</v>
      </c>
      <c r="AE805" t="s">
        <v>15194</v>
      </c>
      <c r="AF805" t="s">
        <v>74</v>
      </c>
      <c r="AG805">
        <v>120</v>
      </c>
      <c r="AH805">
        <v>77</v>
      </c>
      <c r="AI805">
        <v>82</v>
      </c>
      <c r="AJ805">
        <v>4</v>
      </c>
      <c r="AK805">
        <v>108</v>
      </c>
      <c r="AL805" t="s">
        <v>2377</v>
      </c>
      <c r="AM805" t="s">
        <v>2378</v>
      </c>
      <c r="AN805" t="s">
        <v>2379</v>
      </c>
      <c r="AO805" t="s">
        <v>7848</v>
      </c>
      <c r="AP805" t="s">
        <v>7849</v>
      </c>
      <c r="AQ805" t="s">
        <v>74</v>
      </c>
      <c r="AR805" t="s">
        <v>7850</v>
      </c>
      <c r="AS805" t="s">
        <v>7851</v>
      </c>
      <c r="AT805" t="s">
        <v>12991</v>
      </c>
      <c r="AU805">
        <v>2016</v>
      </c>
      <c r="AV805">
        <v>17</v>
      </c>
      <c r="AW805">
        <v>4</v>
      </c>
      <c r="AX805" t="s">
        <v>74</v>
      </c>
      <c r="AY805" t="s">
        <v>74</v>
      </c>
      <c r="AZ805" t="s">
        <v>74</v>
      </c>
      <c r="BA805" t="s">
        <v>74</v>
      </c>
      <c r="BB805">
        <v>1073</v>
      </c>
      <c r="BC805">
        <v>1093</v>
      </c>
      <c r="BD805" t="s">
        <v>74</v>
      </c>
      <c r="BE805" t="s">
        <v>15195</v>
      </c>
      <c r="BF805" t="str">
        <f>HYPERLINK("http://dx.doi.org/10.1111/faf.12159","http://dx.doi.org/10.1111/faf.12159")</f>
        <v>http://dx.doi.org/10.1111/faf.12159</v>
      </c>
      <c r="BG805" t="s">
        <v>74</v>
      </c>
      <c r="BH805" t="s">
        <v>74</v>
      </c>
      <c r="BI805">
        <v>21</v>
      </c>
      <c r="BJ805" t="s">
        <v>272</v>
      </c>
      <c r="BK805" t="s">
        <v>101</v>
      </c>
      <c r="BL805" t="s">
        <v>272</v>
      </c>
      <c r="BM805" t="s">
        <v>15178</v>
      </c>
      <c r="BN805" t="s">
        <v>74</v>
      </c>
      <c r="BO805" t="s">
        <v>74</v>
      </c>
      <c r="BP805" t="s">
        <v>74</v>
      </c>
      <c r="BQ805" t="s">
        <v>74</v>
      </c>
      <c r="BR805" t="s">
        <v>105</v>
      </c>
      <c r="BS805" t="s">
        <v>15196</v>
      </c>
      <c r="BT805" t="str">
        <f>HYPERLINK("https%3A%2F%2Fwww.webofscience.com%2Fwos%2Fwoscc%2Ffull-record%2FWOS:000386938900008","View Full Record in Web of Science")</f>
        <v>View Full Record in Web of Science</v>
      </c>
    </row>
    <row r="806" spans="1:72" x14ac:dyDescent="0.15">
      <c r="A806" t="s">
        <v>72</v>
      </c>
      <c r="B806" t="s">
        <v>15197</v>
      </c>
      <c r="C806" t="s">
        <v>74</v>
      </c>
      <c r="D806" t="s">
        <v>74</v>
      </c>
      <c r="E806" t="s">
        <v>74</v>
      </c>
      <c r="F806" t="s">
        <v>15198</v>
      </c>
      <c r="G806" t="s">
        <v>74</v>
      </c>
      <c r="H806" t="s">
        <v>74</v>
      </c>
      <c r="I806" t="s">
        <v>15199</v>
      </c>
      <c r="J806" t="s">
        <v>15200</v>
      </c>
      <c r="K806" t="s">
        <v>74</v>
      </c>
      <c r="L806" t="s">
        <v>74</v>
      </c>
      <c r="M806" t="s">
        <v>78</v>
      </c>
      <c r="N806" t="s">
        <v>79</v>
      </c>
      <c r="O806" t="s">
        <v>74</v>
      </c>
      <c r="P806" t="s">
        <v>74</v>
      </c>
      <c r="Q806" t="s">
        <v>74</v>
      </c>
      <c r="R806" t="s">
        <v>74</v>
      </c>
      <c r="S806" t="s">
        <v>74</v>
      </c>
      <c r="T806" t="s">
        <v>15201</v>
      </c>
      <c r="U806" t="s">
        <v>15202</v>
      </c>
      <c r="V806" t="s">
        <v>15203</v>
      </c>
      <c r="W806" t="s">
        <v>15204</v>
      </c>
      <c r="X806" t="s">
        <v>15205</v>
      </c>
      <c r="Y806" t="s">
        <v>15206</v>
      </c>
      <c r="Z806" t="s">
        <v>15207</v>
      </c>
      <c r="AA806" t="s">
        <v>15208</v>
      </c>
      <c r="AB806" t="s">
        <v>15209</v>
      </c>
      <c r="AC806" t="s">
        <v>74</v>
      </c>
      <c r="AD806" t="s">
        <v>74</v>
      </c>
      <c r="AE806" t="s">
        <v>74</v>
      </c>
      <c r="AF806" t="s">
        <v>74</v>
      </c>
      <c r="AG806">
        <v>49</v>
      </c>
      <c r="AH806">
        <v>40</v>
      </c>
      <c r="AI806">
        <v>45</v>
      </c>
      <c r="AJ806">
        <v>0</v>
      </c>
      <c r="AK806">
        <v>145</v>
      </c>
      <c r="AL806" t="s">
        <v>2325</v>
      </c>
      <c r="AM806" t="s">
        <v>292</v>
      </c>
      <c r="AN806" t="s">
        <v>2326</v>
      </c>
      <c r="AO806" t="s">
        <v>15210</v>
      </c>
      <c r="AP806" t="s">
        <v>15211</v>
      </c>
      <c r="AQ806" t="s">
        <v>74</v>
      </c>
      <c r="AR806" t="s">
        <v>15200</v>
      </c>
      <c r="AS806" t="s">
        <v>15212</v>
      </c>
      <c r="AT806" t="s">
        <v>12991</v>
      </c>
      <c r="AU806">
        <v>2016</v>
      </c>
      <c r="AV806">
        <v>70</v>
      </c>
      <c r="AW806" t="s">
        <v>74</v>
      </c>
      <c r="AX806" t="s">
        <v>74</v>
      </c>
      <c r="AY806" t="s">
        <v>74</v>
      </c>
      <c r="AZ806" t="s">
        <v>74</v>
      </c>
      <c r="BA806" t="s">
        <v>74</v>
      </c>
      <c r="BB806">
        <v>380</v>
      </c>
      <c r="BC806">
        <v>391</v>
      </c>
      <c r="BD806" t="s">
        <v>74</v>
      </c>
      <c r="BE806" t="s">
        <v>15213</v>
      </c>
      <c r="BF806" t="str">
        <f>HYPERLINK("http://dx.doi.org/10.1016/j.foodcont.2016.06.010","http://dx.doi.org/10.1016/j.foodcont.2016.06.010")</f>
        <v>http://dx.doi.org/10.1016/j.foodcont.2016.06.010</v>
      </c>
      <c r="BG806" t="s">
        <v>74</v>
      </c>
      <c r="BH806" t="s">
        <v>74</v>
      </c>
      <c r="BI806">
        <v>12</v>
      </c>
      <c r="BJ806" t="s">
        <v>4818</v>
      </c>
      <c r="BK806" t="s">
        <v>245</v>
      </c>
      <c r="BL806" t="s">
        <v>4818</v>
      </c>
      <c r="BM806" t="s">
        <v>15214</v>
      </c>
      <c r="BN806" t="s">
        <v>74</v>
      </c>
      <c r="BO806" t="s">
        <v>378</v>
      </c>
      <c r="BP806" t="s">
        <v>74</v>
      </c>
      <c r="BQ806" t="s">
        <v>74</v>
      </c>
      <c r="BR806" t="s">
        <v>105</v>
      </c>
      <c r="BS806" t="s">
        <v>15215</v>
      </c>
      <c r="BT806" t="str">
        <f>HYPERLINK("https%3A%2F%2Fwww.webofscience.com%2Fwos%2Fwoscc%2Ffull-record%2FWOS:000381539900047","View Full Record in Web of Science")</f>
        <v>View Full Record in Web of Science</v>
      </c>
    </row>
    <row r="807" spans="1:72" x14ac:dyDescent="0.15">
      <c r="A807" t="s">
        <v>72</v>
      </c>
      <c r="B807" t="s">
        <v>15216</v>
      </c>
      <c r="C807" t="s">
        <v>74</v>
      </c>
      <c r="D807" t="s">
        <v>74</v>
      </c>
      <c r="E807" t="s">
        <v>74</v>
      </c>
      <c r="F807" t="s">
        <v>15217</v>
      </c>
      <c r="G807" t="s">
        <v>74</v>
      </c>
      <c r="H807" t="s">
        <v>74</v>
      </c>
      <c r="I807" t="s">
        <v>15218</v>
      </c>
      <c r="J807" t="s">
        <v>11028</v>
      </c>
      <c r="K807" t="s">
        <v>74</v>
      </c>
      <c r="L807" t="s">
        <v>74</v>
      </c>
      <c r="M807" t="s">
        <v>78</v>
      </c>
      <c r="N807" t="s">
        <v>79</v>
      </c>
      <c r="O807" t="s">
        <v>74</v>
      </c>
      <c r="P807" t="s">
        <v>74</v>
      </c>
      <c r="Q807" t="s">
        <v>74</v>
      </c>
      <c r="R807" t="s">
        <v>74</v>
      </c>
      <c r="S807" t="s">
        <v>74</v>
      </c>
      <c r="T807" t="s">
        <v>15219</v>
      </c>
      <c r="U807" t="s">
        <v>15220</v>
      </c>
      <c r="V807" t="s">
        <v>15221</v>
      </c>
      <c r="W807" t="s">
        <v>15222</v>
      </c>
      <c r="X807" t="s">
        <v>15223</v>
      </c>
      <c r="Y807" t="s">
        <v>15224</v>
      </c>
      <c r="Z807" t="s">
        <v>15225</v>
      </c>
      <c r="AA807" t="s">
        <v>15226</v>
      </c>
      <c r="AB807" t="s">
        <v>15227</v>
      </c>
      <c r="AC807" t="s">
        <v>15228</v>
      </c>
      <c r="AD807" t="s">
        <v>15229</v>
      </c>
      <c r="AE807" t="s">
        <v>15230</v>
      </c>
      <c r="AF807" t="s">
        <v>74</v>
      </c>
      <c r="AG807">
        <v>106</v>
      </c>
      <c r="AH807">
        <v>39</v>
      </c>
      <c r="AI807">
        <v>40</v>
      </c>
      <c r="AJ807">
        <v>5</v>
      </c>
      <c r="AK807">
        <v>125</v>
      </c>
      <c r="AL807" t="s">
        <v>2377</v>
      </c>
      <c r="AM807" t="s">
        <v>2378</v>
      </c>
      <c r="AN807" t="s">
        <v>2379</v>
      </c>
      <c r="AO807" t="s">
        <v>11041</v>
      </c>
      <c r="AP807" t="s">
        <v>11042</v>
      </c>
      <c r="AQ807" t="s">
        <v>74</v>
      </c>
      <c r="AR807" t="s">
        <v>11043</v>
      </c>
      <c r="AS807" t="s">
        <v>11044</v>
      </c>
      <c r="AT807" t="s">
        <v>12991</v>
      </c>
      <c r="AU807">
        <v>2016</v>
      </c>
      <c r="AV807">
        <v>22</v>
      </c>
      <c r="AW807">
        <v>12</v>
      </c>
      <c r="AX807" t="s">
        <v>74</v>
      </c>
      <c r="AY807" t="s">
        <v>74</v>
      </c>
      <c r="AZ807" t="s">
        <v>74</v>
      </c>
      <c r="BA807" t="s">
        <v>74</v>
      </c>
      <c r="BB807">
        <v>3874</v>
      </c>
      <c r="BC807">
        <v>3887</v>
      </c>
      <c r="BD807" t="s">
        <v>74</v>
      </c>
      <c r="BE807" t="s">
        <v>15231</v>
      </c>
      <c r="BF807" t="str">
        <f>HYPERLINK("http://dx.doi.org/10.1111/gcb.13304","http://dx.doi.org/10.1111/gcb.13304")</f>
        <v>http://dx.doi.org/10.1111/gcb.13304</v>
      </c>
      <c r="BG807" t="s">
        <v>74</v>
      </c>
      <c r="BH807" t="s">
        <v>74</v>
      </c>
      <c r="BI807">
        <v>14</v>
      </c>
      <c r="BJ807" t="s">
        <v>10067</v>
      </c>
      <c r="BK807" t="s">
        <v>101</v>
      </c>
      <c r="BL807" t="s">
        <v>2257</v>
      </c>
      <c r="BM807" t="s">
        <v>15232</v>
      </c>
      <c r="BN807">
        <v>27029504</v>
      </c>
      <c r="BO807" t="s">
        <v>74</v>
      </c>
      <c r="BP807" t="s">
        <v>74</v>
      </c>
      <c r="BQ807" t="s">
        <v>74</v>
      </c>
      <c r="BR807" t="s">
        <v>105</v>
      </c>
      <c r="BS807" t="s">
        <v>15233</v>
      </c>
      <c r="BT807" t="str">
        <f>HYPERLINK("https%3A%2F%2Fwww.webofscience.com%2Fwos%2Fwoscc%2Ffull-record%2FWOS:000387813300005","View Full Record in Web of Science")</f>
        <v>View Full Record in Web of Science</v>
      </c>
    </row>
    <row r="808" spans="1:72" x14ac:dyDescent="0.15">
      <c r="A808" t="s">
        <v>72</v>
      </c>
      <c r="B808" t="s">
        <v>15234</v>
      </c>
      <c r="C808" t="s">
        <v>74</v>
      </c>
      <c r="D808" t="s">
        <v>74</v>
      </c>
      <c r="E808" t="s">
        <v>74</v>
      </c>
      <c r="F808" t="s">
        <v>15235</v>
      </c>
      <c r="G808" t="s">
        <v>74</v>
      </c>
      <c r="H808" t="s">
        <v>74</v>
      </c>
      <c r="I808" t="s">
        <v>15236</v>
      </c>
      <c r="J808" t="s">
        <v>15237</v>
      </c>
      <c r="K808" t="s">
        <v>74</v>
      </c>
      <c r="L808" t="s">
        <v>74</v>
      </c>
      <c r="M808" t="s">
        <v>78</v>
      </c>
      <c r="N808" t="s">
        <v>1980</v>
      </c>
      <c r="O808" t="s">
        <v>15238</v>
      </c>
      <c r="P808" t="s">
        <v>15239</v>
      </c>
      <c r="Q808" t="s">
        <v>8570</v>
      </c>
      <c r="R808" t="s">
        <v>74</v>
      </c>
      <c r="S808" t="s">
        <v>74</v>
      </c>
      <c r="T808" t="s">
        <v>74</v>
      </c>
      <c r="U808" t="s">
        <v>15240</v>
      </c>
      <c r="V808" t="s">
        <v>15241</v>
      </c>
      <c r="W808" t="s">
        <v>15242</v>
      </c>
      <c r="X808" t="s">
        <v>15243</v>
      </c>
      <c r="Y808" t="s">
        <v>15244</v>
      </c>
      <c r="Z808" t="s">
        <v>15245</v>
      </c>
      <c r="AA808" t="s">
        <v>15246</v>
      </c>
      <c r="AB808" t="s">
        <v>15247</v>
      </c>
      <c r="AC808" t="s">
        <v>15248</v>
      </c>
      <c r="AD808" t="s">
        <v>15249</v>
      </c>
      <c r="AE808" t="s">
        <v>15250</v>
      </c>
      <c r="AF808" t="s">
        <v>74</v>
      </c>
      <c r="AG808">
        <v>113</v>
      </c>
      <c r="AH808">
        <v>31</v>
      </c>
      <c r="AI808">
        <v>35</v>
      </c>
      <c r="AJ808">
        <v>2</v>
      </c>
      <c r="AK808">
        <v>32</v>
      </c>
      <c r="AL808" t="s">
        <v>15251</v>
      </c>
      <c r="AM808" t="s">
        <v>15252</v>
      </c>
      <c r="AN808" t="s">
        <v>15253</v>
      </c>
      <c r="AO808" t="s">
        <v>15254</v>
      </c>
      <c r="AP808" t="s">
        <v>15255</v>
      </c>
      <c r="AQ808" t="s">
        <v>74</v>
      </c>
      <c r="AR808" t="s">
        <v>15256</v>
      </c>
      <c r="AS808" t="s">
        <v>15257</v>
      </c>
      <c r="AT808" t="s">
        <v>12991</v>
      </c>
      <c r="AU808">
        <v>2016</v>
      </c>
      <c r="AV808">
        <v>56</v>
      </c>
      <c r="AW808">
        <v>6</v>
      </c>
      <c r="AX808" t="s">
        <v>74</v>
      </c>
      <c r="AY808" t="s">
        <v>74</v>
      </c>
      <c r="AZ808" t="s">
        <v>74</v>
      </c>
      <c r="BA808" t="s">
        <v>74</v>
      </c>
      <c r="BB808">
        <v>1144</v>
      </c>
      <c r="BC808">
        <v>1156</v>
      </c>
      <c r="BD808" t="s">
        <v>74</v>
      </c>
      <c r="BE808" t="s">
        <v>15258</v>
      </c>
      <c r="BF808" t="str">
        <f>HYPERLINK("http://dx.doi.org/10.1093/icb/icw007","http://dx.doi.org/10.1093/icb/icw007")</f>
        <v>http://dx.doi.org/10.1093/icb/icw007</v>
      </c>
      <c r="BG808" t="s">
        <v>74</v>
      </c>
      <c r="BH808" t="s">
        <v>74</v>
      </c>
      <c r="BI808">
        <v>13</v>
      </c>
      <c r="BJ808" t="s">
        <v>643</v>
      </c>
      <c r="BK808" t="s">
        <v>2004</v>
      </c>
      <c r="BL808" t="s">
        <v>643</v>
      </c>
      <c r="BM808" t="s">
        <v>15259</v>
      </c>
      <c r="BN808">
        <v>27252217</v>
      </c>
      <c r="BO808" t="s">
        <v>5447</v>
      </c>
      <c r="BP808" t="s">
        <v>74</v>
      </c>
      <c r="BQ808" t="s">
        <v>74</v>
      </c>
      <c r="BR808" t="s">
        <v>105</v>
      </c>
      <c r="BS808" t="s">
        <v>15260</v>
      </c>
      <c r="BT808" t="str">
        <f>HYPERLINK("https%3A%2F%2Fwww.webofscience.com%2Fwos%2Fwoscc%2Ffull-record%2FWOS:000395818000009","View Full Record in Web of Science")</f>
        <v>View Full Record in Web of Science</v>
      </c>
    </row>
    <row r="809" spans="1:72" x14ac:dyDescent="0.15">
      <c r="A809" t="s">
        <v>72</v>
      </c>
      <c r="B809" t="s">
        <v>15261</v>
      </c>
      <c r="C809" t="s">
        <v>74</v>
      </c>
      <c r="D809" t="s">
        <v>74</v>
      </c>
      <c r="E809" t="s">
        <v>74</v>
      </c>
      <c r="F809" t="s">
        <v>15262</v>
      </c>
      <c r="G809" t="s">
        <v>74</v>
      </c>
      <c r="H809" t="s">
        <v>74</v>
      </c>
      <c r="I809" t="s">
        <v>15263</v>
      </c>
      <c r="J809" t="s">
        <v>7892</v>
      </c>
      <c r="K809" t="s">
        <v>74</v>
      </c>
      <c r="L809" t="s">
        <v>74</v>
      </c>
      <c r="M809" t="s">
        <v>78</v>
      </c>
      <c r="N809" t="s">
        <v>79</v>
      </c>
      <c r="O809" t="s">
        <v>74</v>
      </c>
      <c r="P809" t="s">
        <v>74</v>
      </c>
      <c r="Q809" t="s">
        <v>74</v>
      </c>
      <c r="R809" t="s">
        <v>74</v>
      </c>
      <c r="S809" t="s">
        <v>74</v>
      </c>
      <c r="T809" t="s">
        <v>15264</v>
      </c>
      <c r="U809" t="s">
        <v>15265</v>
      </c>
      <c r="V809" t="s">
        <v>15266</v>
      </c>
      <c r="W809" t="s">
        <v>15267</v>
      </c>
      <c r="X809" t="s">
        <v>15268</v>
      </c>
      <c r="Y809" t="s">
        <v>15269</v>
      </c>
      <c r="Z809" t="s">
        <v>15270</v>
      </c>
      <c r="AA809" t="s">
        <v>15271</v>
      </c>
      <c r="AB809" t="s">
        <v>15272</v>
      </c>
      <c r="AC809" t="s">
        <v>15273</v>
      </c>
      <c r="AD809" t="s">
        <v>2045</v>
      </c>
      <c r="AE809" t="s">
        <v>15274</v>
      </c>
      <c r="AF809" t="s">
        <v>74</v>
      </c>
      <c r="AG809">
        <v>45</v>
      </c>
      <c r="AH809">
        <v>9</v>
      </c>
      <c r="AI809">
        <v>10</v>
      </c>
      <c r="AJ809">
        <v>0</v>
      </c>
      <c r="AK809">
        <v>9</v>
      </c>
      <c r="AL809" t="s">
        <v>7449</v>
      </c>
      <c r="AM809" t="s">
        <v>187</v>
      </c>
      <c r="AN809" t="s">
        <v>7450</v>
      </c>
      <c r="AO809" t="s">
        <v>7902</v>
      </c>
      <c r="AP809" t="s">
        <v>7903</v>
      </c>
      <c r="AQ809" t="s">
        <v>74</v>
      </c>
      <c r="AR809" t="s">
        <v>7904</v>
      </c>
      <c r="AS809" t="s">
        <v>7905</v>
      </c>
      <c r="AT809" t="s">
        <v>12991</v>
      </c>
      <c r="AU809">
        <v>2016</v>
      </c>
      <c r="AV809">
        <v>52</v>
      </c>
      <c r="AW809">
        <v>9</v>
      </c>
      <c r="AX809" t="s">
        <v>74</v>
      </c>
      <c r="AY809" t="s">
        <v>74</v>
      </c>
      <c r="AZ809" t="s">
        <v>74</v>
      </c>
      <c r="BA809" t="s">
        <v>74</v>
      </c>
      <c r="BB809">
        <v>1064</v>
      </c>
      <c r="BC809">
        <v>1077</v>
      </c>
      <c r="BD809" t="s">
        <v>74</v>
      </c>
      <c r="BE809" t="s">
        <v>15275</v>
      </c>
      <c r="BF809" t="str">
        <f>HYPERLINK("http://dx.doi.org/10.1134/S0001433816090036","http://dx.doi.org/10.1134/S0001433816090036")</f>
        <v>http://dx.doi.org/10.1134/S0001433816090036</v>
      </c>
      <c r="BG809" t="s">
        <v>74</v>
      </c>
      <c r="BH809" t="s">
        <v>74</v>
      </c>
      <c r="BI809">
        <v>14</v>
      </c>
      <c r="BJ809" t="s">
        <v>6981</v>
      </c>
      <c r="BK809" t="s">
        <v>101</v>
      </c>
      <c r="BL809" t="s">
        <v>6981</v>
      </c>
      <c r="BM809" t="s">
        <v>13154</v>
      </c>
      <c r="BN809" t="s">
        <v>74</v>
      </c>
      <c r="BO809" t="s">
        <v>74</v>
      </c>
      <c r="BP809" t="s">
        <v>74</v>
      </c>
      <c r="BQ809" t="s">
        <v>74</v>
      </c>
      <c r="BR809" t="s">
        <v>105</v>
      </c>
      <c r="BS809" t="s">
        <v>15276</v>
      </c>
      <c r="BT809" t="str">
        <f>HYPERLINK("https%3A%2F%2Fwww.webofscience.com%2Fwos%2Fwoscc%2Ffull-record%2FWOS:000394270700017","View Full Record in Web of Science")</f>
        <v>View Full Record in Web of Science</v>
      </c>
    </row>
    <row r="810" spans="1:72" x14ac:dyDescent="0.15">
      <c r="A810" t="s">
        <v>72</v>
      </c>
      <c r="B810" t="s">
        <v>15277</v>
      </c>
      <c r="C810" t="s">
        <v>74</v>
      </c>
      <c r="D810" t="s">
        <v>74</v>
      </c>
      <c r="E810" t="s">
        <v>74</v>
      </c>
      <c r="F810" t="s">
        <v>15278</v>
      </c>
      <c r="G810" t="s">
        <v>74</v>
      </c>
      <c r="H810" t="s">
        <v>74</v>
      </c>
      <c r="I810" t="s">
        <v>15279</v>
      </c>
      <c r="J810" t="s">
        <v>15280</v>
      </c>
      <c r="K810" t="s">
        <v>74</v>
      </c>
      <c r="L810" t="s">
        <v>74</v>
      </c>
      <c r="M810" t="s">
        <v>78</v>
      </c>
      <c r="N810" t="s">
        <v>79</v>
      </c>
      <c r="O810" t="s">
        <v>74</v>
      </c>
      <c r="P810" t="s">
        <v>74</v>
      </c>
      <c r="Q810" t="s">
        <v>74</v>
      </c>
      <c r="R810" t="s">
        <v>74</v>
      </c>
      <c r="S810" t="s">
        <v>74</v>
      </c>
      <c r="T810" t="s">
        <v>15281</v>
      </c>
      <c r="U810" t="s">
        <v>15282</v>
      </c>
      <c r="V810" t="s">
        <v>15283</v>
      </c>
      <c r="W810" t="s">
        <v>15284</v>
      </c>
      <c r="X810" t="s">
        <v>15285</v>
      </c>
      <c r="Y810" t="s">
        <v>15286</v>
      </c>
      <c r="Z810" t="s">
        <v>15287</v>
      </c>
      <c r="AA810" t="s">
        <v>15288</v>
      </c>
      <c r="AB810" t="s">
        <v>15289</v>
      </c>
      <c r="AC810" t="s">
        <v>15290</v>
      </c>
      <c r="AD810" t="s">
        <v>15291</v>
      </c>
      <c r="AE810" t="s">
        <v>15292</v>
      </c>
      <c r="AF810" t="s">
        <v>74</v>
      </c>
      <c r="AG810">
        <v>24</v>
      </c>
      <c r="AH810">
        <v>13</v>
      </c>
      <c r="AI810">
        <v>13</v>
      </c>
      <c r="AJ810">
        <v>0</v>
      </c>
      <c r="AK810">
        <v>10</v>
      </c>
      <c r="AL810" t="s">
        <v>8845</v>
      </c>
      <c r="AM810" t="s">
        <v>2378</v>
      </c>
      <c r="AN810" t="s">
        <v>2379</v>
      </c>
      <c r="AO810" t="s">
        <v>15293</v>
      </c>
      <c r="AP810" t="s">
        <v>15294</v>
      </c>
      <c r="AQ810" t="s">
        <v>74</v>
      </c>
      <c r="AR810" t="s">
        <v>15295</v>
      </c>
      <c r="AS810" t="s">
        <v>15296</v>
      </c>
      <c r="AT810" t="s">
        <v>12991</v>
      </c>
      <c r="AU810">
        <v>2016</v>
      </c>
      <c r="AV810">
        <v>43</v>
      </c>
      <c r="AW810">
        <v>12</v>
      </c>
      <c r="AX810" t="s">
        <v>74</v>
      </c>
      <c r="AY810" t="s">
        <v>74</v>
      </c>
      <c r="AZ810" t="s">
        <v>74</v>
      </c>
      <c r="BA810" t="s">
        <v>74</v>
      </c>
      <c r="BB810">
        <v>2391</v>
      </c>
      <c r="BC810">
        <v>2399</v>
      </c>
      <c r="BD810" t="s">
        <v>74</v>
      </c>
      <c r="BE810" t="s">
        <v>15297</v>
      </c>
      <c r="BF810" t="str">
        <f>HYPERLINK("http://dx.doi.org/10.1111/jbi.12855","http://dx.doi.org/10.1111/jbi.12855")</f>
        <v>http://dx.doi.org/10.1111/jbi.12855</v>
      </c>
      <c r="BG810" t="s">
        <v>74</v>
      </c>
      <c r="BH810" t="s">
        <v>74</v>
      </c>
      <c r="BI810">
        <v>9</v>
      </c>
      <c r="BJ810" t="s">
        <v>15298</v>
      </c>
      <c r="BK810" t="s">
        <v>101</v>
      </c>
      <c r="BL810" t="s">
        <v>15299</v>
      </c>
      <c r="BM810" t="s">
        <v>15300</v>
      </c>
      <c r="BN810" t="s">
        <v>74</v>
      </c>
      <c r="BO810" t="s">
        <v>74</v>
      </c>
      <c r="BP810" t="s">
        <v>74</v>
      </c>
      <c r="BQ810" t="s">
        <v>74</v>
      </c>
      <c r="BR810" t="s">
        <v>105</v>
      </c>
      <c r="BS810" t="s">
        <v>15301</v>
      </c>
      <c r="BT810" t="str">
        <f>HYPERLINK("https%3A%2F%2Fwww.webofscience.com%2Fwos%2Fwoscc%2Ffull-record%2FWOS:000388870000008","View Full Record in Web of Science")</f>
        <v>View Full Record in Web of Science</v>
      </c>
    </row>
    <row r="811" spans="1:72" x14ac:dyDescent="0.15">
      <c r="A811" t="s">
        <v>72</v>
      </c>
      <c r="B811" t="s">
        <v>15302</v>
      </c>
      <c r="C811" t="s">
        <v>74</v>
      </c>
      <c r="D811" t="s">
        <v>74</v>
      </c>
      <c r="E811" t="s">
        <v>74</v>
      </c>
      <c r="F811" t="s">
        <v>15303</v>
      </c>
      <c r="G811" t="s">
        <v>74</v>
      </c>
      <c r="H811" t="s">
        <v>74</v>
      </c>
      <c r="I811" t="s">
        <v>15304</v>
      </c>
      <c r="J811" t="s">
        <v>8281</v>
      </c>
      <c r="K811" t="s">
        <v>74</v>
      </c>
      <c r="L811" t="s">
        <v>74</v>
      </c>
      <c r="M811" t="s">
        <v>78</v>
      </c>
      <c r="N811" t="s">
        <v>79</v>
      </c>
      <c r="O811" t="s">
        <v>74</v>
      </c>
      <c r="P811" t="s">
        <v>74</v>
      </c>
      <c r="Q811" t="s">
        <v>74</v>
      </c>
      <c r="R811" t="s">
        <v>74</v>
      </c>
      <c r="S811" t="s">
        <v>74</v>
      </c>
      <c r="T811" t="s">
        <v>74</v>
      </c>
      <c r="U811" t="s">
        <v>15305</v>
      </c>
      <c r="V811" t="s">
        <v>15306</v>
      </c>
      <c r="W811" t="s">
        <v>15307</v>
      </c>
      <c r="X811" t="s">
        <v>15308</v>
      </c>
      <c r="Y811" t="s">
        <v>15309</v>
      </c>
      <c r="Z811" t="s">
        <v>15310</v>
      </c>
      <c r="AA811" t="s">
        <v>15311</v>
      </c>
      <c r="AB811" t="s">
        <v>15312</v>
      </c>
      <c r="AC811" t="s">
        <v>15313</v>
      </c>
      <c r="AD811" t="s">
        <v>15314</v>
      </c>
      <c r="AE811" t="s">
        <v>15315</v>
      </c>
      <c r="AF811" t="s">
        <v>74</v>
      </c>
      <c r="AG811">
        <v>88</v>
      </c>
      <c r="AH811">
        <v>55</v>
      </c>
      <c r="AI811">
        <v>61</v>
      </c>
      <c r="AJ811">
        <v>0</v>
      </c>
      <c r="AK811">
        <v>38</v>
      </c>
      <c r="AL811" t="s">
        <v>661</v>
      </c>
      <c r="AM811" t="s">
        <v>142</v>
      </c>
      <c r="AN811" t="s">
        <v>662</v>
      </c>
      <c r="AO811" t="s">
        <v>8292</v>
      </c>
      <c r="AP811" t="s">
        <v>8293</v>
      </c>
      <c r="AQ811" t="s">
        <v>74</v>
      </c>
      <c r="AR811" t="s">
        <v>8294</v>
      </c>
      <c r="AS811" t="s">
        <v>8295</v>
      </c>
      <c r="AT811" t="s">
        <v>12991</v>
      </c>
      <c r="AU811">
        <v>2016</v>
      </c>
      <c r="AV811">
        <v>121</v>
      </c>
      <c r="AW811">
        <v>12</v>
      </c>
      <c r="AX811" t="s">
        <v>74</v>
      </c>
      <c r="AY811" t="s">
        <v>74</v>
      </c>
      <c r="AZ811" t="s">
        <v>74</v>
      </c>
      <c r="BA811" t="s">
        <v>74</v>
      </c>
      <c r="BB811">
        <v>2446</v>
      </c>
      <c r="BC811">
        <v>2470</v>
      </c>
      <c r="BD811" t="s">
        <v>74</v>
      </c>
      <c r="BE811" t="s">
        <v>15316</v>
      </c>
      <c r="BF811" t="str">
        <f>HYPERLINK("http://dx.doi.org/10.1002/2016JF003956","http://dx.doi.org/10.1002/2016JF003956")</f>
        <v>http://dx.doi.org/10.1002/2016JF003956</v>
      </c>
      <c r="BG811" t="s">
        <v>74</v>
      </c>
      <c r="BH811" t="s">
        <v>74</v>
      </c>
      <c r="BI811">
        <v>25</v>
      </c>
      <c r="BJ811" t="s">
        <v>669</v>
      </c>
      <c r="BK811" t="s">
        <v>101</v>
      </c>
      <c r="BL811" t="s">
        <v>670</v>
      </c>
      <c r="BM811" t="s">
        <v>15317</v>
      </c>
      <c r="BN811" t="s">
        <v>74</v>
      </c>
      <c r="BO811" t="s">
        <v>672</v>
      </c>
      <c r="BP811" t="s">
        <v>74</v>
      </c>
      <c r="BQ811" t="s">
        <v>74</v>
      </c>
      <c r="BR811" t="s">
        <v>105</v>
      </c>
      <c r="BS811" t="s">
        <v>15318</v>
      </c>
      <c r="BT811" t="str">
        <f>HYPERLINK("https%3A%2F%2Fwww.webofscience.com%2Fwos%2Fwoscc%2Ffull-record%2FWOS:000392831800010","View Full Record in Web of Science")</f>
        <v>View Full Record in Web of Science</v>
      </c>
    </row>
    <row r="812" spans="1:72" x14ac:dyDescent="0.15">
      <c r="A812" t="s">
        <v>72</v>
      </c>
      <c r="B812" t="s">
        <v>15319</v>
      </c>
      <c r="C812" t="s">
        <v>74</v>
      </c>
      <c r="D812" t="s">
        <v>74</v>
      </c>
      <c r="E812" t="s">
        <v>74</v>
      </c>
      <c r="F812" t="s">
        <v>15320</v>
      </c>
      <c r="G812" t="s">
        <v>74</v>
      </c>
      <c r="H812" t="s">
        <v>74</v>
      </c>
      <c r="I812" t="s">
        <v>15321</v>
      </c>
      <c r="J812" t="s">
        <v>8354</v>
      </c>
      <c r="K812" t="s">
        <v>74</v>
      </c>
      <c r="L812" t="s">
        <v>74</v>
      </c>
      <c r="M812" t="s">
        <v>78</v>
      </c>
      <c r="N812" t="s">
        <v>79</v>
      </c>
      <c r="O812" t="s">
        <v>74</v>
      </c>
      <c r="P812" t="s">
        <v>74</v>
      </c>
      <c r="Q812" t="s">
        <v>74</v>
      </c>
      <c r="R812" t="s">
        <v>74</v>
      </c>
      <c r="S812" t="s">
        <v>74</v>
      </c>
      <c r="T812" t="s">
        <v>74</v>
      </c>
      <c r="U812" t="s">
        <v>15322</v>
      </c>
      <c r="V812" t="s">
        <v>15323</v>
      </c>
      <c r="W812" t="s">
        <v>15324</v>
      </c>
      <c r="X812" t="s">
        <v>15325</v>
      </c>
      <c r="Y812" t="s">
        <v>15326</v>
      </c>
      <c r="Z812" t="s">
        <v>15327</v>
      </c>
      <c r="AA812" t="s">
        <v>15328</v>
      </c>
      <c r="AB812" t="s">
        <v>15329</v>
      </c>
      <c r="AC812" t="s">
        <v>15330</v>
      </c>
      <c r="AD812" t="s">
        <v>15331</v>
      </c>
      <c r="AE812" t="s">
        <v>15332</v>
      </c>
      <c r="AF812" t="s">
        <v>74</v>
      </c>
      <c r="AG812">
        <v>49</v>
      </c>
      <c r="AH812">
        <v>20</v>
      </c>
      <c r="AI812">
        <v>23</v>
      </c>
      <c r="AJ812">
        <v>2</v>
      </c>
      <c r="AK812">
        <v>28</v>
      </c>
      <c r="AL812" t="s">
        <v>661</v>
      </c>
      <c r="AM812" t="s">
        <v>142</v>
      </c>
      <c r="AN812" t="s">
        <v>662</v>
      </c>
      <c r="AO812" t="s">
        <v>8366</v>
      </c>
      <c r="AP812" t="s">
        <v>8367</v>
      </c>
      <c r="AQ812" t="s">
        <v>74</v>
      </c>
      <c r="AR812" t="s">
        <v>8368</v>
      </c>
      <c r="AS812" t="s">
        <v>8369</v>
      </c>
      <c r="AT812" t="s">
        <v>12991</v>
      </c>
      <c r="AU812">
        <v>2016</v>
      </c>
      <c r="AV812">
        <v>121</v>
      </c>
      <c r="AW812">
        <v>12</v>
      </c>
      <c r="AX812" t="s">
        <v>74</v>
      </c>
      <c r="AY812" t="s">
        <v>74</v>
      </c>
      <c r="AZ812" t="s">
        <v>74</v>
      </c>
      <c r="BA812" t="s">
        <v>74</v>
      </c>
      <c r="BB812">
        <v>8496</v>
      </c>
      <c r="BC812">
        <v>8510</v>
      </c>
      <c r="BD812" t="s">
        <v>74</v>
      </c>
      <c r="BE812" t="s">
        <v>15333</v>
      </c>
      <c r="BF812" t="str">
        <f>HYPERLINK("http://dx.doi.org/10.1002/2016JC012149","http://dx.doi.org/10.1002/2016JC012149")</f>
        <v>http://dx.doi.org/10.1002/2016JC012149</v>
      </c>
      <c r="BG812" t="s">
        <v>74</v>
      </c>
      <c r="BH812" t="s">
        <v>74</v>
      </c>
      <c r="BI812">
        <v>15</v>
      </c>
      <c r="BJ812" t="s">
        <v>2164</v>
      </c>
      <c r="BK812" t="s">
        <v>101</v>
      </c>
      <c r="BL812" t="s">
        <v>2164</v>
      </c>
      <c r="BM812" t="s">
        <v>13242</v>
      </c>
      <c r="BN812" t="s">
        <v>74</v>
      </c>
      <c r="BO812" t="s">
        <v>1223</v>
      </c>
      <c r="BP812" t="s">
        <v>74</v>
      </c>
      <c r="BQ812" t="s">
        <v>74</v>
      </c>
      <c r="BR812" t="s">
        <v>105</v>
      </c>
      <c r="BS812" t="s">
        <v>15334</v>
      </c>
      <c r="BT812" t="str">
        <f>HYPERLINK("https%3A%2F%2Fwww.webofscience.com%2Fwos%2Fwoscc%2Ffull-record%2FWOS:000393140400005","View Full Record in Web of Science")</f>
        <v>View Full Record in Web of Science</v>
      </c>
    </row>
    <row r="813" spans="1:72" x14ac:dyDescent="0.15">
      <c r="A813" t="s">
        <v>72</v>
      </c>
      <c r="B813" t="s">
        <v>15335</v>
      </c>
      <c r="C813" t="s">
        <v>74</v>
      </c>
      <c r="D813" t="s">
        <v>74</v>
      </c>
      <c r="E813" t="s">
        <v>74</v>
      </c>
      <c r="F813" t="s">
        <v>15336</v>
      </c>
      <c r="G813" t="s">
        <v>74</v>
      </c>
      <c r="H813" t="s">
        <v>74</v>
      </c>
      <c r="I813" t="s">
        <v>15337</v>
      </c>
      <c r="J813" t="s">
        <v>8783</v>
      </c>
      <c r="K813" t="s">
        <v>74</v>
      </c>
      <c r="L813" t="s">
        <v>74</v>
      </c>
      <c r="M813" t="s">
        <v>78</v>
      </c>
      <c r="N813" t="s">
        <v>79</v>
      </c>
      <c r="O813" t="s">
        <v>74</v>
      </c>
      <c r="P813" t="s">
        <v>74</v>
      </c>
      <c r="Q813" t="s">
        <v>74</v>
      </c>
      <c r="R813" t="s">
        <v>74</v>
      </c>
      <c r="S813" t="s">
        <v>74</v>
      </c>
      <c r="T813" t="s">
        <v>74</v>
      </c>
      <c r="U813" t="s">
        <v>15338</v>
      </c>
      <c r="V813" t="s">
        <v>15339</v>
      </c>
      <c r="W813" t="s">
        <v>15340</v>
      </c>
      <c r="X813" t="s">
        <v>15341</v>
      </c>
      <c r="Y813" t="s">
        <v>15342</v>
      </c>
      <c r="Z813" t="s">
        <v>15343</v>
      </c>
      <c r="AA813" t="s">
        <v>15344</v>
      </c>
      <c r="AB813" t="s">
        <v>15345</v>
      </c>
      <c r="AC813" t="s">
        <v>74</v>
      </c>
      <c r="AD813" t="s">
        <v>74</v>
      </c>
      <c r="AE813" t="s">
        <v>74</v>
      </c>
      <c r="AF813" t="s">
        <v>74</v>
      </c>
      <c r="AG813">
        <v>27</v>
      </c>
      <c r="AH813">
        <v>107</v>
      </c>
      <c r="AI813">
        <v>107</v>
      </c>
      <c r="AJ813">
        <v>2</v>
      </c>
      <c r="AK813">
        <v>10</v>
      </c>
      <c r="AL813" t="s">
        <v>2603</v>
      </c>
      <c r="AM813" t="s">
        <v>2604</v>
      </c>
      <c r="AN813" t="s">
        <v>2605</v>
      </c>
      <c r="AO813" t="s">
        <v>8794</v>
      </c>
      <c r="AP813" t="s">
        <v>8795</v>
      </c>
      <c r="AQ813" t="s">
        <v>74</v>
      </c>
      <c r="AR813" t="s">
        <v>8796</v>
      </c>
      <c r="AS813" t="s">
        <v>8797</v>
      </c>
      <c r="AT813" t="s">
        <v>12991</v>
      </c>
      <c r="AU813">
        <v>2016</v>
      </c>
      <c r="AV813">
        <v>46</v>
      </c>
      <c r="AW813">
        <v>12</v>
      </c>
      <c r="AX813" t="s">
        <v>74</v>
      </c>
      <c r="AY813" t="s">
        <v>74</v>
      </c>
      <c r="AZ813" t="s">
        <v>74</v>
      </c>
      <c r="BA813" t="s">
        <v>74</v>
      </c>
      <c r="BB813">
        <v>3585</v>
      </c>
      <c r="BC813">
        <v>3594</v>
      </c>
      <c r="BD813" t="s">
        <v>74</v>
      </c>
      <c r="BE813" t="s">
        <v>15346</v>
      </c>
      <c r="BF813" t="str">
        <f>HYPERLINK("http://dx.doi.org/10.1175/JPO-D-16-0121.1","http://dx.doi.org/10.1175/JPO-D-16-0121.1")</f>
        <v>http://dx.doi.org/10.1175/JPO-D-16-0121.1</v>
      </c>
      <c r="BG813" t="s">
        <v>74</v>
      </c>
      <c r="BH813" t="s">
        <v>74</v>
      </c>
      <c r="BI813">
        <v>10</v>
      </c>
      <c r="BJ813" t="s">
        <v>2164</v>
      </c>
      <c r="BK813" t="s">
        <v>101</v>
      </c>
      <c r="BL813" t="s">
        <v>2164</v>
      </c>
      <c r="BM813" t="s">
        <v>13688</v>
      </c>
      <c r="BN813" t="s">
        <v>74</v>
      </c>
      <c r="BO813" t="s">
        <v>74</v>
      </c>
      <c r="BP813" t="s">
        <v>74</v>
      </c>
      <c r="BQ813" t="s">
        <v>74</v>
      </c>
      <c r="BR813" t="s">
        <v>105</v>
      </c>
      <c r="BS813" t="s">
        <v>15347</v>
      </c>
      <c r="BT813" t="str">
        <f>HYPERLINK("https%3A%2F%2Fwww.webofscience.com%2Fwos%2Fwoscc%2Ffull-record%2FWOS:000391349300005","View Full Record in Web of Science")</f>
        <v>View Full Record in Web of Science</v>
      </c>
    </row>
    <row r="814" spans="1:72" x14ac:dyDescent="0.15">
      <c r="A814" t="s">
        <v>72</v>
      </c>
      <c r="B814" t="s">
        <v>15348</v>
      </c>
      <c r="C814" t="s">
        <v>74</v>
      </c>
      <c r="D814" t="s">
        <v>74</v>
      </c>
      <c r="E814" t="s">
        <v>74</v>
      </c>
      <c r="F814" t="s">
        <v>15349</v>
      </c>
      <c r="G814" t="s">
        <v>74</v>
      </c>
      <c r="H814" t="s">
        <v>74</v>
      </c>
      <c r="I814" t="s">
        <v>15350</v>
      </c>
      <c r="J814" t="s">
        <v>8783</v>
      </c>
      <c r="K814" t="s">
        <v>74</v>
      </c>
      <c r="L814" t="s">
        <v>74</v>
      </c>
      <c r="M814" t="s">
        <v>78</v>
      </c>
      <c r="N814" t="s">
        <v>79</v>
      </c>
      <c r="O814" t="s">
        <v>74</v>
      </c>
      <c r="P814" t="s">
        <v>74</v>
      </c>
      <c r="Q814" t="s">
        <v>74</v>
      </c>
      <c r="R814" t="s">
        <v>74</v>
      </c>
      <c r="S814" t="s">
        <v>74</v>
      </c>
      <c r="T814" t="s">
        <v>74</v>
      </c>
      <c r="U814" t="s">
        <v>15351</v>
      </c>
      <c r="V814" t="s">
        <v>15352</v>
      </c>
      <c r="W814" t="s">
        <v>15353</v>
      </c>
      <c r="X814" t="s">
        <v>15354</v>
      </c>
      <c r="Y814" t="s">
        <v>15355</v>
      </c>
      <c r="Z814" t="s">
        <v>15356</v>
      </c>
      <c r="AA814" t="s">
        <v>74</v>
      </c>
      <c r="AB814" t="s">
        <v>15357</v>
      </c>
      <c r="AC814" t="s">
        <v>15358</v>
      </c>
      <c r="AD814" t="s">
        <v>15359</v>
      </c>
      <c r="AE814" t="s">
        <v>15360</v>
      </c>
      <c r="AF814" t="s">
        <v>74</v>
      </c>
      <c r="AG814">
        <v>73</v>
      </c>
      <c r="AH814">
        <v>45</v>
      </c>
      <c r="AI814">
        <v>49</v>
      </c>
      <c r="AJ814">
        <v>1</v>
      </c>
      <c r="AK814">
        <v>23</v>
      </c>
      <c r="AL814" t="s">
        <v>2603</v>
      </c>
      <c r="AM814" t="s">
        <v>2604</v>
      </c>
      <c r="AN814" t="s">
        <v>2605</v>
      </c>
      <c r="AO814" t="s">
        <v>8794</v>
      </c>
      <c r="AP814" t="s">
        <v>8795</v>
      </c>
      <c r="AQ814" t="s">
        <v>74</v>
      </c>
      <c r="AR814" t="s">
        <v>8796</v>
      </c>
      <c r="AS814" t="s">
        <v>8797</v>
      </c>
      <c r="AT814" t="s">
        <v>12991</v>
      </c>
      <c r="AU814">
        <v>2016</v>
      </c>
      <c r="AV814">
        <v>46</v>
      </c>
      <c r="AW814">
        <v>12</v>
      </c>
      <c r="AX814" t="s">
        <v>74</v>
      </c>
      <c r="AY814" t="s">
        <v>74</v>
      </c>
      <c r="AZ814" t="s">
        <v>74</v>
      </c>
      <c r="BA814" t="s">
        <v>74</v>
      </c>
      <c r="BB814">
        <v>3729</v>
      </c>
      <c r="BC814">
        <v>3750</v>
      </c>
      <c r="BD814" t="s">
        <v>74</v>
      </c>
      <c r="BE814" t="s">
        <v>15361</v>
      </c>
      <c r="BF814" t="str">
        <f>HYPERLINK("http://dx.doi.org/10.1175/JPO-D-16-0145.1","http://dx.doi.org/10.1175/JPO-D-16-0145.1")</f>
        <v>http://dx.doi.org/10.1175/JPO-D-16-0145.1</v>
      </c>
      <c r="BG814" t="s">
        <v>74</v>
      </c>
      <c r="BH814" t="s">
        <v>74</v>
      </c>
      <c r="BI814">
        <v>22</v>
      </c>
      <c r="BJ814" t="s">
        <v>2164</v>
      </c>
      <c r="BK814" t="s">
        <v>101</v>
      </c>
      <c r="BL814" t="s">
        <v>2164</v>
      </c>
      <c r="BM814" t="s">
        <v>13688</v>
      </c>
      <c r="BN814" t="s">
        <v>74</v>
      </c>
      <c r="BO814" t="s">
        <v>1591</v>
      </c>
      <c r="BP814" t="s">
        <v>74</v>
      </c>
      <c r="BQ814" t="s">
        <v>74</v>
      </c>
      <c r="BR814" t="s">
        <v>105</v>
      </c>
      <c r="BS814" t="s">
        <v>15362</v>
      </c>
      <c r="BT814" t="str">
        <f>HYPERLINK("https%3A%2F%2Fwww.webofscience.com%2Fwos%2Fwoscc%2Ffull-record%2FWOS:000391349300014","View Full Record in Web of Science")</f>
        <v>View Full Record in Web of Science</v>
      </c>
    </row>
    <row r="815" spans="1:72" x14ac:dyDescent="0.15">
      <c r="A815" t="s">
        <v>72</v>
      </c>
      <c r="B815" t="s">
        <v>15363</v>
      </c>
      <c r="C815" t="s">
        <v>74</v>
      </c>
      <c r="D815" t="s">
        <v>74</v>
      </c>
      <c r="E815" t="s">
        <v>74</v>
      </c>
      <c r="F815" t="s">
        <v>15364</v>
      </c>
      <c r="G815" t="s">
        <v>74</v>
      </c>
      <c r="H815" t="s">
        <v>74</v>
      </c>
      <c r="I815" t="s">
        <v>15365</v>
      </c>
      <c r="J815" t="s">
        <v>15366</v>
      </c>
      <c r="K815" t="s">
        <v>74</v>
      </c>
      <c r="L815" t="s">
        <v>74</v>
      </c>
      <c r="M815" t="s">
        <v>78</v>
      </c>
      <c r="N815" t="s">
        <v>79</v>
      </c>
      <c r="O815" t="s">
        <v>74</v>
      </c>
      <c r="P815" t="s">
        <v>74</v>
      </c>
      <c r="Q815" t="s">
        <v>74</v>
      </c>
      <c r="R815" t="s">
        <v>74</v>
      </c>
      <c r="S815" t="s">
        <v>74</v>
      </c>
      <c r="T815" t="s">
        <v>15367</v>
      </c>
      <c r="U815" t="s">
        <v>15368</v>
      </c>
      <c r="V815" t="s">
        <v>15369</v>
      </c>
      <c r="W815" t="s">
        <v>15370</v>
      </c>
      <c r="X815" t="s">
        <v>15371</v>
      </c>
      <c r="Y815" t="s">
        <v>15372</v>
      </c>
      <c r="Z815" t="s">
        <v>15373</v>
      </c>
      <c r="AA815" t="s">
        <v>15374</v>
      </c>
      <c r="AB815" t="s">
        <v>15375</v>
      </c>
      <c r="AC815" t="s">
        <v>15376</v>
      </c>
      <c r="AD815" t="s">
        <v>15377</v>
      </c>
      <c r="AE815" t="s">
        <v>15378</v>
      </c>
      <c r="AF815" t="s">
        <v>74</v>
      </c>
      <c r="AG815">
        <v>85</v>
      </c>
      <c r="AH815">
        <v>15</v>
      </c>
      <c r="AI815">
        <v>16</v>
      </c>
      <c r="AJ815">
        <v>5</v>
      </c>
      <c r="AK815">
        <v>47</v>
      </c>
      <c r="AL815" t="s">
        <v>264</v>
      </c>
      <c r="AM815" t="s">
        <v>169</v>
      </c>
      <c r="AN815" t="s">
        <v>265</v>
      </c>
      <c r="AO815" t="s">
        <v>15379</v>
      </c>
      <c r="AP815" t="s">
        <v>15380</v>
      </c>
      <c r="AQ815" t="s">
        <v>74</v>
      </c>
      <c r="AR815" t="s">
        <v>15381</v>
      </c>
      <c r="AS815" t="s">
        <v>15382</v>
      </c>
      <c r="AT815" t="s">
        <v>12991</v>
      </c>
      <c r="AU815">
        <v>2016</v>
      </c>
      <c r="AV815">
        <v>30</v>
      </c>
      <c r="AW815" t="s">
        <v>74</v>
      </c>
      <c r="AX815" t="s">
        <v>74</v>
      </c>
      <c r="AY815" t="s">
        <v>74</v>
      </c>
      <c r="AZ815" t="s">
        <v>270</v>
      </c>
      <c r="BA815" t="s">
        <v>74</v>
      </c>
      <c r="BB815">
        <v>27</v>
      </c>
      <c r="BC815">
        <v>34</v>
      </c>
      <c r="BD815" t="s">
        <v>74</v>
      </c>
      <c r="BE815" t="s">
        <v>15383</v>
      </c>
      <c r="BF815" t="str">
        <f>HYPERLINK("http://dx.doi.org/10.1016/j.margen.2016.04.013","http://dx.doi.org/10.1016/j.margen.2016.04.013")</f>
        <v>http://dx.doi.org/10.1016/j.margen.2016.04.013</v>
      </c>
      <c r="BG815" t="s">
        <v>74</v>
      </c>
      <c r="BH815" t="s">
        <v>74</v>
      </c>
      <c r="BI815">
        <v>8</v>
      </c>
      <c r="BJ815" t="s">
        <v>15384</v>
      </c>
      <c r="BK815" t="s">
        <v>101</v>
      </c>
      <c r="BL815" t="s">
        <v>15384</v>
      </c>
      <c r="BM815" t="s">
        <v>15385</v>
      </c>
      <c r="BN815">
        <v>27189439</v>
      </c>
      <c r="BO815" t="s">
        <v>360</v>
      </c>
      <c r="BP815" t="s">
        <v>74</v>
      </c>
      <c r="BQ815" t="s">
        <v>74</v>
      </c>
      <c r="BR815" t="s">
        <v>105</v>
      </c>
      <c r="BS815" t="s">
        <v>15386</v>
      </c>
      <c r="BT815" t="str">
        <f>HYPERLINK("https%3A%2F%2Fwww.webofscience.com%2Fwos%2Fwoscc%2Ffull-record%2FWOS:000390744100004","View Full Record in Web of Science")</f>
        <v>View Full Record in Web of Science</v>
      </c>
    </row>
    <row r="816" spans="1:72" x14ac:dyDescent="0.15">
      <c r="A816" t="s">
        <v>72</v>
      </c>
      <c r="B816" t="s">
        <v>15387</v>
      </c>
      <c r="C816" t="s">
        <v>74</v>
      </c>
      <c r="D816" t="s">
        <v>74</v>
      </c>
      <c r="E816" t="s">
        <v>74</v>
      </c>
      <c r="F816" t="s">
        <v>15388</v>
      </c>
      <c r="G816" t="s">
        <v>74</v>
      </c>
      <c r="H816" t="s">
        <v>74</v>
      </c>
      <c r="I816" t="s">
        <v>15389</v>
      </c>
      <c r="J816" t="s">
        <v>2966</v>
      </c>
      <c r="K816" t="s">
        <v>74</v>
      </c>
      <c r="L816" t="s">
        <v>74</v>
      </c>
      <c r="M816" t="s">
        <v>78</v>
      </c>
      <c r="N816" t="s">
        <v>79</v>
      </c>
      <c r="O816" t="s">
        <v>74</v>
      </c>
      <c r="P816" t="s">
        <v>74</v>
      </c>
      <c r="Q816" t="s">
        <v>74</v>
      </c>
      <c r="R816" t="s">
        <v>74</v>
      </c>
      <c r="S816" t="s">
        <v>74</v>
      </c>
      <c r="T816" t="s">
        <v>74</v>
      </c>
      <c r="U816" t="s">
        <v>15390</v>
      </c>
      <c r="V816" t="s">
        <v>15391</v>
      </c>
      <c r="W816" t="s">
        <v>15392</v>
      </c>
      <c r="X816" t="s">
        <v>15393</v>
      </c>
      <c r="Y816" t="s">
        <v>15394</v>
      </c>
      <c r="Z816" t="s">
        <v>15395</v>
      </c>
      <c r="AA816" t="s">
        <v>15396</v>
      </c>
      <c r="AB816" t="s">
        <v>15397</v>
      </c>
      <c r="AC816" t="s">
        <v>15398</v>
      </c>
      <c r="AD816" t="s">
        <v>15399</v>
      </c>
      <c r="AE816" t="s">
        <v>15400</v>
      </c>
      <c r="AF816" t="s">
        <v>74</v>
      </c>
      <c r="AG816">
        <v>97</v>
      </c>
      <c r="AH816">
        <v>131</v>
      </c>
      <c r="AI816">
        <v>142</v>
      </c>
      <c r="AJ816">
        <v>13</v>
      </c>
      <c r="AK816">
        <v>196</v>
      </c>
      <c r="AL816" t="s">
        <v>186</v>
      </c>
      <c r="AM816" t="s">
        <v>93</v>
      </c>
      <c r="AN816" t="s">
        <v>1675</v>
      </c>
      <c r="AO816" t="s">
        <v>2978</v>
      </c>
      <c r="AP816" t="s">
        <v>2979</v>
      </c>
      <c r="AQ816" t="s">
        <v>74</v>
      </c>
      <c r="AR816" t="s">
        <v>2980</v>
      </c>
      <c r="AS816" t="s">
        <v>2981</v>
      </c>
      <c r="AT816" t="s">
        <v>12991</v>
      </c>
      <c r="AU816">
        <v>2016</v>
      </c>
      <c r="AV816">
        <v>6</v>
      </c>
      <c r="AW816">
        <v>12</v>
      </c>
      <c r="AX816" t="s">
        <v>74</v>
      </c>
      <c r="AY816" t="s">
        <v>74</v>
      </c>
      <c r="AZ816" t="s">
        <v>74</v>
      </c>
      <c r="BA816" t="s">
        <v>74</v>
      </c>
      <c r="BB816">
        <v>1072</v>
      </c>
      <c r="BC816">
        <v>1079</v>
      </c>
      <c r="BD816" t="s">
        <v>74</v>
      </c>
      <c r="BE816" t="s">
        <v>15401</v>
      </c>
      <c r="BF816" t="str">
        <f>HYPERLINK("http://dx.doi.org/10.1038/NCLIMATE3147","http://dx.doi.org/10.1038/NCLIMATE3147")</f>
        <v>http://dx.doi.org/10.1038/NCLIMATE3147</v>
      </c>
      <c r="BG816" t="s">
        <v>74</v>
      </c>
      <c r="BH816" t="s">
        <v>74</v>
      </c>
      <c r="BI816">
        <v>8</v>
      </c>
      <c r="BJ816" t="s">
        <v>2983</v>
      </c>
      <c r="BK816" t="s">
        <v>245</v>
      </c>
      <c r="BL816" t="s">
        <v>982</v>
      </c>
      <c r="BM816" t="s">
        <v>15402</v>
      </c>
      <c r="BN816" t="s">
        <v>74</v>
      </c>
      <c r="BO816" t="s">
        <v>74</v>
      </c>
      <c r="BP816" t="s">
        <v>74</v>
      </c>
      <c r="BQ816" t="s">
        <v>74</v>
      </c>
      <c r="BR816" t="s">
        <v>105</v>
      </c>
      <c r="BS816" t="s">
        <v>15403</v>
      </c>
      <c r="BT816" t="str">
        <f>HYPERLINK("https%3A%2F%2Fwww.webofscience.com%2Fwos%2Fwoscc%2Ffull-record%2FWOS:000389432200012","View Full Record in Web of Science")</f>
        <v>View Full Record in Web of Science</v>
      </c>
    </row>
    <row r="817" spans="1:72" x14ac:dyDescent="0.15">
      <c r="A817" t="s">
        <v>72</v>
      </c>
      <c r="B817" t="s">
        <v>15404</v>
      </c>
      <c r="C817" t="s">
        <v>74</v>
      </c>
      <c r="D817" t="s">
        <v>74</v>
      </c>
      <c r="E817" t="s">
        <v>74</v>
      </c>
      <c r="F817" t="s">
        <v>15405</v>
      </c>
      <c r="G817" t="s">
        <v>74</v>
      </c>
      <c r="H817" t="s">
        <v>74</v>
      </c>
      <c r="I817" t="s">
        <v>15406</v>
      </c>
      <c r="J817" t="s">
        <v>15407</v>
      </c>
      <c r="K817" t="s">
        <v>74</v>
      </c>
      <c r="L817" t="s">
        <v>74</v>
      </c>
      <c r="M817" t="s">
        <v>78</v>
      </c>
      <c r="N817" t="s">
        <v>79</v>
      </c>
      <c r="O817" t="s">
        <v>74</v>
      </c>
      <c r="P817" t="s">
        <v>74</v>
      </c>
      <c r="Q817" t="s">
        <v>74</v>
      </c>
      <c r="R817" t="s">
        <v>74</v>
      </c>
      <c r="S817" t="s">
        <v>74</v>
      </c>
      <c r="T817" t="s">
        <v>74</v>
      </c>
      <c r="U817" t="s">
        <v>15408</v>
      </c>
      <c r="V817" t="s">
        <v>15409</v>
      </c>
      <c r="W817" t="s">
        <v>15410</v>
      </c>
      <c r="X817" t="s">
        <v>15411</v>
      </c>
      <c r="Y817" t="s">
        <v>15412</v>
      </c>
      <c r="Z817" t="s">
        <v>15413</v>
      </c>
      <c r="AA817" t="s">
        <v>15414</v>
      </c>
      <c r="AB817" t="s">
        <v>15415</v>
      </c>
      <c r="AC817" t="s">
        <v>15416</v>
      </c>
      <c r="AD817" t="s">
        <v>15417</v>
      </c>
      <c r="AE817" t="s">
        <v>15418</v>
      </c>
      <c r="AF817" t="s">
        <v>74</v>
      </c>
      <c r="AG817">
        <v>73</v>
      </c>
      <c r="AH817">
        <v>13</v>
      </c>
      <c r="AI817">
        <v>16</v>
      </c>
      <c r="AJ817">
        <v>0</v>
      </c>
      <c r="AK817">
        <v>9</v>
      </c>
      <c r="AL817" t="s">
        <v>15419</v>
      </c>
      <c r="AM817" t="s">
        <v>15420</v>
      </c>
      <c r="AN817" t="s">
        <v>15421</v>
      </c>
      <c r="AO817" t="s">
        <v>15422</v>
      </c>
      <c r="AP817" t="s">
        <v>74</v>
      </c>
      <c r="AQ817" t="s">
        <v>74</v>
      </c>
      <c r="AR817" t="s">
        <v>15407</v>
      </c>
      <c r="AS817" t="s">
        <v>2164</v>
      </c>
      <c r="AT817" t="s">
        <v>12991</v>
      </c>
      <c r="AU817">
        <v>2016</v>
      </c>
      <c r="AV817">
        <v>29</v>
      </c>
      <c r="AW817">
        <v>4</v>
      </c>
      <c r="AX817" t="s">
        <v>74</v>
      </c>
      <c r="AY817" t="s">
        <v>74</v>
      </c>
      <c r="AZ817" t="s">
        <v>270</v>
      </c>
      <c r="BA817" t="s">
        <v>74</v>
      </c>
      <c r="BB817">
        <v>46</v>
      </c>
      <c r="BC817">
        <v>61</v>
      </c>
      <c r="BD817" t="s">
        <v>74</v>
      </c>
      <c r="BE817" t="s">
        <v>15423</v>
      </c>
      <c r="BF817" t="str">
        <f>HYPERLINK("http://dx.doi.org/10.5670/oceanog.2016.98","http://dx.doi.org/10.5670/oceanog.2016.98")</f>
        <v>http://dx.doi.org/10.5670/oceanog.2016.98</v>
      </c>
      <c r="BG817" t="s">
        <v>74</v>
      </c>
      <c r="BH817" t="s">
        <v>74</v>
      </c>
      <c r="BI817">
        <v>16</v>
      </c>
      <c r="BJ817" t="s">
        <v>2164</v>
      </c>
      <c r="BK817" t="s">
        <v>101</v>
      </c>
      <c r="BL817" t="s">
        <v>2164</v>
      </c>
      <c r="BM817" t="s">
        <v>15424</v>
      </c>
      <c r="BN817">
        <v>32818012</v>
      </c>
      <c r="BO817" t="s">
        <v>7707</v>
      </c>
      <c r="BP817" t="s">
        <v>74</v>
      </c>
      <c r="BQ817" t="s">
        <v>74</v>
      </c>
      <c r="BR817" t="s">
        <v>105</v>
      </c>
      <c r="BS817" t="s">
        <v>15425</v>
      </c>
      <c r="BT817" t="str">
        <f>HYPERLINK("https%3A%2F%2Fwww.webofscience.com%2Fwos%2Fwoscc%2Ffull-record%2FWOS:000390560400008","View Full Record in Web of Science")</f>
        <v>View Full Record in Web of Science</v>
      </c>
    </row>
    <row r="818" spans="1:72" x14ac:dyDescent="0.15">
      <c r="A818" t="s">
        <v>72</v>
      </c>
      <c r="B818" t="s">
        <v>15426</v>
      </c>
      <c r="C818" t="s">
        <v>74</v>
      </c>
      <c r="D818" t="s">
        <v>74</v>
      </c>
      <c r="E818" t="s">
        <v>74</v>
      </c>
      <c r="F818" t="s">
        <v>15427</v>
      </c>
      <c r="G818" t="s">
        <v>74</v>
      </c>
      <c r="H818" t="s">
        <v>74</v>
      </c>
      <c r="I818" t="s">
        <v>15428</v>
      </c>
      <c r="J818" t="s">
        <v>15407</v>
      </c>
      <c r="K818" t="s">
        <v>74</v>
      </c>
      <c r="L818" t="s">
        <v>74</v>
      </c>
      <c r="M818" t="s">
        <v>78</v>
      </c>
      <c r="N818" t="s">
        <v>79</v>
      </c>
      <c r="O818" t="s">
        <v>74</v>
      </c>
      <c r="P818" t="s">
        <v>74</v>
      </c>
      <c r="Q818" t="s">
        <v>74</v>
      </c>
      <c r="R818" t="s">
        <v>74</v>
      </c>
      <c r="S818" t="s">
        <v>74</v>
      </c>
      <c r="T818" t="s">
        <v>74</v>
      </c>
      <c r="U818" t="s">
        <v>15429</v>
      </c>
      <c r="V818" t="s">
        <v>15430</v>
      </c>
      <c r="W818" t="s">
        <v>15431</v>
      </c>
      <c r="X818" t="s">
        <v>15432</v>
      </c>
      <c r="Y818" t="s">
        <v>15433</v>
      </c>
      <c r="Z818" t="s">
        <v>15434</v>
      </c>
      <c r="AA818" t="s">
        <v>15435</v>
      </c>
      <c r="AB818" t="s">
        <v>15436</v>
      </c>
      <c r="AC818" t="s">
        <v>15437</v>
      </c>
      <c r="AD818" t="s">
        <v>15438</v>
      </c>
      <c r="AE818" t="s">
        <v>15439</v>
      </c>
      <c r="AF818" t="s">
        <v>74</v>
      </c>
      <c r="AG818">
        <v>49</v>
      </c>
      <c r="AH818">
        <v>31</v>
      </c>
      <c r="AI818">
        <v>31</v>
      </c>
      <c r="AJ818">
        <v>0</v>
      </c>
      <c r="AK818">
        <v>11</v>
      </c>
      <c r="AL818" t="s">
        <v>15419</v>
      </c>
      <c r="AM818" t="s">
        <v>15420</v>
      </c>
      <c r="AN818" t="s">
        <v>15421</v>
      </c>
      <c r="AO818" t="s">
        <v>15422</v>
      </c>
      <c r="AP818" t="s">
        <v>74</v>
      </c>
      <c r="AQ818" t="s">
        <v>74</v>
      </c>
      <c r="AR818" t="s">
        <v>15407</v>
      </c>
      <c r="AS818" t="s">
        <v>2164</v>
      </c>
      <c r="AT818" t="s">
        <v>12991</v>
      </c>
      <c r="AU818">
        <v>2016</v>
      </c>
      <c r="AV818">
        <v>29</v>
      </c>
      <c r="AW818">
        <v>4</v>
      </c>
      <c r="AX818" t="s">
        <v>74</v>
      </c>
      <c r="AY818" t="s">
        <v>74</v>
      </c>
      <c r="AZ818" t="s">
        <v>270</v>
      </c>
      <c r="BA818" t="s">
        <v>74</v>
      </c>
      <c r="BB818">
        <v>84</v>
      </c>
      <c r="BC818">
        <v>95</v>
      </c>
      <c r="BD818" t="s">
        <v>74</v>
      </c>
      <c r="BE818" t="s">
        <v>15440</v>
      </c>
      <c r="BF818" t="str">
        <f>HYPERLINK("http://dx.doi.org/10.5670/oceanog.2016.101","http://dx.doi.org/10.5670/oceanog.2016.101")</f>
        <v>http://dx.doi.org/10.5670/oceanog.2016.101</v>
      </c>
      <c r="BG818" t="s">
        <v>74</v>
      </c>
      <c r="BH818" t="s">
        <v>74</v>
      </c>
      <c r="BI818">
        <v>12</v>
      </c>
      <c r="BJ818" t="s">
        <v>2164</v>
      </c>
      <c r="BK818" t="s">
        <v>101</v>
      </c>
      <c r="BL818" t="s">
        <v>2164</v>
      </c>
      <c r="BM818" t="s">
        <v>15424</v>
      </c>
      <c r="BN818" t="s">
        <v>74</v>
      </c>
      <c r="BO818" t="s">
        <v>1298</v>
      </c>
      <c r="BP818" t="s">
        <v>74</v>
      </c>
      <c r="BQ818" t="s">
        <v>74</v>
      </c>
      <c r="BR818" t="s">
        <v>105</v>
      </c>
      <c r="BS818" t="s">
        <v>15441</v>
      </c>
      <c r="BT818" t="str">
        <f>HYPERLINK("https%3A%2F%2Fwww.webofscience.com%2Fwos%2Fwoscc%2Ffull-record%2FWOS:000390560400011","View Full Record in Web of Science")</f>
        <v>View Full Record in Web of Science</v>
      </c>
    </row>
    <row r="819" spans="1:72" x14ac:dyDescent="0.15">
      <c r="A819" t="s">
        <v>72</v>
      </c>
      <c r="B819" t="s">
        <v>15442</v>
      </c>
      <c r="C819" t="s">
        <v>74</v>
      </c>
      <c r="D819" t="s">
        <v>74</v>
      </c>
      <c r="E819" t="s">
        <v>74</v>
      </c>
      <c r="F819" t="s">
        <v>15443</v>
      </c>
      <c r="G819" t="s">
        <v>74</v>
      </c>
      <c r="H819" t="s">
        <v>74</v>
      </c>
      <c r="I819" t="s">
        <v>15444</v>
      </c>
      <c r="J819" t="s">
        <v>15407</v>
      </c>
      <c r="K819" t="s">
        <v>74</v>
      </c>
      <c r="L819" t="s">
        <v>74</v>
      </c>
      <c r="M819" t="s">
        <v>78</v>
      </c>
      <c r="N819" t="s">
        <v>79</v>
      </c>
      <c r="O819" t="s">
        <v>74</v>
      </c>
      <c r="P819" t="s">
        <v>74</v>
      </c>
      <c r="Q819" t="s">
        <v>74</v>
      </c>
      <c r="R819" t="s">
        <v>74</v>
      </c>
      <c r="S819" t="s">
        <v>74</v>
      </c>
      <c r="T819" t="s">
        <v>74</v>
      </c>
      <c r="U819" t="s">
        <v>15445</v>
      </c>
      <c r="V819" t="s">
        <v>15446</v>
      </c>
      <c r="W819" t="s">
        <v>15447</v>
      </c>
      <c r="X819" t="s">
        <v>15448</v>
      </c>
      <c r="Y819" t="s">
        <v>15449</v>
      </c>
      <c r="Z819" t="s">
        <v>15450</v>
      </c>
      <c r="AA819" t="s">
        <v>8698</v>
      </c>
      <c r="AB819" t="s">
        <v>15451</v>
      </c>
      <c r="AC819" t="s">
        <v>15452</v>
      </c>
      <c r="AD819" t="s">
        <v>15453</v>
      </c>
      <c r="AE819" t="s">
        <v>15454</v>
      </c>
      <c r="AF819" t="s">
        <v>74</v>
      </c>
      <c r="AG819">
        <v>88</v>
      </c>
      <c r="AH819">
        <v>22</v>
      </c>
      <c r="AI819">
        <v>28</v>
      </c>
      <c r="AJ819">
        <v>2</v>
      </c>
      <c r="AK819">
        <v>33</v>
      </c>
      <c r="AL819" t="s">
        <v>15419</v>
      </c>
      <c r="AM819" t="s">
        <v>15420</v>
      </c>
      <c r="AN819" t="s">
        <v>15421</v>
      </c>
      <c r="AO819" t="s">
        <v>15422</v>
      </c>
      <c r="AP819" t="s">
        <v>74</v>
      </c>
      <c r="AQ819" t="s">
        <v>74</v>
      </c>
      <c r="AR819" t="s">
        <v>15407</v>
      </c>
      <c r="AS819" t="s">
        <v>2164</v>
      </c>
      <c r="AT819" t="s">
        <v>12991</v>
      </c>
      <c r="AU819">
        <v>2016</v>
      </c>
      <c r="AV819">
        <v>29</v>
      </c>
      <c r="AW819">
        <v>4</v>
      </c>
      <c r="AX819" t="s">
        <v>74</v>
      </c>
      <c r="AY819" t="s">
        <v>74</v>
      </c>
      <c r="AZ819" t="s">
        <v>270</v>
      </c>
      <c r="BA819" t="s">
        <v>74</v>
      </c>
      <c r="BB819">
        <v>96</v>
      </c>
      <c r="BC819">
        <v>105</v>
      </c>
      <c r="BD819" t="s">
        <v>74</v>
      </c>
      <c r="BE819" t="s">
        <v>15455</v>
      </c>
      <c r="BF819" t="str">
        <f>HYPERLINK("http://dx.doi.org/10.5670/oceanog.2016.102","http://dx.doi.org/10.5670/oceanog.2016.102")</f>
        <v>http://dx.doi.org/10.5670/oceanog.2016.102</v>
      </c>
      <c r="BG819" t="s">
        <v>74</v>
      </c>
      <c r="BH819" t="s">
        <v>74</v>
      </c>
      <c r="BI819">
        <v>10</v>
      </c>
      <c r="BJ819" t="s">
        <v>2164</v>
      </c>
      <c r="BK819" t="s">
        <v>101</v>
      </c>
      <c r="BL819" t="s">
        <v>2164</v>
      </c>
      <c r="BM819" t="s">
        <v>15424</v>
      </c>
      <c r="BN819" t="s">
        <v>74</v>
      </c>
      <c r="BO819" t="s">
        <v>591</v>
      </c>
      <c r="BP819" t="s">
        <v>74</v>
      </c>
      <c r="BQ819" t="s">
        <v>74</v>
      </c>
      <c r="BR819" t="s">
        <v>105</v>
      </c>
      <c r="BS819" t="s">
        <v>15456</v>
      </c>
      <c r="BT819" t="str">
        <f>HYPERLINK("https%3A%2F%2Fwww.webofscience.com%2Fwos%2Fwoscc%2Ffull-record%2FWOS:000390560400012","View Full Record in Web of Science")</f>
        <v>View Full Record in Web of Science</v>
      </c>
    </row>
    <row r="820" spans="1:72" x14ac:dyDescent="0.15">
      <c r="A820" t="s">
        <v>72</v>
      </c>
      <c r="B820" t="s">
        <v>15457</v>
      </c>
      <c r="C820" t="s">
        <v>74</v>
      </c>
      <c r="D820" t="s">
        <v>74</v>
      </c>
      <c r="E820" t="s">
        <v>74</v>
      </c>
      <c r="F820" t="s">
        <v>15458</v>
      </c>
      <c r="G820" t="s">
        <v>74</v>
      </c>
      <c r="H820" t="s">
        <v>74</v>
      </c>
      <c r="I820" t="s">
        <v>15459</v>
      </c>
      <c r="J820" t="s">
        <v>15407</v>
      </c>
      <c r="K820" t="s">
        <v>74</v>
      </c>
      <c r="L820" t="s">
        <v>74</v>
      </c>
      <c r="M820" t="s">
        <v>78</v>
      </c>
      <c r="N820" t="s">
        <v>79</v>
      </c>
      <c r="O820" t="s">
        <v>74</v>
      </c>
      <c r="P820" t="s">
        <v>74</v>
      </c>
      <c r="Q820" t="s">
        <v>74</v>
      </c>
      <c r="R820" t="s">
        <v>74</v>
      </c>
      <c r="S820" t="s">
        <v>74</v>
      </c>
      <c r="T820" t="s">
        <v>74</v>
      </c>
      <c r="U820" t="s">
        <v>15460</v>
      </c>
      <c r="V820" t="s">
        <v>15461</v>
      </c>
      <c r="W820" t="s">
        <v>15462</v>
      </c>
      <c r="X820" t="s">
        <v>15463</v>
      </c>
      <c r="Y820" t="s">
        <v>15464</v>
      </c>
      <c r="Z820" t="s">
        <v>15465</v>
      </c>
      <c r="AA820" t="s">
        <v>15466</v>
      </c>
      <c r="AB820" t="s">
        <v>15467</v>
      </c>
      <c r="AC820" t="s">
        <v>15468</v>
      </c>
      <c r="AD820" t="s">
        <v>15469</v>
      </c>
      <c r="AE820" t="s">
        <v>15470</v>
      </c>
      <c r="AF820" t="s">
        <v>74</v>
      </c>
      <c r="AG820">
        <v>64</v>
      </c>
      <c r="AH820">
        <v>114</v>
      </c>
      <c r="AI820">
        <v>131</v>
      </c>
      <c r="AJ820">
        <v>1</v>
      </c>
      <c r="AK820">
        <v>29</v>
      </c>
      <c r="AL820" t="s">
        <v>15419</v>
      </c>
      <c r="AM820" t="s">
        <v>15420</v>
      </c>
      <c r="AN820" t="s">
        <v>15421</v>
      </c>
      <c r="AO820" t="s">
        <v>15422</v>
      </c>
      <c r="AP820" t="s">
        <v>74</v>
      </c>
      <c r="AQ820" t="s">
        <v>74</v>
      </c>
      <c r="AR820" t="s">
        <v>15407</v>
      </c>
      <c r="AS820" t="s">
        <v>2164</v>
      </c>
      <c r="AT820" t="s">
        <v>12991</v>
      </c>
      <c r="AU820">
        <v>2016</v>
      </c>
      <c r="AV820">
        <v>29</v>
      </c>
      <c r="AW820">
        <v>4</v>
      </c>
      <c r="AX820" t="s">
        <v>74</v>
      </c>
      <c r="AY820" t="s">
        <v>74</v>
      </c>
      <c r="AZ820" t="s">
        <v>270</v>
      </c>
      <c r="BA820" t="s">
        <v>74</v>
      </c>
      <c r="BB820">
        <v>106</v>
      </c>
      <c r="BC820">
        <v>117</v>
      </c>
      <c r="BD820" t="s">
        <v>74</v>
      </c>
      <c r="BE820" t="s">
        <v>15471</v>
      </c>
      <c r="BF820" t="str">
        <f>HYPERLINK("http://dx.doi.org/10.5670/oceanog.2016.103","http://dx.doi.org/10.5670/oceanog.2016.103")</f>
        <v>http://dx.doi.org/10.5670/oceanog.2016.103</v>
      </c>
      <c r="BG820" t="s">
        <v>74</v>
      </c>
      <c r="BH820" t="s">
        <v>74</v>
      </c>
      <c r="BI820">
        <v>12</v>
      </c>
      <c r="BJ820" t="s">
        <v>2164</v>
      </c>
      <c r="BK820" t="s">
        <v>101</v>
      </c>
      <c r="BL820" t="s">
        <v>2164</v>
      </c>
      <c r="BM820" t="s">
        <v>15424</v>
      </c>
      <c r="BN820" t="s">
        <v>74</v>
      </c>
      <c r="BO820" t="s">
        <v>15472</v>
      </c>
      <c r="BP820" t="s">
        <v>74</v>
      </c>
      <c r="BQ820" t="s">
        <v>74</v>
      </c>
      <c r="BR820" t="s">
        <v>105</v>
      </c>
      <c r="BS820" t="s">
        <v>15473</v>
      </c>
      <c r="BT820" t="str">
        <f>HYPERLINK("https%3A%2F%2Fwww.webofscience.com%2Fwos%2Fwoscc%2Ffull-record%2FWOS:000390560400013","View Full Record in Web of Science")</f>
        <v>View Full Record in Web of Science</v>
      </c>
    </row>
    <row r="821" spans="1:72" x14ac:dyDescent="0.15">
      <c r="A821" t="s">
        <v>72</v>
      </c>
      <c r="B821" t="s">
        <v>15474</v>
      </c>
      <c r="C821" t="s">
        <v>74</v>
      </c>
      <c r="D821" t="s">
        <v>74</v>
      </c>
      <c r="E821" t="s">
        <v>74</v>
      </c>
      <c r="F821" t="s">
        <v>15475</v>
      </c>
      <c r="G821" t="s">
        <v>74</v>
      </c>
      <c r="H821" t="s">
        <v>74</v>
      </c>
      <c r="I821" t="s">
        <v>15476</v>
      </c>
      <c r="J821" t="s">
        <v>15407</v>
      </c>
      <c r="K821" t="s">
        <v>74</v>
      </c>
      <c r="L821" t="s">
        <v>74</v>
      </c>
      <c r="M821" t="s">
        <v>78</v>
      </c>
      <c r="N821" t="s">
        <v>79</v>
      </c>
      <c r="O821" t="s">
        <v>74</v>
      </c>
      <c r="P821" t="s">
        <v>74</v>
      </c>
      <c r="Q821" t="s">
        <v>74</v>
      </c>
      <c r="R821" t="s">
        <v>74</v>
      </c>
      <c r="S821" t="s">
        <v>74</v>
      </c>
      <c r="T821" t="s">
        <v>74</v>
      </c>
      <c r="U821" t="s">
        <v>15477</v>
      </c>
      <c r="V821" t="s">
        <v>15478</v>
      </c>
      <c r="W821" t="s">
        <v>15479</v>
      </c>
      <c r="X821" t="s">
        <v>15480</v>
      </c>
      <c r="Y821" t="s">
        <v>15481</v>
      </c>
      <c r="Z821" t="s">
        <v>15482</v>
      </c>
      <c r="AA821" t="s">
        <v>15483</v>
      </c>
      <c r="AB821" t="s">
        <v>15484</v>
      </c>
      <c r="AC821" t="s">
        <v>15485</v>
      </c>
      <c r="AD821" t="s">
        <v>15486</v>
      </c>
      <c r="AE821" t="s">
        <v>15487</v>
      </c>
      <c r="AF821" t="s">
        <v>74</v>
      </c>
      <c r="AG821">
        <v>57</v>
      </c>
      <c r="AH821">
        <v>37</v>
      </c>
      <c r="AI821">
        <v>42</v>
      </c>
      <c r="AJ821">
        <v>1</v>
      </c>
      <c r="AK821">
        <v>26</v>
      </c>
      <c r="AL821" t="s">
        <v>15419</v>
      </c>
      <c r="AM821" t="s">
        <v>15420</v>
      </c>
      <c r="AN821" t="s">
        <v>15421</v>
      </c>
      <c r="AO821" t="s">
        <v>15422</v>
      </c>
      <c r="AP821" t="s">
        <v>74</v>
      </c>
      <c r="AQ821" t="s">
        <v>74</v>
      </c>
      <c r="AR821" t="s">
        <v>15407</v>
      </c>
      <c r="AS821" t="s">
        <v>2164</v>
      </c>
      <c r="AT821" t="s">
        <v>12991</v>
      </c>
      <c r="AU821">
        <v>2016</v>
      </c>
      <c r="AV821">
        <v>29</v>
      </c>
      <c r="AW821">
        <v>4</v>
      </c>
      <c r="AX821" t="s">
        <v>74</v>
      </c>
      <c r="AY821" t="s">
        <v>74</v>
      </c>
      <c r="AZ821" t="s">
        <v>270</v>
      </c>
      <c r="BA821" t="s">
        <v>74</v>
      </c>
      <c r="BB821">
        <v>118</v>
      </c>
      <c r="BC821">
        <v>129</v>
      </c>
      <c r="BD821" t="s">
        <v>74</v>
      </c>
      <c r="BE821" t="s">
        <v>15488</v>
      </c>
      <c r="BF821" t="str">
        <f>HYPERLINK("http://dx.doi.org/10.5670/oceanog.2016.104","http://dx.doi.org/10.5670/oceanog.2016.104")</f>
        <v>http://dx.doi.org/10.5670/oceanog.2016.104</v>
      </c>
      <c r="BG821" t="s">
        <v>74</v>
      </c>
      <c r="BH821" t="s">
        <v>74</v>
      </c>
      <c r="BI821">
        <v>12</v>
      </c>
      <c r="BJ821" t="s">
        <v>2164</v>
      </c>
      <c r="BK821" t="s">
        <v>101</v>
      </c>
      <c r="BL821" t="s">
        <v>2164</v>
      </c>
      <c r="BM821" t="s">
        <v>15424</v>
      </c>
      <c r="BN821" t="s">
        <v>74</v>
      </c>
      <c r="BO821" t="s">
        <v>1713</v>
      </c>
      <c r="BP821" t="s">
        <v>74</v>
      </c>
      <c r="BQ821" t="s">
        <v>74</v>
      </c>
      <c r="BR821" t="s">
        <v>105</v>
      </c>
      <c r="BS821" t="s">
        <v>15489</v>
      </c>
      <c r="BT821" t="str">
        <f>HYPERLINK("https%3A%2F%2Fwww.webofscience.com%2Fwos%2Fwoscc%2Ffull-record%2FWOS:000390560400014","View Full Record in Web of Science")</f>
        <v>View Full Record in Web of Science</v>
      </c>
    </row>
    <row r="822" spans="1:72" x14ac:dyDescent="0.15">
      <c r="A822" t="s">
        <v>72</v>
      </c>
      <c r="B822" t="s">
        <v>15490</v>
      </c>
      <c r="C822" t="s">
        <v>74</v>
      </c>
      <c r="D822" t="s">
        <v>74</v>
      </c>
      <c r="E822" t="s">
        <v>74</v>
      </c>
      <c r="F822" t="s">
        <v>15491</v>
      </c>
      <c r="G822" t="s">
        <v>74</v>
      </c>
      <c r="H822" t="s">
        <v>74</v>
      </c>
      <c r="I822" t="s">
        <v>15492</v>
      </c>
      <c r="J822" t="s">
        <v>15407</v>
      </c>
      <c r="K822" t="s">
        <v>74</v>
      </c>
      <c r="L822" t="s">
        <v>74</v>
      </c>
      <c r="M822" t="s">
        <v>78</v>
      </c>
      <c r="N822" t="s">
        <v>79</v>
      </c>
      <c r="O822" t="s">
        <v>74</v>
      </c>
      <c r="P822" t="s">
        <v>74</v>
      </c>
      <c r="Q822" t="s">
        <v>74</v>
      </c>
      <c r="R822" t="s">
        <v>74</v>
      </c>
      <c r="S822" t="s">
        <v>74</v>
      </c>
      <c r="T822" t="s">
        <v>74</v>
      </c>
      <c r="U822" t="s">
        <v>15493</v>
      </c>
      <c r="V822" t="s">
        <v>15494</v>
      </c>
      <c r="W822" t="s">
        <v>15495</v>
      </c>
      <c r="X822" t="s">
        <v>15496</v>
      </c>
      <c r="Y822" t="s">
        <v>15497</v>
      </c>
      <c r="Z822" t="s">
        <v>15498</v>
      </c>
      <c r="AA822" t="s">
        <v>15499</v>
      </c>
      <c r="AB822" t="s">
        <v>15500</v>
      </c>
      <c r="AC822" t="s">
        <v>15501</v>
      </c>
      <c r="AD822" t="s">
        <v>15502</v>
      </c>
      <c r="AE822" t="s">
        <v>15503</v>
      </c>
      <c r="AF822" t="s">
        <v>74</v>
      </c>
      <c r="AG822">
        <v>91</v>
      </c>
      <c r="AH822">
        <v>53</v>
      </c>
      <c r="AI822">
        <v>63</v>
      </c>
      <c r="AJ822">
        <v>1</v>
      </c>
      <c r="AK822">
        <v>29</v>
      </c>
      <c r="AL822" t="s">
        <v>15419</v>
      </c>
      <c r="AM822" t="s">
        <v>15420</v>
      </c>
      <c r="AN822" t="s">
        <v>15421</v>
      </c>
      <c r="AO822" t="s">
        <v>15422</v>
      </c>
      <c r="AP822" t="s">
        <v>74</v>
      </c>
      <c r="AQ822" t="s">
        <v>74</v>
      </c>
      <c r="AR822" t="s">
        <v>15407</v>
      </c>
      <c r="AS822" t="s">
        <v>2164</v>
      </c>
      <c r="AT822" t="s">
        <v>12991</v>
      </c>
      <c r="AU822">
        <v>2016</v>
      </c>
      <c r="AV822">
        <v>29</v>
      </c>
      <c r="AW822">
        <v>4</v>
      </c>
      <c r="AX822" t="s">
        <v>74</v>
      </c>
      <c r="AY822" t="s">
        <v>74</v>
      </c>
      <c r="AZ822" t="s">
        <v>270</v>
      </c>
      <c r="BA822" t="s">
        <v>74</v>
      </c>
      <c r="BB822">
        <v>130</v>
      </c>
      <c r="BC822">
        <v>143</v>
      </c>
      <c r="BD822" t="s">
        <v>74</v>
      </c>
      <c r="BE822" t="s">
        <v>15504</v>
      </c>
      <c r="BF822" t="str">
        <f>HYPERLINK("http://dx.doi.org/10.5670/oceanog.2016.105","http://dx.doi.org/10.5670/oceanog.2016.105")</f>
        <v>http://dx.doi.org/10.5670/oceanog.2016.105</v>
      </c>
      <c r="BG822" t="s">
        <v>74</v>
      </c>
      <c r="BH822" t="s">
        <v>74</v>
      </c>
      <c r="BI822">
        <v>14</v>
      </c>
      <c r="BJ822" t="s">
        <v>2164</v>
      </c>
      <c r="BK822" t="s">
        <v>101</v>
      </c>
      <c r="BL822" t="s">
        <v>2164</v>
      </c>
      <c r="BM822" t="s">
        <v>15424</v>
      </c>
      <c r="BN822" t="s">
        <v>74</v>
      </c>
      <c r="BO822" t="s">
        <v>1713</v>
      </c>
      <c r="BP822" t="s">
        <v>74</v>
      </c>
      <c r="BQ822" t="s">
        <v>74</v>
      </c>
      <c r="BR822" t="s">
        <v>105</v>
      </c>
      <c r="BS822" t="s">
        <v>15505</v>
      </c>
      <c r="BT822" t="str">
        <f>HYPERLINK("https%3A%2F%2Fwww.webofscience.com%2Fwos%2Fwoscc%2Ffull-record%2FWOS:000390560400015","View Full Record in Web of Science")</f>
        <v>View Full Record in Web of Science</v>
      </c>
    </row>
    <row r="823" spans="1:72" x14ac:dyDescent="0.15">
      <c r="A823" t="s">
        <v>72</v>
      </c>
      <c r="B823" t="s">
        <v>15506</v>
      </c>
      <c r="C823" t="s">
        <v>74</v>
      </c>
      <c r="D823" t="s">
        <v>74</v>
      </c>
      <c r="E823" t="s">
        <v>74</v>
      </c>
      <c r="F823" t="s">
        <v>15507</v>
      </c>
      <c r="G823" t="s">
        <v>74</v>
      </c>
      <c r="H823" t="s">
        <v>74</v>
      </c>
      <c r="I823" t="s">
        <v>15508</v>
      </c>
      <c r="J823" t="s">
        <v>15407</v>
      </c>
      <c r="K823" t="s">
        <v>74</v>
      </c>
      <c r="L823" t="s">
        <v>74</v>
      </c>
      <c r="M823" t="s">
        <v>78</v>
      </c>
      <c r="N823" t="s">
        <v>2034</v>
      </c>
      <c r="O823" t="s">
        <v>74</v>
      </c>
      <c r="P823" t="s">
        <v>74</v>
      </c>
      <c r="Q823" t="s">
        <v>74</v>
      </c>
      <c r="R823" t="s">
        <v>74</v>
      </c>
      <c r="S823" t="s">
        <v>74</v>
      </c>
      <c r="T823" t="s">
        <v>74</v>
      </c>
      <c r="U823" t="s">
        <v>15509</v>
      </c>
      <c r="V823" t="s">
        <v>15510</v>
      </c>
      <c r="W823" t="s">
        <v>15511</v>
      </c>
      <c r="X823" t="s">
        <v>15512</v>
      </c>
      <c r="Y823" t="s">
        <v>15513</v>
      </c>
      <c r="Z823" t="s">
        <v>15514</v>
      </c>
      <c r="AA823" t="s">
        <v>15515</v>
      </c>
      <c r="AB823" t="s">
        <v>15516</v>
      </c>
      <c r="AC823" t="s">
        <v>15517</v>
      </c>
      <c r="AD823" t="s">
        <v>15518</v>
      </c>
      <c r="AE823" t="s">
        <v>15519</v>
      </c>
      <c r="AF823" t="s">
        <v>74</v>
      </c>
      <c r="AG823">
        <v>70</v>
      </c>
      <c r="AH823">
        <v>90</v>
      </c>
      <c r="AI823">
        <v>96</v>
      </c>
      <c r="AJ823">
        <v>2</v>
      </c>
      <c r="AK823">
        <v>36</v>
      </c>
      <c r="AL823" t="s">
        <v>15419</v>
      </c>
      <c r="AM823" t="s">
        <v>15420</v>
      </c>
      <c r="AN823" t="s">
        <v>15421</v>
      </c>
      <c r="AO823" t="s">
        <v>15422</v>
      </c>
      <c r="AP823" t="s">
        <v>74</v>
      </c>
      <c r="AQ823" t="s">
        <v>74</v>
      </c>
      <c r="AR823" t="s">
        <v>15407</v>
      </c>
      <c r="AS823" t="s">
        <v>2164</v>
      </c>
      <c r="AT823" t="s">
        <v>12991</v>
      </c>
      <c r="AU823">
        <v>2016</v>
      </c>
      <c r="AV823">
        <v>29</v>
      </c>
      <c r="AW823">
        <v>4</v>
      </c>
      <c r="AX823" t="s">
        <v>74</v>
      </c>
      <c r="AY823" t="s">
        <v>74</v>
      </c>
      <c r="AZ823" t="s">
        <v>270</v>
      </c>
      <c r="BA823" t="s">
        <v>74</v>
      </c>
      <c r="BB823">
        <v>144</v>
      </c>
      <c r="BC823">
        <v>153</v>
      </c>
      <c r="BD823" t="s">
        <v>74</v>
      </c>
      <c r="BE823" t="s">
        <v>15520</v>
      </c>
      <c r="BF823" t="str">
        <f>HYPERLINK("http://dx.doi.org/10.5670/oceanog.2016.106","http://dx.doi.org/10.5670/oceanog.2016.106")</f>
        <v>http://dx.doi.org/10.5670/oceanog.2016.106</v>
      </c>
      <c r="BG823" t="s">
        <v>74</v>
      </c>
      <c r="BH823" t="s">
        <v>74</v>
      </c>
      <c r="BI823">
        <v>10</v>
      </c>
      <c r="BJ823" t="s">
        <v>2164</v>
      </c>
      <c r="BK823" t="s">
        <v>101</v>
      </c>
      <c r="BL823" t="s">
        <v>2164</v>
      </c>
      <c r="BM823" t="s">
        <v>15424</v>
      </c>
      <c r="BN823" t="s">
        <v>74</v>
      </c>
      <c r="BO823" t="s">
        <v>7707</v>
      </c>
      <c r="BP823" t="s">
        <v>74</v>
      </c>
      <c r="BQ823" t="s">
        <v>74</v>
      </c>
      <c r="BR823" t="s">
        <v>105</v>
      </c>
      <c r="BS823" t="s">
        <v>15521</v>
      </c>
      <c r="BT823" t="str">
        <f>HYPERLINK("https%3A%2F%2Fwww.webofscience.com%2Fwos%2Fwoscc%2Ffull-record%2FWOS:000390560400016","View Full Record in Web of Science")</f>
        <v>View Full Record in Web of Science</v>
      </c>
    </row>
    <row r="824" spans="1:72" x14ac:dyDescent="0.15">
      <c r="A824" t="s">
        <v>72</v>
      </c>
      <c r="B824" t="s">
        <v>15522</v>
      </c>
      <c r="C824" t="s">
        <v>74</v>
      </c>
      <c r="D824" t="s">
        <v>74</v>
      </c>
      <c r="E824" t="s">
        <v>74</v>
      </c>
      <c r="F824" t="s">
        <v>15523</v>
      </c>
      <c r="G824" t="s">
        <v>74</v>
      </c>
      <c r="H824" t="s">
        <v>74</v>
      </c>
      <c r="I824" t="s">
        <v>15524</v>
      </c>
      <c r="J824" t="s">
        <v>15525</v>
      </c>
      <c r="K824" t="s">
        <v>74</v>
      </c>
      <c r="L824" t="s">
        <v>74</v>
      </c>
      <c r="M824" t="s">
        <v>78</v>
      </c>
      <c r="N824" t="s">
        <v>79</v>
      </c>
      <c r="O824" t="s">
        <v>74</v>
      </c>
      <c r="P824" t="s">
        <v>74</v>
      </c>
      <c r="Q824" t="s">
        <v>74</v>
      </c>
      <c r="R824" t="s">
        <v>74</v>
      </c>
      <c r="S824" t="s">
        <v>74</v>
      </c>
      <c r="T824" t="s">
        <v>15526</v>
      </c>
      <c r="U824" t="s">
        <v>15527</v>
      </c>
      <c r="V824" t="s">
        <v>15528</v>
      </c>
      <c r="W824" t="s">
        <v>15529</v>
      </c>
      <c r="X824" t="s">
        <v>15530</v>
      </c>
      <c r="Y824" t="s">
        <v>15531</v>
      </c>
      <c r="Z824" t="s">
        <v>15532</v>
      </c>
      <c r="AA824" t="s">
        <v>15533</v>
      </c>
      <c r="AB824" t="s">
        <v>15534</v>
      </c>
      <c r="AC824" t="s">
        <v>15535</v>
      </c>
      <c r="AD824" t="s">
        <v>15536</v>
      </c>
      <c r="AE824" t="s">
        <v>15537</v>
      </c>
      <c r="AF824" t="s">
        <v>74</v>
      </c>
      <c r="AG824">
        <v>58</v>
      </c>
      <c r="AH824">
        <v>14</v>
      </c>
      <c r="AI824">
        <v>18</v>
      </c>
      <c r="AJ824">
        <v>1</v>
      </c>
      <c r="AK824">
        <v>32</v>
      </c>
      <c r="AL824" t="s">
        <v>291</v>
      </c>
      <c r="AM824" t="s">
        <v>292</v>
      </c>
      <c r="AN824" t="s">
        <v>293</v>
      </c>
      <c r="AO824" t="s">
        <v>15538</v>
      </c>
      <c r="AP824" t="s">
        <v>15539</v>
      </c>
      <c r="AQ824" t="s">
        <v>74</v>
      </c>
      <c r="AR824" t="s">
        <v>15540</v>
      </c>
      <c r="AS824" t="s">
        <v>15541</v>
      </c>
      <c r="AT824" t="s">
        <v>12991</v>
      </c>
      <c r="AU824">
        <v>2016</v>
      </c>
      <c r="AV824">
        <v>102</v>
      </c>
      <c r="AW824" t="s">
        <v>74</v>
      </c>
      <c r="AX824" t="s">
        <v>74</v>
      </c>
      <c r="AY824" t="s">
        <v>74</v>
      </c>
      <c r="AZ824" t="s">
        <v>74</v>
      </c>
      <c r="BA824" t="s">
        <v>74</v>
      </c>
      <c r="BB824">
        <v>93</v>
      </c>
      <c r="BC824">
        <v>105</v>
      </c>
      <c r="BD824" t="s">
        <v>74</v>
      </c>
      <c r="BE824" t="s">
        <v>15542</v>
      </c>
      <c r="BF824" t="str">
        <f>HYPERLINK("http://dx.doi.org/10.1016/j.orggeochem.2016.10.003","http://dx.doi.org/10.1016/j.orggeochem.2016.10.003")</f>
        <v>http://dx.doi.org/10.1016/j.orggeochem.2016.10.003</v>
      </c>
      <c r="BG824" t="s">
        <v>74</v>
      </c>
      <c r="BH824" t="s">
        <v>74</v>
      </c>
      <c r="BI824">
        <v>13</v>
      </c>
      <c r="BJ824" t="s">
        <v>299</v>
      </c>
      <c r="BK824" t="s">
        <v>101</v>
      </c>
      <c r="BL824" t="s">
        <v>299</v>
      </c>
      <c r="BM824" t="s">
        <v>15543</v>
      </c>
      <c r="BN824" t="s">
        <v>74</v>
      </c>
      <c r="BO824" t="s">
        <v>378</v>
      </c>
      <c r="BP824" t="s">
        <v>74</v>
      </c>
      <c r="BQ824" t="s">
        <v>74</v>
      </c>
      <c r="BR824" t="s">
        <v>105</v>
      </c>
      <c r="BS824" t="s">
        <v>15544</v>
      </c>
      <c r="BT824" t="str">
        <f>HYPERLINK("https%3A%2F%2Fwww.webofscience.com%2Fwos%2Fwoscc%2Ffull-record%2FWOS:000392534300009","View Full Record in Web of Science")</f>
        <v>View Full Record in Web of Science</v>
      </c>
    </row>
    <row r="825" spans="1:72" x14ac:dyDescent="0.15">
      <c r="A825" t="s">
        <v>72</v>
      </c>
      <c r="B825" t="s">
        <v>15545</v>
      </c>
      <c r="C825" t="s">
        <v>74</v>
      </c>
      <c r="D825" t="s">
        <v>74</v>
      </c>
      <c r="E825" t="s">
        <v>74</v>
      </c>
      <c r="F825" t="s">
        <v>15546</v>
      </c>
      <c r="G825" t="s">
        <v>74</v>
      </c>
      <c r="H825" t="s">
        <v>74</v>
      </c>
      <c r="I825" t="s">
        <v>15547</v>
      </c>
      <c r="J825" t="s">
        <v>11677</v>
      </c>
      <c r="K825" t="s">
        <v>74</v>
      </c>
      <c r="L825" t="s">
        <v>74</v>
      </c>
      <c r="M825" t="s">
        <v>78</v>
      </c>
      <c r="N825" t="s">
        <v>79</v>
      </c>
      <c r="O825" t="s">
        <v>74</v>
      </c>
      <c r="P825" t="s">
        <v>74</v>
      </c>
      <c r="Q825" t="s">
        <v>74</v>
      </c>
      <c r="R825" t="s">
        <v>74</v>
      </c>
      <c r="S825" t="s">
        <v>74</v>
      </c>
      <c r="T825" t="s">
        <v>74</v>
      </c>
      <c r="U825" t="s">
        <v>15548</v>
      </c>
      <c r="V825" t="s">
        <v>15549</v>
      </c>
      <c r="W825" t="s">
        <v>15550</v>
      </c>
      <c r="X825" t="s">
        <v>15551</v>
      </c>
      <c r="Y825" t="s">
        <v>15552</v>
      </c>
      <c r="Z825" t="s">
        <v>15553</v>
      </c>
      <c r="AA825" t="s">
        <v>15554</v>
      </c>
      <c r="AB825" t="s">
        <v>15555</v>
      </c>
      <c r="AC825" t="s">
        <v>15556</v>
      </c>
      <c r="AD825" t="s">
        <v>15557</v>
      </c>
      <c r="AE825" t="s">
        <v>15558</v>
      </c>
      <c r="AF825" t="s">
        <v>74</v>
      </c>
      <c r="AG825">
        <v>132</v>
      </c>
      <c r="AH825">
        <v>35</v>
      </c>
      <c r="AI825">
        <v>38</v>
      </c>
      <c r="AJ825">
        <v>1</v>
      </c>
      <c r="AK825">
        <v>30</v>
      </c>
      <c r="AL825" t="s">
        <v>661</v>
      </c>
      <c r="AM825" t="s">
        <v>142</v>
      </c>
      <c r="AN825" t="s">
        <v>662</v>
      </c>
      <c r="AO825" t="s">
        <v>11689</v>
      </c>
      <c r="AP825" t="s">
        <v>11690</v>
      </c>
      <c r="AQ825" t="s">
        <v>74</v>
      </c>
      <c r="AR825" t="s">
        <v>11677</v>
      </c>
      <c r="AS825" t="s">
        <v>11691</v>
      </c>
      <c r="AT825" t="s">
        <v>12991</v>
      </c>
      <c r="AU825">
        <v>2016</v>
      </c>
      <c r="AV825">
        <v>31</v>
      </c>
      <c r="AW825">
        <v>12</v>
      </c>
      <c r="AX825" t="s">
        <v>74</v>
      </c>
      <c r="AY825" t="s">
        <v>74</v>
      </c>
      <c r="AZ825" t="s">
        <v>74</v>
      </c>
      <c r="BA825" t="s">
        <v>74</v>
      </c>
      <c r="BB825">
        <v>1583</v>
      </c>
      <c r="BC825">
        <v>1602</v>
      </c>
      <c r="BD825" t="s">
        <v>74</v>
      </c>
      <c r="BE825" t="s">
        <v>15559</v>
      </c>
      <c r="BF825" t="str">
        <f>HYPERLINK("http://dx.doi.org/10.1002/2016PA003029","http://dx.doi.org/10.1002/2016PA003029")</f>
        <v>http://dx.doi.org/10.1002/2016PA003029</v>
      </c>
      <c r="BG825" t="s">
        <v>74</v>
      </c>
      <c r="BH825" t="s">
        <v>74</v>
      </c>
      <c r="BI825">
        <v>20</v>
      </c>
      <c r="BJ825" t="s">
        <v>11693</v>
      </c>
      <c r="BK825" t="s">
        <v>101</v>
      </c>
      <c r="BL825" t="s">
        <v>11694</v>
      </c>
      <c r="BM825" t="s">
        <v>15560</v>
      </c>
      <c r="BN825" t="s">
        <v>74</v>
      </c>
      <c r="BO825" t="s">
        <v>2771</v>
      </c>
      <c r="BP825" t="s">
        <v>74</v>
      </c>
      <c r="BQ825" t="s">
        <v>74</v>
      </c>
      <c r="BR825" t="s">
        <v>105</v>
      </c>
      <c r="BS825" t="s">
        <v>15561</v>
      </c>
      <c r="BT825" t="str">
        <f>HYPERLINK("https%3A%2F%2Fwww.webofscience.com%2Fwos%2Fwoscc%2Ffull-record%2FWOS:000393173000005","View Full Record in Web of Science")</f>
        <v>View Full Record in Web of Science</v>
      </c>
    </row>
    <row r="826" spans="1:72" x14ac:dyDescent="0.15">
      <c r="A826" t="s">
        <v>72</v>
      </c>
      <c r="B826" t="s">
        <v>15562</v>
      </c>
      <c r="C826" t="s">
        <v>74</v>
      </c>
      <c r="D826" t="s">
        <v>74</v>
      </c>
      <c r="E826" t="s">
        <v>74</v>
      </c>
      <c r="F826" t="s">
        <v>15563</v>
      </c>
      <c r="G826" t="s">
        <v>74</v>
      </c>
      <c r="H826" t="s">
        <v>74</v>
      </c>
      <c r="I826" t="s">
        <v>15564</v>
      </c>
      <c r="J826" t="s">
        <v>9238</v>
      </c>
      <c r="K826" t="s">
        <v>74</v>
      </c>
      <c r="L826" t="s">
        <v>74</v>
      </c>
      <c r="M826" t="s">
        <v>78</v>
      </c>
      <c r="N826" t="s">
        <v>79</v>
      </c>
      <c r="O826" t="s">
        <v>74</v>
      </c>
      <c r="P826" t="s">
        <v>74</v>
      </c>
      <c r="Q826" t="s">
        <v>74</v>
      </c>
      <c r="R826" t="s">
        <v>74</v>
      </c>
      <c r="S826" t="s">
        <v>74</v>
      </c>
      <c r="T826" t="s">
        <v>15565</v>
      </c>
      <c r="U826" t="s">
        <v>15566</v>
      </c>
      <c r="V826" t="s">
        <v>15567</v>
      </c>
      <c r="W826" t="s">
        <v>15568</v>
      </c>
      <c r="X826" t="s">
        <v>4044</v>
      </c>
      <c r="Y826" t="s">
        <v>15569</v>
      </c>
      <c r="Z826" t="s">
        <v>15570</v>
      </c>
      <c r="AA826" t="s">
        <v>15571</v>
      </c>
      <c r="AB826" t="s">
        <v>15572</v>
      </c>
      <c r="AC826" t="s">
        <v>15573</v>
      </c>
      <c r="AD826" t="s">
        <v>15574</v>
      </c>
      <c r="AE826" t="s">
        <v>15575</v>
      </c>
      <c r="AF826" t="s">
        <v>74</v>
      </c>
      <c r="AG826">
        <v>55</v>
      </c>
      <c r="AH826">
        <v>14</v>
      </c>
      <c r="AI826">
        <v>14</v>
      </c>
      <c r="AJ826">
        <v>0</v>
      </c>
      <c r="AK826">
        <v>16</v>
      </c>
      <c r="AL826" t="s">
        <v>211</v>
      </c>
      <c r="AM826" t="s">
        <v>187</v>
      </c>
      <c r="AN826" t="s">
        <v>2131</v>
      </c>
      <c r="AO826" t="s">
        <v>9250</v>
      </c>
      <c r="AP826" t="s">
        <v>9251</v>
      </c>
      <c r="AQ826" t="s">
        <v>74</v>
      </c>
      <c r="AR826" t="s">
        <v>9252</v>
      </c>
      <c r="AS826" t="s">
        <v>9253</v>
      </c>
      <c r="AT826" t="s">
        <v>12991</v>
      </c>
      <c r="AU826">
        <v>2016</v>
      </c>
      <c r="AV826">
        <v>39</v>
      </c>
      <c r="AW826">
        <v>12</v>
      </c>
      <c r="AX826" t="s">
        <v>74</v>
      </c>
      <c r="AY826" t="s">
        <v>74</v>
      </c>
      <c r="AZ826" t="s">
        <v>74</v>
      </c>
      <c r="BA826" t="s">
        <v>74</v>
      </c>
      <c r="BB826">
        <v>2273</v>
      </c>
      <c r="BC826">
        <v>2280</v>
      </c>
      <c r="BD826" t="s">
        <v>74</v>
      </c>
      <c r="BE826" t="s">
        <v>15576</v>
      </c>
      <c r="BF826" t="str">
        <f>HYPERLINK("http://dx.doi.org/10.1007/s00300-016-1894-1","http://dx.doi.org/10.1007/s00300-016-1894-1")</f>
        <v>http://dx.doi.org/10.1007/s00300-016-1894-1</v>
      </c>
      <c r="BG826" t="s">
        <v>74</v>
      </c>
      <c r="BH826" t="s">
        <v>74</v>
      </c>
      <c r="BI826">
        <v>8</v>
      </c>
      <c r="BJ826" t="s">
        <v>5867</v>
      </c>
      <c r="BK826" t="s">
        <v>101</v>
      </c>
      <c r="BL826" t="s">
        <v>2257</v>
      </c>
      <c r="BM826" t="s">
        <v>14110</v>
      </c>
      <c r="BN826" t="s">
        <v>74</v>
      </c>
      <c r="BO826" t="s">
        <v>1223</v>
      </c>
      <c r="BP826" t="s">
        <v>74</v>
      </c>
      <c r="BQ826" t="s">
        <v>74</v>
      </c>
      <c r="BR826" t="s">
        <v>105</v>
      </c>
      <c r="BS826" t="s">
        <v>15577</v>
      </c>
      <c r="BT826" t="str">
        <f>HYPERLINK("https%3A%2F%2Fwww.webofscience.com%2Fwos%2Fwoscc%2Ffull-record%2FWOS:000390068600006","View Full Record in Web of Science")</f>
        <v>View Full Record in Web of Science</v>
      </c>
    </row>
    <row r="827" spans="1:72" x14ac:dyDescent="0.15">
      <c r="A827" t="s">
        <v>72</v>
      </c>
      <c r="B827" t="s">
        <v>15578</v>
      </c>
      <c r="C827" t="s">
        <v>74</v>
      </c>
      <c r="D827" t="s">
        <v>74</v>
      </c>
      <c r="E827" t="s">
        <v>74</v>
      </c>
      <c r="F827" t="s">
        <v>15579</v>
      </c>
      <c r="G827" t="s">
        <v>74</v>
      </c>
      <c r="H827" t="s">
        <v>74</v>
      </c>
      <c r="I827" t="s">
        <v>15580</v>
      </c>
      <c r="J827" t="s">
        <v>9238</v>
      </c>
      <c r="K827" t="s">
        <v>74</v>
      </c>
      <c r="L827" t="s">
        <v>74</v>
      </c>
      <c r="M827" t="s">
        <v>78</v>
      </c>
      <c r="N827" t="s">
        <v>79</v>
      </c>
      <c r="O827" t="s">
        <v>74</v>
      </c>
      <c r="P827" t="s">
        <v>74</v>
      </c>
      <c r="Q827" t="s">
        <v>74</v>
      </c>
      <c r="R827" t="s">
        <v>74</v>
      </c>
      <c r="S827" t="s">
        <v>74</v>
      </c>
      <c r="T827" t="s">
        <v>15581</v>
      </c>
      <c r="U827" t="s">
        <v>15582</v>
      </c>
      <c r="V827" t="s">
        <v>15583</v>
      </c>
      <c r="W827" t="s">
        <v>15584</v>
      </c>
      <c r="X827" t="s">
        <v>15585</v>
      </c>
      <c r="Y827" t="s">
        <v>15586</v>
      </c>
      <c r="Z827" t="s">
        <v>15587</v>
      </c>
      <c r="AA827" t="s">
        <v>15588</v>
      </c>
      <c r="AB827" t="s">
        <v>15589</v>
      </c>
      <c r="AC827" t="s">
        <v>15590</v>
      </c>
      <c r="AD827" t="s">
        <v>15591</v>
      </c>
      <c r="AE827" t="s">
        <v>15592</v>
      </c>
      <c r="AF827" t="s">
        <v>74</v>
      </c>
      <c r="AG827">
        <v>48</v>
      </c>
      <c r="AH827">
        <v>9</v>
      </c>
      <c r="AI827">
        <v>9</v>
      </c>
      <c r="AJ827">
        <v>0</v>
      </c>
      <c r="AK827">
        <v>21</v>
      </c>
      <c r="AL827" t="s">
        <v>211</v>
      </c>
      <c r="AM827" t="s">
        <v>187</v>
      </c>
      <c r="AN827" t="s">
        <v>2131</v>
      </c>
      <c r="AO827" t="s">
        <v>9250</v>
      </c>
      <c r="AP827" t="s">
        <v>9251</v>
      </c>
      <c r="AQ827" t="s">
        <v>74</v>
      </c>
      <c r="AR827" t="s">
        <v>9252</v>
      </c>
      <c r="AS827" t="s">
        <v>9253</v>
      </c>
      <c r="AT827" t="s">
        <v>12991</v>
      </c>
      <c r="AU827">
        <v>2016</v>
      </c>
      <c r="AV827">
        <v>39</v>
      </c>
      <c r="AW827">
        <v>12</v>
      </c>
      <c r="AX827" t="s">
        <v>74</v>
      </c>
      <c r="AY827" t="s">
        <v>74</v>
      </c>
      <c r="AZ827" t="s">
        <v>74</v>
      </c>
      <c r="BA827" t="s">
        <v>74</v>
      </c>
      <c r="BB827">
        <v>2299</v>
      </c>
      <c r="BC827">
        <v>2309</v>
      </c>
      <c r="BD827" t="s">
        <v>74</v>
      </c>
      <c r="BE827" t="s">
        <v>15593</v>
      </c>
      <c r="BF827" t="str">
        <f>HYPERLINK("http://dx.doi.org/10.1007/s00300-016-1896-z","http://dx.doi.org/10.1007/s00300-016-1896-z")</f>
        <v>http://dx.doi.org/10.1007/s00300-016-1896-z</v>
      </c>
      <c r="BG827" t="s">
        <v>74</v>
      </c>
      <c r="BH827" t="s">
        <v>74</v>
      </c>
      <c r="BI827">
        <v>11</v>
      </c>
      <c r="BJ827" t="s">
        <v>5867</v>
      </c>
      <c r="BK827" t="s">
        <v>101</v>
      </c>
      <c r="BL827" t="s">
        <v>2257</v>
      </c>
      <c r="BM827" t="s">
        <v>14110</v>
      </c>
      <c r="BN827" t="s">
        <v>74</v>
      </c>
      <c r="BO827" t="s">
        <v>74</v>
      </c>
      <c r="BP827" t="s">
        <v>74</v>
      </c>
      <c r="BQ827" t="s">
        <v>74</v>
      </c>
      <c r="BR827" t="s">
        <v>105</v>
      </c>
      <c r="BS827" t="s">
        <v>15594</v>
      </c>
      <c r="BT827" t="str">
        <f>HYPERLINK("https%3A%2F%2Fwww.webofscience.com%2Fwos%2Fwoscc%2Ffull-record%2FWOS:000390068600008","View Full Record in Web of Science")</f>
        <v>View Full Record in Web of Science</v>
      </c>
    </row>
    <row r="828" spans="1:72" x14ac:dyDescent="0.15">
      <c r="A828" t="s">
        <v>72</v>
      </c>
      <c r="B828" t="s">
        <v>15595</v>
      </c>
      <c r="C828" t="s">
        <v>74</v>
      </c>
      <c r="D828" t="s">
        <v>74</v>
      </c>
      <c r="E828" t="s">
        <v>74</v>
      </c>
      <c r="F828" t="s">
        <v>15596</v>
      </c>
      <c r="G828" t="s">
        <v>74</v>
      </c>
      <c r="H828" t="s">
        <v>74</v>
      </c>
      <c r="I828" t="s">
        <v>15597</v>
      </c>
      <c r="J828" t="s">
        <v>9238</v>
      </c>
      <c r="K828" t="s">
        <v>74</v>
      </c>
      <c r="L828" t="s">
        <v>74</v>
      </c>
      <c r="M828" t="s">
        <v>78</v>
      </c>
      <c r="N828" t="s">
        <v>79</v>
      </c>
      <c r="O828" t="s">
        <v>74</v>
      </c>
      <c r="P828" t="s">
        <v>74</v>
      </c>
      <c r="Q828" t="s">
        <v>74</v>
      </c>
      <c r="R828" t="s">
        <v>74</v>
      </c>
      <c r="S828" t="s">
        <v>74</v>
      </c>
      <c r="T828" t="s">
        <v>15598</v>
      </c>
      <c r="U828" t="s">
        <v>15599</v>
      </c>
      <c r="V828" t="s">
        <v>15600</v>
      </c>
      <c r="W828" t="s">
        <v>15601</v>
      </c>
      <c r="X828" t="s">
        <v>4044</v>
      </c>
      <c r="Y828" t="s">
        <v>15602</v>
      </c>
      <c r="Z828" t="s">
        <v>15603</v>
      </c>
      <c r="AA828" t="s">
        <v>5087</v>
      </c>
      <c r="AB828" t="s">
        <v>5088</v>
      </c>
      <c r="AC828" t="s">
        <v>15604</v>
      </c>
      <c r="AD828" t="s">
        <v>15605</v>
      </c>
      <c r="AE828" t="s">
        <v>15606</v>
      </c>
      <c r="AF828" t="s">
        <v>74</v>
      </c>
      <c r="AG828">
        <v>48</v>
      </c>
      <c r="AH828">
        <v>11</v>
      </c>
      <c r="AI828">
        <v>11</v>
      </c>
      <c r="AJ828">
        <v>0</v>
      </c>
      <c r="AK828">
        <v>16</v>
      </c>
      <c r="AL828" t="s">
        <v>211</v>
      </c>
      <c r="AM828" t="s">
        <v>187</v>
      </c>
      <c r="AN828" t="s">
        <v>933</v>
      </c>
      <c r="AO828" t="s">
        <v>9250</v>
      </c>
      <c r="AP828" t="s">
        <v>9251</v>
      </c>
      <c r="AQ828" t="s">
        <v>74</v>
      </c>
      <c r="AR828" t="s">
        <v>9252</v>
      </c>
      <c r="AS828" t="s">
        <v>9253</v>
      </c>
      <c r="AT828" t="s">
        <v>12991</v>
      </c>
      <c r="AU828">
        <v>2016</v>
      </c>
      <c r="AV828">
        <v>39</v>
      </c>
      <c r="AW828">
        <v>12</v>
      </c>
      <c r="AX828" t="s">
        <v>74</v>
      </c>
      <c r="AY828" t="s">
        <v>74</v>
      </c>
      <c r="AZ828" t="s">
        <v>74</v>
      </c>
      <c r="BA828" t="s">
        <v>74</v>
      </c>
      <c r="BB828">
        <v>2403</v>
      </c>
      <c r="BC828">
        <v>2410</v>
      </c>
      <c r="BD828" t="s">
        <v>74</v>
      </c>
      <c r="BE828" t="s">
        <v>15607</v>
      </c>
      <c r="BF828" t="str">
        <f>HYPERLINK("http://dx.doi.org/10.1007/s00300-016-1915-0","http://dx.doi.org/10.1007/s00300-016-1915-0")</f>
        <v>http://dx.doi.org/10.1007/s00300-016-1915-0</v>
      </c>
      <c r="BG828" t="s">
        <v>74</v>
      </c>
      <c r="BH828" t="s">
        <v>74</v>
      </c>
      <c r="BI828">
        <v>8</v>
      </c>
      <c r="BJ828" t="s">
        <v>5867</v>
      </c>
      <c r="BK828" t="s">
        <v>101</v>
      </c>
      <c r="BL828" t="s">
        <v>2257</v>
      </c>
      <c r="BM828" t="s">
        <v>14110</v>
      </c>
      <c r="BN828" t="s">
        <v>74</v>
      </c>
      <c r="BO828" t="s">
        <v>1223</v>
      </c>
      <c r="BP828" t="s">
        <v>74</v>
      </c>
      <c r="BQ828" t="s">
        <v>74</v>
      </c>
      <c r="BR828" t="s">
        <v>105</v>
      </c>
      <c r="BS828" t="s">
        <v>15608</v>
      </c>
      <c r="BT828" t="str">
        <f>HYPERLINK("https%3A%2F%2Fwww.webofscience.com%2Fwos%2Fwoscc%2Ffull-record%2FWOS:000390068600016","View Full Record in Web of Science")</f>
        <v>View Full Record in Web of Science</v>
      </c>
    </row>
    <row r="829" spans="1:72" x14ac:dyDescent="0.15">
      <c r="A829" t="s">
        <v>72</v>
      </c>
      <c r="B829" t="s">
        <v>15609</v>
      </c>
      <c r="C829" t="s">
        <v>74</v>
      </c>
      <c r="D829" t="s">
        <v>74</v>
      </c>
      <c r="E829" t="s">
        <v>74</v>
      </c>
      <c r="F829" t="s">
        <v>15610</v>
      </c>
      <c r="G829" t="s">
        <v>74</v>
      </c>
      <c r="H829" t="s">
        <v>74</v>
      </c>
      <c r="I829" t="s">
        <v>15611</v>
      </c>
      <c r="J829" t="s">
        <v>9238</v>
      </c>
      <c r="K829" t="s">
        <v>74</v>
      </c>
      <c r="L829" t="s">
        <v>74</v>
      </c>
      <c r="M829" t="s">
        <v>78</v>
      </c>
      <c r="N829" t="s">
        <v>79</v>
      </c>
      <c r="O829" t="s">
        <v>74</v>
      </c>
      <c r="P829" t="s">
        <v>74</v>
      </c>
      <c r="Q829" t="s">
        <v>74</v>
      </c>
      <c r="R829" t="s">
        <v>74</v>
      </c>
      <c r="S829" t="s">
        <v>74</v>
      </c>
      <c r="T829" t="s">
        <v>15612</v>
      </c>
      <c r="U829" t="s">
        <v>15613</v>
      </c>
      <c r="V829" t="s">
        <v>15614</v>
      </c>
      <c r="W829" t="s">
        <v>15615</v>
      </c>
      <c r="X829" t="s">
        <v>15616</v>
      </c>
      <c r="Y829" t="s">
        <v>15617</v>
      </c>
      <c r="Z829" t="s">
        <v>15618</v>
      </c>
      <c r="AA829" t="s">
        <v>15619</v>
      </c>
      <c r="AB829" t="s">
        <v>15620</v>
      </c>
      <c r="AC829" t="s">
        <v>15621</v>
      </c>
      <c r="AD829" t="s">
        <v>15622</v>
      </c>
      <c r="AE829" t="s">
        <v>15623</v>
      </c>
      <c r="AF829" t="s">
        <v>74</v>
      </c>
      <c r="AG829">
        <v>72</v>
      </c>
      <c r="AH829">
        <v>27</v>
      </c>
      <c r="AI829">
        <v>29</v>
      </c>
      <c r="AJ829">
        <v>0</v>
      </c>
      <c r="AK829">
        <v>33</v>
      </c>
      <c r="AL829" t="s">
        <v>211</v>
      </c>
      <c r="AM829" t="s">
        <v>187</v>
      </c>
      <c r="AN829" t="s">
        <v>933</v>
      </c>
      <c r="AO829" t="s">
        <v>9250</v>
      </c>
      <c r="AP829" t="s">
        <v>9251</v>
      </c>
      <c r="AQ829" t="s">
        <v>74</v>
      </c>
      <c r="AR829" t="s">
        <v>9252</v>
      </c>
      <c r="AS829" t="s">
        <v>9253</v>
      </c>
      <c r="AT829" t="s">
        <v>12991</v>
      </c>
      <c r="AU829">
        <v>2016</v>
      </c>
      <c r="AV829">
        <v>39</v>
      </c>
      <c r="AW829">
        <v>12</v>
      </c>
      <c r="AX829" t="s">
        <v>74</v>
      </c>
      <c r="AY829" t="s">
        <v>74</v>
      </c>
      <c r="AZ829" t="s">
        <v>74</v>
      </c>
      <c r="BA829" t="s">
        <v>74</v>
      </c>
      <c r="BB829">
        <v>2441</v>
      </c>
      <c r="BC829">
        <v>2456</v>
      </c>
      <c r="BD829" t="s">
        <v>74</v>
      </c>
      <c r="BE829" t="s">
        <v>15624</v>
      </c>
      <c r="BF829" t="str">
        <f>HYPERLINK("http://dx.doi.org/10.1007/s00300-016-1901-6","http://dx.doi.org/10.1007/s00300-016-1901-6")</f>
        <v>http://dx.doi.org/10.1007/s00300-016-1901-6</v>
      </c>
      <c r="BG829" t="s">
        <v>74</v>
      </c>
      <c r="BH829" t="s">
        <v>74</v>
      </c>
      <c r="BI829">
        <v>16</v>
      </c>
      <c r="BJ829" t="s">
        <v>5867</v>
      </c>
      <c r="BK829" t="s">
        <v>101</v>
      </c>
      <c r="BL829" t="s">
        <v>2257</v>
      </c>
      <c r="BM829" t="s">
        <v>14110</v>
      </c>
      <c r="BN829" t="s">
        <v>74</v>
      </c>
      <c r="BO829" t="s">
        <v>74</v>
      </c>
      <c r="BP829" t="s">
        <v>74</v>
      </c>
      <c r="BQ829" t="s">
        <v>74</v>
      </c>
      <c r="BR829" t="s">
        <v>105</v>
      </c>
      <c r="BS829" t="s">
        <v>15625</v>
      </c>
      <c r="BT829" t="str">
        <f>HYPERLINK("https%3A%2F%2Fwww.webofscience.com%2Fwos%2Fwoscc%2Ffull-record%2FWOS:000390068600019","View Full Record in Web of Science")</f>
        <v>View Full Record in Web of Science</v>
      </c>
    </row>
    <row r="830" spans="1:72" x14ac:dyDescent="0.15">
      <c r="A830" t="s">
        <v>72</v>
      </c>
      <c r="B830" t="s">
        <v>15626</v>
      </c>
      <c r="C830" t="s">
        <v>74</v>
      </c>
      <c r="D830" t="s">
        <v>74</v>
      </c>
      <c r="E830" t="s">
        <v>74</v>
      </c>
      <c r="F830" t="s">
        <v>15627</v>
      </c>
      <c r="G830" t="s">
        <v>74</v>
      </c>
      <c r="H830" t="s">
        <v>74</v>
      </c>
      <c r="I830" t="s">
        <v>15628</v>
      </c>
      <c r="J830" t="s">
        <v>14549</v>
      </c>
      <c r="K830" t="s">
        <v>74</v>
      </c>
      <c r="L830" t="s">
        <v>74</v>
      </c>
      <c r="M830" t="s">
        <v>78</v>
      </c>
      <c r="N830" t="s">
        <v>79</v>
      </c>
      <c r="O830" t="s">
        <v>74</v>
      </c>
      <c r="P830" t="s">
        <v>74</v>
      </c>
      <c r="Q830" t="s">
        <v>74</v>
      </c>
      <c r="R830" t="s">
        <v>74</v>
      </c>
      <c r="S830" t="s">
        <v>74</v>
      </c>
      <c r="T830" t="s">
        <v>15629</v>
      </c>
      <c r="U830" t="s">
        <v>15630</v>
      </c>
      <c r="V830" t="s">
        <v>15631</v>
      </c>
      <c r="W830" t="s">
        <v>15632</v>
      </c>
      <c r="X830" t="s">
        <v>15633</v>
      </c>
      <c r="Y830" t="s">
        <v>15634</v>
      </c>
      <c r="Z830" t="s">
        <v>15635</v>
      </c>
      <c r="AA830" t="s">
        <v>1325</v>
      </c>
      <c r="AB830" t="s">
        <v>1326</v>
      </c>
      <c r="AC830" t="s">
        <v>15636</v>
      </c>
      <c r="AD830" t="s">
        <v>15637</v>
      </c>
      <c r="AE830" t="s">
        <v>15638</v>
      </c>
      <c r="AF830" t="s">
        <v>74</v>
      </c>
      <c r="AG830">
        <v>38</v>
      </c>
      <c r="AH830">
        <v>11</v>
      </c>
      <c r="AI830">
        <v>12</v>
      </c>
      <c r="AJ830">
        <v>0</v>
      </c>
      <c r="AK830">
        <v>11</v>
      </c>
      <c r="AL830" t="s">
        <v>168</v>
      </c>
      <c r="AM830" t="s">
        <v>169</v>
      </c>
      <c r="AN830" t="s">
        <v>170</v>
      </c>
      <c r="AO830" t="s">
        <v>14562</v>
      </c>
      <c r="AP830" t="s">
        <v>14563</v>
      </c>
      <c r="AQ830" t="s">
        <v>74</v>
      </c>
      <c r="AR830" t="s">
        <v>14564</v>
      </c>
      <c r="AS830" t="s">
        <v>14565</v>
      </c>
      <c r="AT830" t="s">
        <v>12991</v>
      </c>
      <c r="AU830">
        <v>2016</v>
      </c>
      <c r="AV830">
        <v>10</v>
      </c>
      <c r="AW830">
        <v>4</v>
      </c>
      <c r="AX830" t="s">
        <v>74</v>
      </c>
      <c r="AY830" t="s">
        <v>74</v>
      </c>
      <c r="AZ830" t="s">
        <v>74</v>
      </c>
      <c r="BA830" t="s">
        <v>74</v>
      </c>
      <c r="BB830">
        <v>503</v>
      </c>
      <c r="BC830">
        <v>510</v>
      </c>
      <c r="BD830" t="s">
        <v>74</v>
      </c>
      <c r="BE830" t="s">
        <v>15639</v>
      </c>
      <c r="BF830" t="str">
        <f>HYPERLINK("http://dx.doi.org/10.1016/j.polar.2016.09.001","http://dx.doi.org/10.1016/j.polar.2016.09.001")</f>
        <v>http://dx.doi.org/10.1016/j.polar.2016.09.001</v>
      </c>
      <c r="BG830" t="s">
        <v>74</v>
      </c>
      <c r="BH830" t="s">
        <v>74</v>
      </c>
      <c r="BI830">
        <v>8</v>
      </c>
      <c r="BJ830" t="s">
        <v>1333</v>
      </c>
      <c r="BK830" t="s">
        <v>101</v>
      </c>
      <c r="BL830" t="s">
        <v>1334</v>
      </c>
      <c r="BM830" t="s">
        <v>14567</v>
      </c>
      <c r="BN830" t="s">
        <v>74</v>
      </c>
      <c r="BO830" t="s">
        <v>74</v>
      </c>
      <c r="BP830" t="s">
        <v>74</v>
      </c>
      <c r="BQ830" t="s">
        <v>74</v>
      </c>
      <c r="BR830" t="s">
        <v>105</v>
      </c>
      <c r="BS830" t="s">
        <v>15640</v>
      </c>
      <c r="BT830" t="str">
        <f>HYPERLINK("https%3A%2F%2Fwww.webofscience.com%2Fwos%2Fwoscc%2Ffull-record%2FWOS:000388510000005","View Full Record in Web of Science")</f>
        <v>View Full Record in Web of Science</v>
      </c>
    </row>
    <row r="831" spans="1:72" x14ac:dyDescent="0.15">
      <c r="A831" t="s">
        <v>72</v>
      </c>
      <c r="B831" t="s">
        <v>15641</v>
      </c>
      <c r="C831" t="s">
        <v>74</v>
      </c>
      <c r="D831" t="s">
        <v>74</v>
      </c>
      <c r="E831" t="s">
        <v>74</v>
      </c>
      <c r="F831" t="s">
        <v>15642</v>
      </c>
      <c r="G831" t="s">
        <v>74</v>
      </c>
      <c r="H831" t="s">
        <v>74</v>
      </c>
      <c r="I831" t="s">
        <v>15643</v>
      </c>
      <c r="J831" t="s">
        <v>15644</v>
      </c>
      <c r="K831" t="s">
        <v>74</v>
      </c>
      <c r="L831" t="s">
        <v>74</v>
      </c>
      <c r="M831" t="s">
        <v>78</v>
      </c>
      <c r="N831" t="s">
        <v>2034</v>
      </c>
      <c r="O831" t="s">
        <v>74</v>
      </c>
      <c r="P831" t="s">
        <v>74</v>
      </c>
      <c r="Q831" t="s">
        <v>74</v>
      </c>
      <c r="R831" t="s">
        <v>74</v>
      </c>
      <c r="S831" t="s">
        <v>74</v>
      </c>
      <c r="T831" t="s">
        <v>15645</v>
      </c>
      <c r="U831" t="s">
        <v>15646</v>
      </c>
      <c r="V831" t="s">
        <v>15647</v>
      </c>
      <c r="W831" t="s">
        <v>15648</v>
      </c>
      <c r="X831" t="s">
        <v>15649</v>
      </c>
      <c r="Y831" t="s">
        <v>15650</v>
      </c>
      <c r="Z831" t="s">
        <v>15651</v>
      </c>
      <c r="AA831" t="s">
        <v>15652</v>
      </c>
      <c r="AB831" t="s">
        <v>15653</v>
      </c>
      <c r="AC831" t="s">
        <v>15654</v>
      </c>
      <c r="AD831" t="s">
        <v>15655</v>
      </c>
      <c r="AE831" t="s">
        <v>15656</v>
      </c>
      <c r="AF831" t="s">
        <v>74</v>
      </c>
      <c r="AG831">
        <v>68</v>
      </c>
      <c r="AH831">
        <v>26</v>
      </c>
      <c r="AI831">
        <v>28</v>
      </c>
      <c r="AJ831">
        <v>0</v>
      </c>
      <c r="AK831">
        <v>33</v>
      </c>
      <c r="AL831" t="s">
        <v>291</v>
      </c>
      <c r="AM831" t="s">
        <v>292</v>
      </c>
      <c r="AN831" t="s">
        <v>293</v>
      </c>
      <c r="AO831" t="s">
        <v>15657</v>
      </c>
      <c r="AP831" t="s">
        <v>74</v>
      </c>
      <c r="AQ831" t="s">
        <v>74</v>
      </c>
      <c r="AR831" t="s">
        <v>15658</v>
      </c>
      <c r="AS831" t="s">
        <v>15659</v>
      </c>
      <c r="AT831" t="s">
        <v>12991</v>
      </c>
      <c r="AU831">
        <v>2016</v>
      </c>
      <c r="AV831">
        <v>149</v>
      </c>
      <c r="AW831" t="s">
        <v>74</v>
      </c>
      <c r="AX831" t="s">
        <v>74</v>
      </c>
      <c r="AY831" t="s">
        <v>74</v>
      </c>
      <c r="AZ831" t="s">
        <v>74</v>
      </c>
      <c r="BA831" t="s">
        <v>74</v>
      </c>
      <c r="BB831">
        <v>16</v>
      </c>
      <c r="BC831">
        <v>26</v>
      </c>
      <c r="BD831" t="s">
        <v>74</v>
      </c>
      <c r="BE831" t="s">
        <v>15660</v>
      </c>
      <c r="BF831" t="str">
        <f>HYPERLINK("http://dx.doi.org/10.1016/j.pocean.2016.10.003","http://dx.doi.org/10.1016/j.pocean.2016.10.003")</f>
        <v>http://dx.doi.org/10.1016/j.pocean.2016.10.003</v>
      </c>
      <c r="BG831" t="s">
        <v>74</v>
      </c>
      <c r="BH831" t="s">
        <v>74</v>
      </c>
      <c r="BI831">
        <v>11</v>
      </c>
      <c r="BJ831" t="s">
        <v>2164</v>
      </c>
      <c r="BK831" t="s">
        <v>101</v>
      </c>
      <c r="BL831" t="s">
        <v>2164</v>
      </c>
      <c r="BM831" t="s">
        <v>15661</v>
      </c>
      <c r="BN831" t="s">
        <v>74</v>
      </c>
      <c r="BO831" t="s">
        <v>74</v>
      </c>
      <c r="BP831" t="s">
        <v>74</v>
      </c>
      <c r="BQ831" t="s">
        <v>74</v>
      </c>
      <c r="BR831" t="s">
        <v>105</v>
      </c>
      <c r="BS831" t="s">
        <v>15662</v>
      </c>
      <c r="BT831" t="str">
        <f>HYPERLINK("https%3A%2F%2Fwww.webofscience.com%2Fwos%2Fwoscc%2Ffull-record%2FWOS:000390723200002","View Full Record in Web of Science")</f>
        <v>View Full Record in Web of Science</v>
      </c>
    </row>
    <row r="832" spans="1:72" x14ac:dyDescent="0.15">
      <c r="A832" t="s">
        <v>72</v>
      </c>
      <c r="B832" t="s">
        <v>15663</v>
      </c>
      <c r="C832" t="s">
        <v>74</v>
      </c>
      <c r="D832" t="s">
        <v>74</v>
      </c>
      <c r="E832" t="s">
        <v>74</v>
      </c>
      <c r="F832" t="s">
        <v>15664</v>
      </c>
      <c r="G832" t="s">
        <v>74</v>
      </c>
      <c r="H832" t="s">
        <v>74</v>
      </c>
      <c r="I832" t="s">
        <v>15665</v>
      </c>
      <c r="J832" t="s">
        <v>15644</v>
      </c>
      <c r="K832" t="s">
        <v>74</v>
      </c>
      <c r="L832" t="s">
        <v>74</v>
      </c>
      <c r="M832" t="s">
        <v>78</v>
      </c>
      <c r="N832" t="s">
        <v>2034</v>
      </c>
      <c r="O832" t="s">
        <v>74</v>
      </c>
      <c r="P832" t="s">
        <v>74</v>
      </c>
      <c r="Q832" t="s">
        <v>74</v>
      </c>
      <c r="R832" t="s">
        <v>74</v>
      </c>
      <c r="S832" t="s">
        <v>74</v>
      </c>
      <c r="T832" t="s">
        <v>15666</v>
      </c>
      <c r="U832" t="s">
        <v>15667</v>
      </c>
      <c r="V832" t="s">
        <v>15668</v>
      </c>
      <c r="W832" t="s">
        <v>15669</v>
      </c>
      <c r="X832" t="s">
        <v>15670</v>
      </c>
      <c r="Y832" t="s">
        <v>15671</v>
      </c>
      <c r="Z832" t="s">
        <v>15672</v>
      </c>
      <c r="AA832" t="s">
        <v>15673</v>
      </c>
      <c r="AB832" t="s">
        <v>15674</v>
      </c>
      <c r="AC832" t="s">
        <v>15675</v>
      </c>
      <c r="AD832" t="s">
        <v>15676</v>
      </c>
      <c r="AE832" t="s">
        <v>15677</v>
      </c>
      <c r="AF832" t="s">
        <v>74</v>
      </c>
      <c r="AG832">
        <v>654</v>
      </c>
      <c r="AH832">
        <v>73</v>
      </c>
      <c r="AI832">
        <v>77</v>
      </c>
      <c r="AJ832">
        <v>5</v>
      </c>
      <c r="AK832">
        <v>182</v>
      </c>
      <c r="AL832" t="s">
        <v>291</v>
      </c>
      <c r="AM832" t="s">
        <v>292</v>
      </c>
      <c r="AN832" t="s">
        <v>293</v>
      </c>
      <c r="AO832" t="s">
        <v>15657</v>
      </c>
      <c r="AP832" t="s">
        <v>15678</v>
      </c>
      <c r="AQ832" t="s">
        <v>74</v>
      </c>
      <c r="AR832" t="s">
        <v>15658</v>
      </c>
      <c r="AS832" t="s">
        <v>15659</v>
      </c>
      <c r="AT832" t="s">
        <v>12991</v>
      </c>
      <c r="AU832">
        <v>2016</v>
      </c>
      <c r="AV832">
        <v>149</v>
      </c>
      <c r="AW832" t="s">
        <v>74</v>
      </c>
      <c r="AX832" t="s">
        <v>74</v>
      </c>
      <c r="AY832" t="s">
        <v>74</v>
      </c>
      <c r="AZ832" t="s">
        <v>74</v>
      </c>
      <c r="BA832" t="s">
        <v>74</v>
      </c>
      <c r="BB832">
        <v>40</v>
      </c>
      <c r="BC832">
        <v>81</v>
      </c>
      <c r="BD832" t="s">
        <v>74</v>
      </c>
      <c r="BE832" t="s">
        <v>15679</v>
      </c>
      <c r="BF832" t="str">
        <f>HYPERLINK("http://dx.doi.org/10.1016/j.pocean.2016.10.004","http://dx.doi.org/10.1016/j.pocean.2016.10.004")</f>
        <v>http://dx.doi.org/10.1016/j.pocean.2016.10.004</v>
      </c>
      <c r="BG832" t="s">
        <v>74</v>
      </c>
      <c r="BH832" t="s">
        <v>74</v>
      </c>
      <c r="BI832">
        <v>42</v>
      </c>
      <c r="BJ832" t="s">
        <v>2164</v>
      </c>
      <c r="BK832" t="s">
        <v>101</v>
      </c>
      <c r="BL832" t="s">
        <v>2164</v>
      </c>
      <c r="BM832" t="s">
        <v>15661</v>
      </c>
      <c r="BN832" t="s">
        <v>74</v>
      </c>
      <c r="BO832" t="s">
        <v>488</v>
      </c>
      <c r="BP832" t="s">
        <v>74</v>
      </c>
      <c r="BQ832" t="s">
        <v>74</v>
      </c>
      <c r="BR832" t="s">
        <v>105</v>
      </c>
      <c r="BS832" t="s">
        <v>15680</v>
      </c>
      <c r="BT832" t="str">
        <f>HYPERLINK("https%3A%2F%2Fwww.webofscience.com%2Fwos%2Fwoscc%2Ffull-record%2FWOS:000390723200004","View Full Record in Web of Science")</f>
        <v>View Full Record in Web of Science</v>
      </c>
    </row>
    <row r="833" spans="1:72" x14ac:dyDescent="0.15">
      <c r="A833" t="s">
        <v>72</v>
      </c>
      <c r="B833" t="s">
        <v>15681</v>
      </c>
      <c r="C833" t="s">
        <v>74</v>
      </c>
      <c r="D833" t="s">
        <v>74</v>
      </c>
      <c r="E833" t="s">
        <v>74</v>
      </c>
      <c r="F833" t="s">
        <v>15682</v>
      </c>
      <c r="G833" t="s">
        <v>74</v>
      </c>
      <c r="H833" t="s">
        <v>74</v>
      </c>
      <c r="I833" t="s">
        <v>15683</v>
      </c>
      <c r="J833" t="s">
        <v>9583</v>
      </c>
      <c r="K833" t="s">
        <v>74</v>
      </c>
      <c r="L833" t="s">
        <v>74</v>
      </c>
      <c r="M833" t="s">
        <v>78</v>
      </c>
      <c r="N833" t="s">
        <v>79</v>
      </c>
      <c r="O833" t="s">
        <v>74</v>
      </c>
      <c r="P833" t="s">
        <v>74</v>
      </c>
      <c r="Q833" t="s">
        <v>74</v>
      </c>
      <c r="R833" t="s">
        <v>74</v>
      </c>
      <c r="S833" t="s">
        <v>74</v>
      </c>
      <c r="T833" t="s">
        <v>15684</v>
      </c>
      <c r="U833" t="s">
        <v>15685</v>
      </c>
      <c r="V833" t="s">
        <v>15686</v>
      </c>
      <c r="W833" t="s">
        <v>15687</v>
      </c>
      <c r="X833" t="s">
        <v>15688</v>
      </c>
      <c r="Y833" t="s">
        <v>15689</v>
      </c>
      <c r="Z833" t="s">
        <v>15690</v>
      </c>
      <c r="AA833" t="s">
        <v>15691</v>
      </c>
      <c r="AB833" t="s">
        <v>15692</v>
      </c>
      <c r="AC833" t="s">
        <v>15693</v>
      </c>
      <c r="AD833" t="s">
        <v>15694</v>
      </c>
      <c r="AE833" t="s">
        <v>15695</v>
      </c>
      <c r="AF833" t="s">
        <v>74</v>
      </c>
      <c r="AG833">
        <v>187</v>
      </c>
      <c r="AH833">
        <v>112</v>
      </c>
      <c r="AI833">
        <v>115</v>
      </c>
      <c r="AJ833">
        <v>0</v>
      </c>
      <c r="AK833">
        <v>30</v>
      </c>
      <c r="AL833" t="s">
        <v>291</v>
      </c>
      <c r="AM833" t="s">
        <v>292</v>
      </c>
      <c r="AN833" t="s">
        <v>293</v>
      </c>
      <c r="AO833" t="s">
        <v>9595</v>
      </c>
      <c r="AP833" t="s">
        <v>74</v>
      </c>
      <c r="AQ833" t="s">
        <v>74</v>
      </c>
      <c r="AR833" t="s">
        <v>9596</v>
      </c>
      <c r="AS833" t="s">
        <v>9597</v>
      </c>
      <c r="AT833" t="s">
        <v>13135</v>
      </c>
      <c r="AU833">
        <v>2016</v>
      </c>
      <c r="AV833">
        <v>153</v>
      </c>
      <c r="AW833" t="s">
        <v>74</v>
      </c>
      <c r="AX833" t="s">
        <v>74</v>
      </c>
      <c r="AY833" t="s">
        <v>74</v>
      </c>
      <c r="AZ833" t="s">
        <v>74</v>
      </c>
      <c r="BA833" t="s">
        <v>74</v>
      </c>
      <c r="BB833">
        <v>97</v>
      </c>
      <c r="BC833">
        <v>121</v>
      </c>
      <c r="BD833" t="s">
        <v>74</v>
      </c>
      <c r="BE833" t="s">
        <v>15696</v>
      </c>
      <c r="BF833" t="str">
        <f>HYPERLINK("http://dx.doi.org/10.1016/j.quascirev.2016.10.009","http://dx.doi.org/10.1016/j.quascirev.2016.10.009")</f>
        <v>http://dx.doi.org/10.1016/j.quascirev.2016.10.009</v>
      </c>
      <c r="BG833" t="s">
        <v>74</v>
      </c>
      <c r="BH833" t="s">
        <v>74</v>
      </c>
      <c r="BI833">
        <v>25</v>
      </c>
      <c r="BJ833" t="s">
        <v>615</v>
      </c>
      <c r="BK833" t="s">
        <v>101</v>
      </c>
      <c r="BL833" t="s">
        <v>616</v>
      </c>
      <c r="BM833" t="s">
        <v>14522</v>
      </c>
      <c r="BN833" t="s">
        <v>74</v>
      </c>
      <c r="BO833" t="s">
        <v>2028</v>
      </c>
      <c r="BP833" t="s">
        <v>74</v>
      </c>
      <c r="BQ833" t="s">
        <v>74</v>
      </c>
      <c r="BR833" t="s">
        <v>105</v>
      </c>
      <c r="BS833" t="s">
        <v>15697</v>
      </c>
      <c r="BT833" t="str">
        <f>HYPERLINK("https%3A%2F%2Fwww.webofscience.com%2Fwos%2Fwoscc%2Ffull-record%2FWOS:000389116000008","View Full Record in Web of Science")</f>
        <v>View Full Record in Web of Science</v>
      </c>
    </row>
    <row r="834" spans="1:72" x14ac:dyDescent="0.15">
      <c r="A834" t="s">
        <v>72</v>
      </c>
      <c r="B834" t="s">
        <v>15698</v>
      </c>
      <c r="C834" t="s">
        <v>74</v>
      </c>
      <c r="D834" t="s">
        <v>74</v>
      </c>
      <c r="E834" t="s">
        <v>74</v>
      </c>
      <c r="F834" t="s">
        <v>15699</v>
      </c>
      <c r="G834" t="s">
        <v>74</v>
      </c>
      <c r="H834" t="s">
        <v>74</v>
      </c>
      <c r="I834" t="s">
        <v>15700</v>
      </c>
      <c r="J834" t="s">
        <v>9583</v>
      </c>
      <c r="K834" t="s">
        <v>74</v>
      </c>
      <c r="L834" t="s">
        <v>74</v>
      </c>
      <c r="M834" t="s">
        <v>78</v>
      </c>
      <c r="N834" t="s">
        <v>79</v>
      </c>
      <c r="O834" t="s">
        <v>74</v>
      </c>
      <c r="P834" t="s">
        <v>74</v>
      </c>
      <c r="Q834" t="s">
        <v>74</v>
      </c>
      <c r="R834" t="s">
        <v>74</v>
      </c>
      <c r="S834" t="s">
        <v>74</v>
      </c>
      <c r="T834" t="s">
        <v>15701</v>
      </c>
      <c r="U834" t="s">
        <v>15702</v>
      </c>
      <c r="V834" t="s">
        <v>15703</v>
      </c>
      <c r="W834" t="s">
        <v>15704</v>
      </c>
      <c r="X834" t="s">
        <v>15705</v>
      </c>
      <c r="Y834" t="s">
        <v>15706</v>
      </c>
      <c r="Z834" t="s">
        <v>15707</v>
      </c>
      <c r="AA834" t="s">
        <v>15708</v>
      </c>
      <c r="AB834" t="s">
        <v>15709</v>
      </c>
      <c r="AC834" t="s">
        <v>15710</v>
      </c>
      <c r="AD834" t="s">
        <v>15711</v>
      </c>
      <c r="AE834" t="s">
        <v>15712</v>
      </c>
      <c r="AF834" t="s">
        <v>74</v>
      </c>
      <c r="AG834">
        <v>104</v>
      </c>
      <c r="AH834">
        <v>12</v>
      </c>
      <c r="AI834">
        <v>14</v>
      </c>
      <c r="AJ834">
        <v>0</v>
      </c>
      <c r="AK834">
        <v>14</v>
      </c>
      <c r="AL834" t="s">
        <v>291</v>
      </c>
      <c r="AM834" t="s">
        <v>292</v>
      </c>
      <c r="AN834" t="s">
        <v>293</v>
      </c>
      <c r="AO834" t="s">
        <v>9595</v>
      </c>
      <c r="AP834" t="s">
        <v>74</v>
      </c>
      <c r="AQ834" t="s">
        <v>74</v>
      </c>
      <c r="AR834" t="s">
        <v>9596</v>
      </c>
      <c r="AS834" t="s">
        <v>9597</v>
      </c>
      <c r="AT834" t="s">
        <v>13135</v>
      </c>
      <c r="AU834">
        <v>2016</v>
      </c>
      <c r="AV834">
        <v>153</v>
      </c>
      <c r="AW834" t="s">
        <v>74</v>
      </c>
      <c r="AX834" t="s">
        <v>74</v>
      </c>
      <c r="AY834" t="s">
        <v>74</v>
      </c>
      <c r="AZ834" t="s">
        <v>74</v>
      </c>
      <c r="BA834" t="s">
        <v>74</v>
      </c>
      <c r="BB834">
        <v>122</v>
      </c>
      <c r="BC834">
        <v>138</v>
      </c>
      <c r="BD834" t="s">
        <v>74</v>
      </c>
      <c r="BE834" t="s">
        <v>15713</v>
      </c>
      <c r="BF834" t="str">
        <f>HYPERLINK("http://dx.doi.org/10.1016/j.quascirev.2016.10.014","http://dx.doi.org/10.1016/j.quascirev.2016.10.014")</f>
        <v>http://dx.doi.org/10.1016/j.quascirev.2016.10.014</v>
      </c>
      <c r="BG834" t="s">
        <v>74</v>
      </c>
      <c r="BH834" t="s">
        <v>74</v>
      </c>
      <c r="BI834">
        <v>17</v>
      </c>
      <c r="BJ834" t="s">
        <v>615</v>
      </c>
      <c r="BK834" t="s">
        <v>101</v>
      </c>
      <c r="BL834" t="s">
        <v>616</v>
      </c>
      <c r="BM834" t="s">
        <v>14522</v>
      </c>
      <c r="BN834" t="s">
        <v>74</v>
      </c>
      <c r="BO834" t="s">
        <v>11194</v>
      </c>
      <c r="BP834" t="s">
        <v>74</v>
      </c>
      <c r="BQ834" t="s">
        <v>74</v>
      </c>
      <c r="BR834" t="s">
        <v>105</v>
      </c>
      <c r="BS834" t="s">
        <v>15714</v>
      </c>
      <c r="BT834" t="str">
        <f>HYPERLINK("https%3A%2F%2Fwww.webofscience.com%2Fwos%2Fwoscc%2Ffull-record%2FWOS:000389116000009","View Full Record in Web of Science")</f>
        <v>View Full Record in Web of Science</v>
      </c>
    </row>
    <row r="835" spans="1:72" x14ac:dyDescent="0.15">
      <c r="A835" t="s">
        <v>72</v>
      </c>
      <c r="B835" t="s">
        <v>15715</v>
      </c>
      <c r="C835" t="s">
        <v>74</v>
      </c>
      <c r="D835" t="s">
        <v>74</v>
      </c>
      <c r="E835" t="s">
        <v>74</v>
      </c>
      <c r="F835" t="s">
        <v>15716</v>
      </c>
      <c r="G835" t="s">
        <v>74</v>
      </c>
      <c r="H835" t="s">
        <v>74</v>
      </c>
      <c r="I835" t="s">
        <v>15717</v>
      </c>
      <c r="J835" t="s">
        <v>9583</v>
      </c>
      <c r="K835" t="s">
        <v>74</v>
      </c>
      <c r="L835" t="s">
        <v>74</v>
      </c>
      <c r="M835" t="s">
        <v>78</v>
      </c>
      <c r="N835" t="s">
        <v>79</v>
      </c>
      <c r="O835" t="s">
        <v>74</v>
      </c>
      <c r="P835" t="s">
        <v>74</v>
      </c>
      <c r="Q835" t="s">
        <v>74</v>
      </c>
      <c r="R835" t="s">
        <v>74</v>
      </c>
      <c r="S835" t="s">
        <v>74</v>
      </c>
      <c r="T835" t="s">
        <v>15718</v>
      </c>
      <c r="U835" t="s">
        <v>15719</v>
      </c>
      <c r="V835" t="s">
        <v>15720</v>
      </c>
      <c r="W835" t="s">
        <v>15721</v>
      </c>
      <c r="X835" t="s">
        <v>15722</v>
      </c>
      <c r="Y835" t="s">
        <v>15723</v>
      </c>
      <c r="Z835" t="s">
        <v>15724</v>
      </c>
      <c r="AA835" t="s">
        <v>15725</v>
      </c>
      <c r="AB835" t="s">
        <v>15726</v>
      </c>
      <c r="AC835" t="s">
        <v>15727</v>
      </c>
      <c r="AD835" t="s">
        <v>15728</v>
      </c>
      <c r="AE835" t="s">
        <v>15729</v>
      </c>
      <c r="AF835" t="s">
        <v>74</v>
      </c>
      <c r="AG835">
        <v>154</v>
      </c>
      <c r="AH835">
        <v>6</v>
      </c>
      <c r="AI835">
        <v>7</v>
      </c>
      <c r="AJ835">
        <v>2</v>
      </c>
      <c r="AK835">
        <v>25</v>
      </c>
      <c r="AL835" t="s">
        <v>291</v>
      </c>
      <c r="AM835" t="s">
        <v>292</v>
      </c>
      <c r="AN835" t="s">
        <v>293</v>
      </c>
      <c r="AO835" t="s">
        <v>9595</v>
      </c>
      <c r="AP835" t="s">
        <v>74</v>
      </c>
      <c r="AQ835" t="s">
        <v>74</v>
      </c>
      <c r="AR835" t="s">
        <v>9596</v>
      </c>
      <c r="AS835" t="s">
        <v>9597</v>
      </c>
      <c r="AT835" t="s">
        <v>13135</v>
      </c>
      <c r="AU835">
        <v>2016</v>
      </c>
      <c r="AV835">
        <v>153</v>
      </c>
      <c r="AW835" t="s">
        <v>74</v>
      </c>
      <c r="AX835" t="s">
        <v>74</v>
      </c>
      <c r="AY835" t="s">
        <v>74</v>
      </c>
      <c r="AZ835" t="s">
        <v>74</v>
      </c>
      <c r="BA835" t="s">
        <v>74</v>
      </c>
      <c r="BB835">
        <v>139</v>
      </c>
      <c r="BC835">
        <v>155</v>
      </c>
      <c r="BD835" t="s">
        <v>74</v>
      </c>
      <c r="BE835" t="s">
        <v>15730</v>
      </c>
      <c r="BF835" t="str">
        <f>HYPERLINK("http://dx.doi.org/10.1016/j.quascirev.2016.10.003","http://dx.doi.org/10.1016/j.quascirev.2016.10.003")</f>
        <v>http://dx.doi.org/10.1016/j.quascirev.2016.10.003</v>
      </c>
      <c r="BG835" t="s">
        <v>74</v>
      </c>
      <c r="BH835" t="s">
        <v>74</v>
      </c>
      <c r="BI835">
        <v>17</v>
      </c>
      <c r="BJ835" t="s">
        <v>615</v>
      </c>
      <c r="BK835" t="s">
        <v>101</v>
      </c>
      <c r="BL835" t="s">
        <v>616</v>
      </c>
      <c r="BM835" t="s">
        <v>14522</v>
      </c>
      <c r="BN835" t="s">
        <v>74</v>
      </c>
      <c r="BO835" t="s">
        <v>378</v>
      </c>
      <c r="BP835" t="s">
        <v>74</v>
      </c>
      <c r="BQ835" t="s">
        <v>74</v>
      </c>
      <c r="BR835" t="s">
        <v>105</v>
      </c>
      <c r="BS835" t="s">
        <v>15731</v>
      </c>
      <c r="BT835" t="str">
        <f>HYPERLINK("https%3A%2F%2Fwww.webofscience.com%2Fwos%2Fwoscc%2Ffull-record%2FWOS:000389116000010","View Full Record in Web of Science")</f>
        <v>View Full Record in Web of Science</v>
      </c>
    </row>
    <row r="836" spans="1:72" x14ac:dyDescent="0.15">
      <c r="A836" t="s">
        <v>72</v>
      </c>
      <c r="B836" t="s">
        <v>15732</v>
      </c>
      <c r="C836" t="s">
        <v>74</v>
      </c>
      <c r="D836" t="s">
        <v>74</v>
      </c>
      <c r="E836" t="s">
        <v>74</v>
      </c>
      <c r="F836" t="s">
        <v>15733</v>
      </c>
      <c r="G836" t="s">
        <v>74</v>
      </c>
      <c r="H836" t="s">
        <v>74</v>
      </c>
      <c r="I836" t="s">
        <v>15734</v>
      </c>
      <c r="J836" t="s">
        <v>8519</v>
      </c>
      <c r="K836" t="s">
        <v>74</v>
      </c>
      <c r="L836" t="s">
        <v>74</v>
      </c>
      <c r="M836" t="s">
        <v>78</v>
      </c>
      <c r="N836" t="s">
        <v>79</v>
      </c>
      <c r="O836" t="s">
        <v>74</v>
      </c>
      <c r="P836" t="s">
        <v>74</v>
      </c>
      <c r="Q836" t="s">
        <v>74</v>
      </c>
      <c r="R836" t="s">
        <v>74</v>
      </c>
      <c r="S836" t="s">
        <v>74</v>
      </c>
      <c r="T836" t="s">
        <v>15735</v>
      </c>
      <c r="U836" t="s">
        <v>15736</v>
      </c>
      <c r="V836" t="s">
        <v>15737</v>
      </c>
      <c r="W836" t="s">
        <v>15738</v>
      </c>
      <c r="X836" t="s">
        <v>15739</v>
      </c>
      <c r="Y836" t="s">
        <v>15740</v>
      </c>
      <c r="Z836" t="s">
        <v>15741</v>
      </c>
      <c r="AA836" t="s">
        <v>15742</v>
      </c>
      <c r="AB836" t="s">
        <v>15743</v>
      </c>
      <c r="AC836" t="s">
        <v>15744</v>
      </c>
      <c r="AD836" t="s">
        <v>15745</v>
      </c>
      <c r="AE836" t="s">
        <v>15746</v>
      </c>
      <c r="AF836" t="s">
        <v>74</v>
      </c>
      <c r="AG836">
        <v>37</v>
      </c>
      <c r="AH836">
        <v>21</v>
      </c>
      <c r="AI836">
        <v>22</v>
      </c>
      <c r="AJ836">
        <v>1</v>
      </c>
      <c r="AK836">
        <v>39</v>
      </c>
      <c r="AL836" t="s">
        <v>8532</v>
      </c>
      <c r="AM836" t="s">
        <v>8533</v>
      </c>
      <c r="AN836" t="s">
        <v>8534</v>
      </c>
      <c r="AO836" t="s">
        <v>74</v>
      </c>
      <c r="AP836" t="s">
        <v>8535</v>
      </c>
      <c r="AQ836" t="s">
        <v>74</v>
      </c>
      <c r="AR836" t="s">
        <v>8536</v>
      </c>
      <c r="AS836" t="s">
        <v>8537</v>
      </c>
      <c r="AT836" t="s">
        <v>12991</v>
      </c>
      <c r="AU836">
        <v>2016</v>
      </c>
      <c r="AV836">
        <v>8</v>
      </c>
      <c r="AW836">
        <v>12</v>
      </c>
      <c r="AX836" t="s">
        <v>74</v>
      </c>
      <c r="AY836" t="s">
        <v>74</v>
      </c>
      <c r="AZ836" t="s">
        <v>74</v>
      </c>
      <c r="BA836" t="s">
        <v>74</v>
      </c>
      <c r="BB836" t="s">
        <v>74</v>
      </c>
      <c r="BC836" t="s">
        <v>74</v>
      </c>
      <c r="BD836">
        <v>981</v>
      </c>
      <c r="BE836" t="s">
        <v>15747</v>
      </c>
      <c r="BF836" t="str">
        <f>HYPERLINK("http://dx.doi.org/10.3390/rs8120981","http://dx.doi.org/10.3390/rs8120981")</f>
        <v>http://dx.doi.org/10.3390/rs8120981</v>
      </c>
      <c r="BG836" t="s">
        <v>74</v>
      </c>
      <c r="BH836" t="s">
        <v>74</v>
      </c>
      <c r="BI836">
        <v>12</v>
      </c>
      <c r="BJ836" t="s">
        <v>8539</v>
      </c>
      <c r="BK836" t="s">
        <v>101</v>
      </c>
      <c r="BL836" t="s">
        <v>8540</v>
      </c>
      <c r="BM836" t="s">
        <v>13553</v>
      </c>
      <c r="BN836" t="s">
        <v>74</v>
      </c>
      <c r="BO836" t="s">
        <v>892</v>
      </c>
      <c r="BP836" t="s">
        <v>74</v>
      </c>
      <c r="BQ836" t="s">
        <v>74</v>
      </c>
      <c r="BR836" t="s">
        <v>105</v>
      </c>
      <c r="BS836" t="s">
        <v>15748</v>
      </c>
      <c r="BT836" t="str">
        <f>HYPERLINK("https%3A%2F%2Fwww.webofscience.com%2Fwos%2Fwoscc%2Ffull-record%2FWOS:000392489400010","View Full Record in Web of Science")</f>
        <v>View Full Record in Web of Science</v>
      </c>
    </row>
    <row r="837" spans="1:72" x14ac:dyDescent="0.15">
      <c r="A837" t="s">
        <v>72</v>
      </c>
      <c r="B837" t="s">
        <v>15749</v>
      </c>
      <c r="C837" t="s">
        <v>74</v>
      </c>
      <c r="D837" t="s">
        <v>74</v>
      </c>
      <c r="E837" t="s">
        <v>74</v>
      </c>
      <c r="F837" t="s">
        <v>15750</v>
      </c>
      <c r="G837" t="s">
        <v>74</v>
      </c>
      <c r="H837" t="s">
        <v>74</v>
      </c>
      <c r="I837" t="s">
        <v>15751</v>
      </c>
      <c r="J837" t="s">
        <v>15752</v>
      </c>
      <c r="K837" t="s">
        <v>74</v>
      </c>
      <c r="L837" t="s">
        <v>74</v>
      </c>
      <c r="M837" t="s">
        <v>78</v>
      </c>
      <c r="N837" t="s">
        <v>2034</v>
      </c>
      <c r="O837" t="s">
        <v>74</v>
      </c>
      <c r="P837" t="s">
        <v>74</v>
      </c>
      <c r="Q837" t="s">
        <v>74</v>
      </c>
      <c r="R837" t="s">
        <v>74</v>
      </c>
      <c r="S837" t="s">
        <v>74</v>
      </c>
      <c r="T837" t="s">
        <v>15753</v>
      </c>
      <c r="U837" t="s">
        <v>15754</v>
      </c>
      <c r="V837" t="s">
        <v>15755</v>
      </c>
      <c r="W837" t="s">
        <v>15756</v>
      </c>
      <c r="X837" t="s">
        <v>15757</v>
      </c>
      <c r="Y837" t="s">
        <v>15758</v>
      </c>
      <c r="Z837" t="s">
        <v>15759</v>
      </c>
      <c r="AA837" t="s">
        <v>15760</v>
      </c>
      <c r="AB837" t="s">
        <v>74</v>
      </c>
      <c r="AC837" t="s">
        <v>15761</v>
      </c>
      <c r="AD837" t="s">
        <v>15762</v>
      </c>
      <c r="AE837" t="s">
        <v>15763</v>
      </c>
      <c r="AF837" t="s">
        <v>74</v>
      </c>
      <c r="AG837">
        <v>233</v>
      </c>
      <c r="AH837">
        <v>105</v>
      </c>
      <c r="AI837">
        <v>111</v>
      </c>
      <c r="AJ837">
        <v>8</v>
      </c>
      <c r="AK837">
        <v>57</v>
      </c>
      <c r="AL837" t="s">
        <v>2377</v>
      </c>
      <c r="AM837" t="s">
        <v>2378</v>
      </c>
      <c r="AN837" t="s">
        <v>2379</v>
      </c>
      <c r="AO837" t="s">
        <v>15764</v>
      </c>
      <c r="AP837" t="s">
        <v>15765</v>
      </c>
      <c r="AQ837" t="s">
        <v>74</v>
      </c>
      <c r="AR837" t="s">
        <v>15766</v>
      </c>
      <c r="AS837" t="s">
        <v>15767</v>
      </c>
      <c r="AT837" t="s">
        <v>12991</v>
      </c>
      <c r="AU837">
        <v>2016</v>
      </c>
      <c r="AV837">
        <v>8</v>
      </c>
      <c r="AW837">
        <v>4</v>
      </c>
      <c r="AX837" t="s">
        <v>74</v>
      </c>
      <c r="AY837" t="s">
        <v>74</v>
      </c>
      <c r="AZ837" t="s">
        <v>74</v>
      </c>
      <c r="BA837" t="s">
        <v>74</v>
      </c>
      <c r="BB837">
        <v>342</v>
      </c>
      <c r="BC837">
        <v>368</v>
      </c>
      <c r="BD837" t="s">
        <v>74</v>
      </c>
      <c r="BE837" t="s">
        <v>15768</v>
      </c>
      <c r="BF837" t="str">
        <f>HYPERLINK("http://dx.doi.org/10.1111/raq.12097","http://dx.doi.org/10.1111/raq.12097")</f>
        <v>http://dx.doi.org/10.1111/raq.12097</v>
      </c>
      <c r="BG837" t="s">
        <v>74</v>
      </c>
      <c r="BH837" t="s">
        <v>74</v>
      </c>
      <c r="BI837">
        <v>27</v>
      </c>
      <c r="BJ837" t="s">
        <v>272</v>
      </c>
      <c r="BK837" t="s">
        <v>101</v>
      </c>
      <c r="BL837" t="s">
        <v>272</v>
      </c>
      <c r="BM837" t="s">
        <v>15769</v>
      </c>
      <c r="BN837" t="s">
        <v>74</v>
      </c>
      <c r="BO837" t="s">
        <v>74</v>
      </c>
      <c r="BP837" t="s">
        <v>74</v>
      </c>
      <c r="BQ837" t="s">
        <v>74</v>
      </c>
      <c r="BR837" t="s">
        <v>105</v>
      </c>
      <c r="BS837" t="s">
        <v>15770</v>
      </c>
      <c r="BT837" t="str">
        <f>HYPERLINK("https%3A%2F%2Fwww.webofscience.com%2Fwos%2Fwoscc%2Ffull-record%2FWOS:000390686000002","View Full Record in Web of Science")</f>
        <v>View Full Record in Web of Science</v>
      </c>
    </row>
    <row r="838" spans="1:72" x14ac:dyDescent="0.15">
      <c r="A838" t="s">
        <v>72</v>
      </c>
      <c r="B838" t="s">
        <v>15771</v>
      </c>
      <c r="C838" t="s">
        <v>74</v>
      </c>
      <c r="D838" t="s">
        <v>74</v>
      </c>
      <c r="E838" t="s">
        <v>74</v>
      </c>
      <c r="F838" t="s">
        <v>15772</v>
      </c>
      <c r="G838" t="s">
        <v>74</v>
      </c>
      <c r="H838" t="s">
        <v>74</v>
      </c>
      <c r="I838" t="s">
        <v>15773</v>
      </c>
      <c r="J838" t="s">
        <v>15774</v>
      </c>
      <c r="K838" t="s">
        <v>74</v>
      </c>
      <c r="L838" t="s">
        <v>74</v>
      </c>
      <c r="M838" t="s">
        <v>78</v>
      </c>
      <c r="N838" t="s">
        <v>79</v>
      </c>
      <c r="O838" t="s">
        <v>74</v>
      </c>
      <c r="P838" t="s">
        <v>74</v>
      </c>
      <c r="Q838" t="s">
        <v>74</v>
      </c>
      <c r="R838" t="s">
        <v>74</v>
      </c>
      <c r="S838" t="s">
        <v>74</v>
      </c>
      <c r="T838" t="s">
        <v>15775</v>
      </c>
      <c r="U838" t="s">
        <v>74</v>
      </c>
      <c r="V838" t="s">
        <v>15776</v>
      </c>
      <c r="W838" t="s">
        <v>15777</v>
      </c>
      <c r="X838" t="s">
        <v>15778</v>
      </c>
      <c r="Y838" t="s">
        <v>15779</v>
      </c>
      <c r="Z838" t="s">
        <v>15780</v>
      </c>
      <c r="AA838" t="s">
        <v>15781</v>
      </c>
      <c r="AB838" t="s">
        <v>15782</v>
      </c>
      <c r="AC838" t="s">
        <v>15783</v>
      </c>
      <c r="AD838" t="s">
        <v>15784</v>
      </c>
      <c r="AE838" t="s">
        <v>15785</v>
      </c>
      <c r="AF838" t="s">
        <v>74</v>
      </c>
      <c r="AG838">
        <v>15</v>
      </c>
      <c r="AH838">
        <v>1</v>
      </c>
      <c r="AI838">
        <v>1</v>
      </c>
      <c r="AJ838">
        <v>0</v>
      </c>
      <c r="AK838">
        <v>3</v>
      </c>
      <c r="AL838" t="s">
        <v>8845</v>
      </c>
      <c r="AM838" t="s">
        <v>2378</v>
      </c>
      <c r="AN838" t="s">
        <v>2379</v>
      </c>
      <c r="AO838" t="s">
        <v>15786</v>
      </c>
      <c r="AP838" t="s">
        <v>15787</v>
      </c>
      <c r="AQ838" t="s">
        <v>74</v>
      </c>
      <c r="AR838" t="s">
        <v>15788</v>
      </c>
      <c r="AS838" t="s">
        <v>15789</v>
      </c>
      <c r="AT838" t="s">
        <v>12991</v>
      </c>
      <c r="AU838">
        <v>2016</v>
      </c>
      <c r="AV838">
        <v>43</v>
      </c>
      <c r="AW838">
        <v>4</v>
      </c>
      <c r="AX838" t="s">
        <v>74</v>
      </c>
      <c r="AY838" t="s">
        <v>74</v>
      </c>
      <c r="AZ838" t="s">
        <v>74</v>
      </c>
      <c r="BA838" t="s">
        <v>74</v>
      </c>
      <c r="BB838">
        <v>1153</v>
      </c>
      <c r="BC838">
        <v>1161</v>
      </c>
      <c r="BD838" t="s">
        <v>74</v>
      </c>
      <c r="BE838" t="s">
        <v>15790</v>
      </c>
      <c r="BF838" t="str">
        <f>HYPERLINK("http://dx.doi.org/10.1111/sjos.12234","http://dx.doi.org/10.1111/sjos.12234")</f>
        <v>http://dx.doi.org/10.1111/sjos.12234</v>
      </c>
      <c r="BG838" t="s">
        <v>74</v>
      </c>
      <c r="BH838" t="s">
        <v>74</v>
      </c>
      <c r="BI838">
        <v>9</v>
      </c>
      <c r="BJ838" t="s">
        <v>13343</v>
      </c>
      <c r="BK838" t="s">
        <v>101</v>
      </c>
      <c r="BL838" t="s">
        <v>13344</v>
      </c>
      <c r="BM838" t="s">
        <v>15791</v>
      </c>
      <c r="BN838" t="s">
        <v>74</v>
      </c>
      <c r="BO838" t="s">
        <v>378</v>
      </c>
      <c r="BP838" t="s">
        <v>74</v>
      </c>
      <c r="BQ838" t="s">
        <v>74</v>
      </c>
      <c r="BR838" t="s">
        <v>105</v>
      </c>
      <c r="BS838" t="s">
        <v>15792</v>
      </c>
      <c r="BT838" t="str">
        <f>HYPERLINK("https%3A%2F%2Fwww.webofscience.com%2Fwos%2Fwoscc%2Ffull-record%2FWOS:000387456900014","View Full Record in Web of Science")</f>
        <v>View Full Record in Web of Science</v>
      </c>
    </row>
    <row r="839" spans="1:72" x14ac:dyDescent="0.15">
      <c r="A839" t="s">
        <v>72</v>
      </c>
      <c r="B839" t="s">
        <v>15793</v>
      </c>
      <c r="C839" t="s">
        <v>74</v>
      </c>
      <c r="D839" t="s">
        <v>74</v>
      </c>
      <c r="E839" t="s">
        <v>74</v>
      </c>
      <c r="F839" t="s">
        <v>15794</v>
      </c>
      <c r="G839" t="s">
        <v>74</v>
      </c>
      <c r="H839" t="s">
        <v>74</v>
      </c>
      <c r="I839" t="s">
        <v>15795</v>
      </c>
      <c r="J839" t="s">
        <v>129</v>
      </c>
      <c r="K839" t="s">
        <v>74</v>
      </c>
      <c r="L839" t="s">
        <v>74</v>
      </c>
      <c r="M839" t="s">
        <v>78</v>
      </c>
      <c r="N839" t="s">
        <v>79</v>
      </c>
      <c r="O839" t="s">
        <v>74</v>
      </c>
      <c r="P839" t="s">
        <v>74</v>
      </c>
      <c r="Q839" t="s">
        <v>74</v>
      </c>
      <c r="R839" t="s">
        <v>74</v>
      </c>
      <c r="S839" t="s">
        <v>74</v>
      </c>
      <c r="T839" t="s">
        <v>74</v>
      </c>
      <c r="U839" t="s">
        <v>15796</v>
      </c>
      <c r="V839" t="s">
        <v>15797</v>
      </c>
      <c r="W839" t="s">
        <v>15798</v>
      </c>
      <c r="X839" t="s">
        <v>15799</v>
      </c>
      <c r="Y839" t="s">
        <v>15800</v>
      </c>
      <c r="Z839" t="s">
        <v>15801</v>
      </c>
      <c r="AA839" t="s">
        <v>15802</v>
      </c>
      <c r="AB839" t="s">
        <v>15803</v>
      </c>
      <c r="AC839" t="s">
        <v>15804</v>
      </c>
      <c r="AD839" t="s">
        <v>15805</v>
      </c>
      <c r="AE839" t="s">
        <v>15806</v>
      </c>
      <c r="AF839" t="s">
        <v>74</v>
      </c>
      <c r="AG839">
        <v>36</v>
      </c>
      <c r="AH839">
        <v>124</v>
      </c>
      <c r="AI839">
        <v>135</v>
      </c>
      <c r="AJ839">
        <v>1</v>
      </c>
      <c r="AK839">
        <v>45</v>
      </c>
      <c r="AL839" t="s">
        <v>141</v>
      </c>
      <c r="AM839" t="s">
        <v>142</v>
      </c>
      <c r="AN839" t="s">
        <v>143</v>
      </c>
      <c r="AO839" t="s">
        <v>144</v>
      </c>
      <c r="AP839" t="s">
        <v>74</v>
      </c>
      <c r="AQ839" t="s">
        <v>74</v>
      </c>
      <c r="AR839" t="s">
        <v>145</v>
      </c>
      <c r="AS839" t="s">
        <v>146</v>
      </c>
      <c r="AT839" t="s">
        <v>12991</v>
      </c>
      <c r="AU839">
        <v>2016</v>
      </c>
      <c r="AV839">
        <v>2</v>
      </c>
      <c r="AW839">
        <v>12</v>
      </c>
      <c r="AX839" t="s">
        <v>74</v>
      </c>
      <c r="AY839" t="s">
        <v>74</v>
      </c>
      <c r="AZ839" t="s">
        <v>74</v>
      </c>
      <c r="BA839" t="s">
        <v>74</v>
      </c>
      <c r="BB839" t="s">
        <v>74</v>
      </c>
      <c r="BC839" t="s">
        <v>74</v>
      </c>
      <c r="BD839" t="s">
        <v>15807</v>
      </c>
      <c r="BE839" t="s">
        <v>15808</v>
      </c>
      <c r="BF839" t="str">
        <f>HYPERLINK("http://dx.doi.org/10.1126/sciadv.1601610","http://dx.doi.org/10.1126/sciadv.1601610")</f>
        <v>http://dx.doi.org/10.1126/sciadv.1601610</v>
      </c>
      <c r="BG839" t="s">
        <v>74</v>
      </c>
      <c r="BH839" t="s">
        <v>74</v>
      </c>
      <c r="BI839">
        <v>5</v>
      </c>
      <c r="BJ839" t="s">
        <v>100</v>
      </c>
      <c r="BK839" t="s">
        <v>101</v>
      </c>
      <c r="BL839" t="s">
        <v>102</v>
      </c>
      <c r="BM839" t="s">
        <v>15809</v>
      </c>
      <c r="BN839">
        <v>28028540</v>
      </c>
      <c r="BO839" t="s">
        <v>15810</v>
      </c>
      <c r="BP839" t="s">
        <v>74</v>
      </c>
      <c r="BQ839" t="s">
        <v>74</v>
      </c>
      <c r="BR839" t="s">
        <v>105</v>
      </c>
      <c r="BS839" t="s">
        <v>15811</v>
      </c>
      <c r="BT839" t="str">
        <f>HYPERLINK("https%3A%2F%2Fwww.webofscience.com%2Fwos%2Fwoscc%2Ffull-record%2FWOS:000391268800018","View Full Record in Web of Science")</f>
        <v>View Full Record in Web of Science</v>
      </c>
    </row>
    <row r="840" spans="1:72" x14ac:dyDescent="0.15">
      <c r="A840" t="s">
        <v>72</v>
      </c>
      <c r="B840" t="s">
        <v>15812</v>
      </c>
      <c r="C840" t="s">
        <v>74</v>
      </c>
      <c r="D840" t="s">
        <v>74</v>
      </c>
      <c r="E840" t="s">
        <v>74</v>
      </c>
      <c r="F840" t="s">
        <v>15813</v>
      </c>
      <c r="G840" t="s">
        <v>74</v>
      </c>
      <c r="H840" t="s">
        <v>74</v>
      </c>
      <c r="I840" t="s">
        <v>15814</v>
      </c>
      <c r="J840" t="s">
        <v>15815</v>
      </c>
      <c r="K840" t="s">
        <v>74</v>
      </c>
      <c r="L840" t="s">
        <v>74</v>
      </c>
      <c r="M840" t="s">
        <v>78</v>
      </c>
      <c r="N840" t="s">
        <v>79</v>
      </c>
      <c r="O840" t="s">
        <v>74</v>
      </c>
      <c r="P840" t="s">
        <v>74</v>
      </c>
      <c r="Q840" t="s">
        <v>74</v>
      </c>
      <c r="R840" t="s">
        <v>74</v>
      </c>
      <c r="S840" t="s">
        <v>74</v>
      </c>
      <c r="T840" t="s">
        <v>15816</v>
      </c>
      <c r="U840" t="s">
        <v>15817</v>
      </c>
      <c r="V840" t="s">
        <v>15818</v>
      </c>
      <c r="W840" t="s">
        <v>15819</v>
      </c>
      <c r="X840" t="s">
        <v>15820</v>
      </c>
      <c r="Y840" t="s">
        <v>15821</v>
      </c>
      <c r="Z840" t="s">
        <v>15822</v>
      </c>
      <c r="AA840" t="s">
        <v>15823</v>
      </c>
      <c r="AB840" t="s">
        <v>15824</v>
      </c>
      <c r="AC840" t="s">
        <v>15825</v>
      </c>
      <c r="AD840" t="s">
        <v>15826</v>
      </c>
      <c r="AE840" t="s">
        <v>15827</v>
      </c>
      <c r="AF840" t="s">
        <v>74</v>
      </c>
      <c r="AG840">
        <v>85</v>
      </c>
      <c r="AH840">
        <v>27</v>
      </c>
      <c r="AI840">
        <v>28</v>
      </c>
      <c r="AJ840">
        <v>1</v>
      </c>
      <c r="AK840">
        <v>91</v>
      </c>
      <c r="AL840" t="s">
        <v>291</v>
      </c>
      <c r="AM840" t="s">
        <v>292</v>
      </c>
      <c r="AN840" t="s">
        <v>293</v>
      </c>
      <c r="AO840" t="s">
        <v>15828</v>
      </c>
      <c r="AP840" t="s">
        <v>15829</v>
      </c>
      <c r="AQ840" t="s">
        <v>74</v>
      </c>
      <c r="AR840" t="s">
        <v>15830</v>
      </c>
      <c r="AS840" t="s">
        <v>15831</v>
      </c>
      <c r="AT840" t="s">
        <v>12991</v>
      </c>
      <c r="AU840">
        <v>2016</v>
      </c>
      <c r="AV840">
        <v>103</v>
      </c>
      <c r="AW840" t="s">
        <v>74</v>
      </c>
      <c r="AX840" t="s">
        <v>74</v>
      </c>
      <c r="AY840" t="s">
        <v>74</v>
      </c>
      <c r="AZ840" t="s">
        <v>74</v>
      </c>
      <c r="BA840" t="s">
        <v>74</v>
      </c>
      <c r="BB840">
        <v>160</v>
      </c>
      <c r="BC840">
        <v>170</v>
      </c>
      <c r="BD840" t="s">
        <v>74</v>
      </c>
      <c r="BE840" t="s">
        <v>15832</v>
      </c>
      <c r="BF840" t="str">
        <f>HYPERLINK("http://dx.doi.org/10.1016/j.soilbio.2016.08.013","http://dx.doi.org/10.1016/j.soilbio.2016.08.013")</f>
        <v>http://dx.doi.org/10.1016/j.soilbio.2016.08.013</v>
      </c>
      <c r="BG840" t="s">
        <v>74</v>
      </c>
      <c r="BH840" t="s">
        <v>74</v>
      </c>
      <c r="BI840">
        <v>11</v>
      </c>
      <c r="BJ840" t="s">
        <v>3178</v>
      </c>
      <c r="BK840" t="s">
        <v>101</v>
      </c>
      <c r="BL840" t="s">
        <v>3179</v>
      </c>
      <c r="BM840" t="s">
        <v>15833</v>
      </c>
      <c r="BN840" t="s">
        <v>74</v>
      </c>
      <c r="BO840" t="s">
        <v>378</v>
      </c>
      <c r="BP840" t="s">
        <v>74</v>
      </c>
      <c r="BQ840" t="s">
        <v>74</v>
      </c>
      <c r="BR840" t="s">
        <v>105</v>
      </c>
      <c r="BS840" t="s">
        <v>15834</v>
      </c>
      <c r="BT840" t="str">
        <f>HYPERLINK("https%3A%2F%2Fwww.webofscience.com%2Fwos%2Fwoscc%2Ffull-record%2FWOS:000388775400016","View Full Record in Web of Science")</f>
        <v>View Full Record in Web of Science</v>
      </c>
    </row>
    <row r="841" spans="1:72" x14ac:dyDescent="0.15">
      <c r="A841" t="s">
        <v>72</v>
      </c>
      <c r="B841" t="s">
        <v>15835</v>
      </c>
      <c r="C841" t="s">
        <v>74</v>
      </c>
      <c r="D841" t="s">
        <v>74</v>
      </c>
      <c r="E841" t="s">
        <v>74</v>
      </c>
      <c r="F841" t="s">
        <v>15836</v>
      </c>
      <c r="G841" t="s">
        <v>74</v>
      </c>
      <c r="H841" t="s">
        <v>74</v>
      </c>
      <c r="I841" t="s">
        <v>15837</v>
      </c>
      <c r="J841" t="s">
        <v>15838</v>
      </c>
      <c r="K841" t="s">
        <v>74</v>
      </c>
      <c r="L841" t="s">
        <v>74</v>
      </c>
      <c r="M841" t="s">
        <v>78</v>
      </c>
      <c r="N841" t="s">
        <v>1980</v>
      </c>
      <c r="O841" t="s">
        <v>15839</v>
      </c>
      <c r="P841" t="s">
        <v>15840</v>
      </c>
      <c r="Q841" t="s">
        <v>15841</v>
      </c>
      <c r="R841" t="s">
        <v>74</v>
      </c>
      <c r="S841" t="s">
        <v>15842</v>
      </c>
      <c r="T841" t="s">
        <v>15843</v>
      </c>
      <c r="U841" t="s">
        <v>15844</v>
      </c>
      <c r="V841" t="s">
        <v>15845</v>
      </c>
      <c r="W841" t="s">
        <v>15846</v>
      </c>
      <c r="X841" t="s">
        <v>15847</v>
      </c>
      <c r="Y841" t="s">
        <v>15848</v>
      </c>
      <c r="Z841" t="s">
        <v>15849</v>
      </c>
      <c r="AA841" t="s">
        <v>15850</v>
      </c>
      <c r="AB841" t="s">
        <v>15851</v>
      </c>
      <c r="AC841" t="s">
        <v>15852</v>
      </c>
      <c r="AD841" t="s">
        <v>11791</v>
      </c>
      <c r="AE841" t="s">
        <v>74</v>
      </c>
      <c r="AF841" t="s">
        <v>74</v>
      </c>
      <c r="AG841">
        <v>77</v>
      </c>
      <c r="AH841">
        <v>6</v>
      </c>
      <c r="AI841">
        <v>6</v>
      </c>
      <c r="AJ841">
        <v>0</v>
      </c>
      <c r="AK841">
        <v>16</v>
      </c>
      <c r="AL841" t="s">
        <v>8845</v>
      </c>
      <c r="AM841" t="s">
        <v>2378</v>
      </c>
      <c r="AN841" t="s">
        <v>2379</v>
      </c>
      <c r="AO841" t="s">
        <v>15853</v>
      </c>
      <c r="AP841" t="s">
        <v>15854</v>
      </c>
      <c r="AQ841" t="s">
        <v>74</v>
      </c>
      <c r="AR841" t="s">
        <v>15855</v>
      </c>
      <c r="AS841" t="s">
        <v>15856</v>
      </c>
      <c r="AT841" t="s">
        <v>12991</v>
      </c>
      <c r="AU841">
        <v>2016</v>
      </c>
      <c r="AV841">
        <v>178</v>
      </c>
      <c r="AW841">
        <v>4</v>
      </c>
      <c r="AX841" t="s">
        <v>74</v>
      </c>
      <c r="AY841" t="s">
        <v>74</v>
      </c>
      <c r="AZ841" t="s">
        <v>74</v>
      </c>
      <c r="BA841" t="s">
        <v>74</v>
      </c>
      <c r="BB841">
        <v>737</v>
      </c>
      <c r="BC841">
        <v>746</v>
      </c>
      <c r="BD841" t="s">
        <v>74</v>
      </c>
      <c r="BE841" t="s">
        <v>15857</v>
      </c>
      <c r="BF841" t="str">
        <f>HYPERLINK("http://dx.doi.org/10.1111/zoj.12422","http://dx.doi.org/10.1111/zoj.12422")</f>
        <v>http://dx.doi.org/10.1111/zoj.12422</v>
      </c>
      <c r="BG841" t="s">
        <v>74</v>
      </c>
      <c r="BH841" t="s">
        <v>74</v>
      </c>
      <c r="BI841">
        <v>10</v>
      </c>
      <c r="BJ841" t="s">
        <v>643</v>
      </c>
      <c r="BK841" t="s">
        <v>2004</v>
      </c>
      <c r="BL841" t="s">
        <v>643</v>
      </c>
      <c r="BM841" t="s">
        <v>15858</v>
      </c>
      <c r="BN841" t="s">
        <v>74</v>
      </c>
      <c r="BO841" t="s">
        <v>672</v>
      </c>
      <c r="BP841" t="s">
        <v>74</v>
      </c>
      <c r="BQ841" t="s">
        <v>74</v>
      </c>
      <c r="BR841" t="s">
        <v>105</v>
      </c>
      <c r="BS841" t="s">
        <v>15859</v>
      </c>
      <c r="BT841" t="str">
        <f>HYPERLINK("https%3A%2F%2Fwww.webofscience.com%2Fwos%2Fwoscc%2Ffull-record%2FWOS:000388622800003","View Full Record in Web of Science")</f>
        <v>View Full Record in Web of Science</v>
      </c>
    </row>
    <row r="842" spans="1:72" x14ac:dyDescent="0.15">
      <c r="A842" t="s">
        <v>72</v>
      </c>
      <c r="B842" t="s">
        <v>15860</v>
      </c>
      <c r="C842" t="s">
        <v>74</v>
      </c>
      <c r="D842" t="s">
        <v>74</v>
      </c>
      <c r="E842" t="s">
        <v>74</v>
      </c>
      <c r="F842" t="s">
        <v>15861</v>
      </c>
      <c r="G842" t="s">
        <v>74</v>
      </c>
      <c r="H842" t="s">
        <v>74</v>
      </c>
      <c r="I842" t="s">
        <v>15862</v>
      </c>
      <c r="J842" t="s">
        <v>15863</v>
      </c>
      <c r="K842" t="s">
        <v>74</v>
      </c>
      <c r="L842" t="s">
        <v>74</v>
      </c>
      <c r="M842" t="s">
        <v>78</v>
      </c>
      <c r="N842" t="s">
        <v>79</v>
      </c>
      <c r="O842" t="s">
        <v>74</v>
      </c>
      <c r="P842" t="s">
        <v>74</v>
      </c>
      <c r="Q842" t="s">
        <v>74</v>
      </c>
      <c r="R842" t="s">
        <v>74</v>
      </c>
      <c r="S842" t="s">
        <v>74</v>
      </c>
      <c r="T842" t="s">
        <v>15864</v>
      </c>
      <c r="U842" t="s">
        <v>15865</v>
      </c>
      <c r="V842" t="s">
        <v>15866</v>
      </c>
      <c r="W842" t="s">
        <v>15867</v>
      </c>
      <c r="X842" t="s">
        <v>12679</v>
      </c>
      <c r="Y842" t="s">
        <v>15868</v>
      </c>
      <c r="Z842" t="s">
        <v>15869</v>
      </c>
      <c r="AA842" t="s">
        <v>15870</v>
      </c>
      <c r="AB842" t="s">
        <v>15871</v>
      </c>
      <c r="AC842" t="s">
        <v>15872</v>
      </c>
      <c r="AD842" t="s">
        <v>15872</v>
      </c>
      <c r="AE842" t="s">
        <v>15873</v>
      </c>
      <c r="AF842" t="s">
        <v>74</v>
      </c>
      <c r="AG842">
        <v>46</v>
      </c>
      <c r="AH842">
        <v>17</v>
      </c>
      <c r="AI842">
        <v>17</v>
      </c>
      <c r="AJ842">
        <v>1</v>
      </c>
      <c r="AK842">
        <v>10</v>
      </c>
      <c r="AL842" t="s">
        <v>8845</v>
      </c>
      <c r="AM842" t="s">
        <v>2378</v>
      </c>
      <c r="AN842" t="s">
        <v>2379</v>
      </c>
      <c r="AO842" t="s">
        <v>15874</v>
      </c>
      <c r="AP842" t="s">
        <v>15875</v>
      </c>
      <c r="AQ842" t="s">
        <v>74</v>
      </c>
      <c r="AR842" t="s">
        <v>15876</v>
      </c>
      <c r="AS842" t="s">
        <v>15877</v>
      </c>
      <c r="AT842" t="s">
        <v>12991</v>
      </c>
      <c r="AU842">
        <v>2016</v>
      </c>
      <c r="AV842">
        <v>39</v>
      </c>
      <c r="AW842">
        <v>12</v>
      </c>
      <c r="AX842" t="s">
        <v>74</v>
      </c>
      <c r="AY842" t="s">
        <v>74</v>
      </c>
      <c r="AZ842" t="s">
        <v>74</v>
      </c>
      <c r="BA842" t="s">
        <v>74</v>
      </c>
      <c r="BB842">
        <v>1509</v>
      </c>
      <c r="BC842">
        <v>1521</v>
      </c>
      <c r="BD842" t="s">
        <v>74</v>
      </c>
      <c r="BE842" t="s">
        <v>15878</v>
      </c>
      <c r="BF842" t="str">
        <f>HYPERLINK("http://dx.doi.org/10.1111/jfd.12492","http://dx.doi.org/10.1111/jfd.12492")</f>
        <v>http://dx.doi.org/10.1111/jfd.12492</v>
      </c>
      <c r="BG842" t="s">
        <v>74</v>
      </c>
      <c r="BH842" t="s">
        <v>74</v>
      </c>
      <c r="BI842">
        <v>13</v>
      </c>
      <c r="BJ842" t="s">
        <v>15879</v>
      </c>
      <c r="BK842" t="s">
        <v>101</v>
      </c>
      <c r="BL842" t="s">
        <v>15879</v>
      </c>
      <c r="BM842" t="s">
        <v>15880</v>
      </c>
      <c r="BN842">
        <v>27144481</v>
      </c>
      <c r="BO842" t="s">
        <v>74</v>
      </c>
      <c r="BP842" t="s">
        <v>74</v>
      </c>
      <c r="BQ842" t="s">
        <v>74</v>
      </c>
      <c r="BR842" t="s">
        <v>105</v>
      </c>
      <c r="BS842" t="s">
        <v>15881</v>
      </c>
      <c r="BT842" t="str">
        <f>HYPERLINK("https%3A%2F%2Fwww.webofscience.com%2Fwos%2Fwoscc%2Ffull-record%2FWOS:000387110200010","View Full Record in Web of Science")</f>
        <v>View Full Record in Web of Science</v>
      </c>
    </row>
    <row r="843" spans="1:72" x14ac:dyDescent="0.15">
      <c r="A843" t="s">
        <v>72</v>
      </c>
      <c r="B843" t="s">
        <v>15882</v>
      </c>
      <c r="C843" t="s">
        <v>74</v>
      </c>
      <c r="D843" t="s">
        <v>74</v>
      </c>
      <c r="E843" t="s">
        <v>74</v>
      </c>
      <c r="F843" t="s">
        <v>15883</v>
      </c>
      <c r="G843" t="s">
        <v>74</v>
      </c>
      <c r="H843" t="s">
        <v>74</v>
      </c>
      <c r="I843" t="s">
        <v>15884</v>
      </c>
      <c r="J843" t="s">
        <v>1164</v>
      </c>
      <c r="K843" t="s">
        <v>74</v>
      </c>
      <c r="L843" t="s">
        <v>74</v>
      </c>
      <c r="M843" t="s">
        <v>78</v>
      </c>
      <c r="N843" t="s">
        <v>79</v>
      </c>
      <c r="O843" t="s">
        <v>74</v>
      </c>
      <c r="P843" t="s">
        <v>74</v>
      </c>
      <c r="Q843" t="s">
        <v>74</v>
      </c>
      <c r="R843" t="s">
        <v>74</v>
      </c>
      <c r="S843" t="s">
        <v>74</v>
      </c>
      <c r="T843" t="s">
        <v>15885</v>
      </c>
      <c r="U843" t="s">
        <v>15886</v>
      </c>
      <c r="V843" t="s">
        <v>15887</v>
      </c>
      <c r="W843" t="s">
        <v>15888</v>
      </c>
      <c r="X843" t="s">
        <v>15889</v>
      </c>
      <c r="Y843" t="s">
        <v>15890</v>
      </c>
      <c r="Z843" t="s">
        <v>15891</v>
      </c>
      <c r="AA843" t="s">
        <v>15892</v>
      </c>
      <c r="AB843" t="s">
        <v>15893</v>
      </c>
      <c r="AC843" t="s">
        <v>15894</v>
      </c>
      <c r="AD843" t="s">
        <v>15895</v>
      </c>
      <c r="AE843" t="s">
        <v>15896</v>
      </c>
      <c r="AF843" t="s">
        <v>74</v>
      </c>
      <c r="AG843">
        <v>58</v>
      </c>
      <c r="AH843">
        <v>14</v>
      </c>
      <c r="AI843">
        <v>15</v>
      </c>
      <c r="AJ843">
        <v>0</v>
      </c>
      <c r="AK843">
        <v>26</v>
      </c>
      <c r="AL843" t="s">
        <v>168</v>
      </c>
      <c r="AM843" t="s">
        <v>169</v>
      </c>
      <c r="AN843" t="s">
        <v>170</v>
      </c>
      <c r="AO843" t="s">
        <v>1175</v>
      </c>
      <c r="AP843" t="s">
        <v>1176</v>
      </c>
      <c r="AQ843" t="s">
        <v>74</v>
      </c>
      <c r="AR843" t="s">
        <v>1177</v>
      </c>
      <c r="AS843" t="s">
        <v>1178</v>
      </c>
      <c r="AT843" t="s">
        <v>13135</v>
      </c>
      <c r="AU843">
        <v>2016</v>
      </c>
      <c r="AV843">
        <v>463</v>
      </c>
      <c r="AW843" t="s">
        <v>74</v>
      </c>
      <c r="AX843" t="s">
        <v>74</v>
      </c>
      <c r="AY843" t="s">
        <v>74</v>
      </c>
      <c r="AZ843" t="s">
        <v>74</v>
      </c>
      <c r="BA843" t="s">
        <v>74</v>
      </c>
      <c r="BB843">
        <v>60</v>
      </c>
      <c r="BC843">
        <v>67</v>
      </c>
      <c r="BD843" t="s">
        <v>74</v>
      </c>
      <c r="BE843" t="s">
        <v>15897</v>
      </c>
      <c r="BF843" t="str">
        <f>HYPERLINK("http://dx.doi.org/10.1016/j.palaeo.2016.09.018","http://dx.doi.org/10.1016/j.palaeo.2016.09.018")</f>
        <v>http://dx.doi.org/10.1016/j.palaeo.2016.09.018</v>
      </c>
      <c r="BG843" t="s">
        <v>74</v>
      </c>
      <c r="BH843" t="s">
        <v>74</v>
      </c>
      <c r="BI843">
        <v>8</v>
      </c>
      <c r="BJ843" t="s">
        <v>1180</v>
      </c>
      <c r="BK843" t="s">
        <v>101</v>
      </c>
      <c r="BL843" t="s">
        <v>1181</v>
      </c>
      <c r="BM843" t="s">
        <v>15898</v>
      </c>
      <c r="BN843" t="s">
        <v>74</v>
      </c>
      <c r="BO843" t="s">
        <v>74</v>
      </c>
      <c r="BP843" t="s">
        <v>74</v>
      </c>
      <c r="BQ843" t="s">
        <v>74</v>
      </c>
      <c r="BR843" t="s">
        <v>105</v>
      </c>
      <c r="BS843" t="s">
        <v>15899</v>
      </c>
      <c r="BT843" t="str">
        <f>HYPERLINK("https%3A%2F%2Fwww.webofscience.com%2Fwos%2Fwoscc%2Ffull-record%2FWOS:000387526000005","View Full Record in Web of Science")</f>
        <v>View Full Record in Web of Science</v>
      </c>
    </row>
    <row r="844" spans="1:72" x14ac:dyDescent="0.15">
      <c r="A844" t="s">
        <v>72</v>
      </c>
      <c r="B844" t="s">
        <v>15900</v>
      </c>
      <c r="C844" t="s">
        <v>74</v>
      </c>
      <c r="D844" t="s">
        <v>74</v>
      </c>
      <c r="E844" t="s">
        <v>74</v>
      </c>
      <c r="F844" t="s">
        <v>15901</v>
      </c>
      <c r="G844" t="s">
        <v>74</v>
      </c>
      <c r="H844" t="s">
        <v>74</v>
      </c>
      <c r="I844" t="s">
        <v>15902</v>
      </c>
      <c r="J844" t="s">
        <v>15903</v>
      </c>
      <c r="K844" t="s">
        <v>74</v>
      </c>
      <c r="L844" t="s">
        <v>74</v>
      </c>
      <c r="M844" t="s">
        <v>78</v>
      </c>
      <c r="N844" t="s">
        <v>79</v>
      </c>
      <c r="O844" t="s">
        <v>74</v>
      </c>
      <c r="P844" t="s">
        <v>74</v>
      </c>
      <c r="Q844" t="s">
        <v>74</v>
      </c>
      <c r="R844" t="s">
        <v>74</v>
      </c>
      <c r="S844" t="s">
        <v>74</v>
      </c>
      <c r="T844" t="s">
        <v>15904</v>
      </c>
      <c r="U844" t="s">
        <v>15905</v>
      </c>
      <c r="V844" t="s">
        <v>15906</v>
      </c>
      <c r="W844" t="s">
        <v>15907</v>
      </c>
      <c r="X844" t="s">
        <v>15908</v>
      </c>
      <c r="Y844" t="s">
        <v>15909</v>
      </c>
      <c r="Z844" t="s">
        <v>15910</v>
      </c>
      <c r="AA844" t="s">
        <v>15911</v>
      </c>
      <c r="AB844" t="s">
        <v>15912</v>
      </c>
      <c r="AC844" t="s">
        <v>15913</v>
      </c>
      <c r="AD844" t="s">
        <v>15914</v>
      </c>
      <c r="AE844" t="s">
        <v>15915</v>
      </c>
      <c r="AF844" t="s">
        <v>74</v>
      </c>
      <c r="AG844">
        <v>60</v>
      </c>
      <c r="AH844">
        <v>7</v>
      </c>
      <c r="AI844">
        <v>9</v>
      </c>
      <c r="AJ844">
        <v>1</v>
      </c>
      <c r="AK844">
        <v>48</v>
      </c>
      <c r="AL844" t="s">
        <v>211</v>
      </c>
      <c r="AM844" t="s">
        <v>187</v>
      </c>
      <c r="AN844" t="s">
        <v>2131</v>
      </c>
      <c r="AO844" t="s">
        <v>15916</v>
      </c>
      <c r="AP844" t="s">
        <v>15917</v>
      </c>
      <c r="AQ844" t="s">
        <v>74</v>
      </c>
      <c r="AR844" t="s">
        <v>15918</v>
      </c>
      <c r="AS844" t="s">
        <v>15919</v>
      </c>
      <c r="AT844" t="s">
        <v>12991</v>
      </c>
      <c r="AU844">
        <v>2016</v>
      </c>
      <c r="AV844">
        <v>34</v>
      </c>
      <c r="AW844">
        <v>6</v>
      </c>
      <c r="AX844" t="s">
        <v>74</v>
      </c>
      <c r="AY844" t="s">
        <v>74</v>
      </c>
      <c r="AZ844" t="s">
        <v>74</v>
      </c>
      <c r="BA844" t="s">
        <v>74</v>
      </c>
      <c r="BB844">
        <v>1136</v>
      </c>
      <c r="BC844">
        <v>1145</v>
      </c>
      <c r="BD844" t="s">
        <v>74</v>
      </c>
      <c r="BE844" t="s">
        <v>15920</v>
      </c>
      <c r="BF844" t="str">
        <f>HYPERLINK("http://dx.doi.org/10.1007/s11105-016-0994-y","http://dx.doi.org/10.1007/s11105-016-0994-y")</f>
        <v>http://dx.doi.org/10.1007/s11105-016-0994-y</v>
      </c>
      <c r="BG844" t="s">
        <v>74</v>
      </c>
      <c r="BH844" t="s">
        <v>74</v>
      </c>
      <c r="BI844">
        <v>10</v>
      </c>
      <c r="BJ844" t="s">
        <v>15921</v>
      </c>
      <c r="BK844" t="s">
        <v>101</v>
      </c>
      <c r="BL844" t="s">
        <v>15922</v>
      </c>
      <c r="BM844" t="s">
        <v>15923</v>
      </c>
      <c r="BN844" t="s">
        <v>74</v>
      </c>
      <c r="BO844" t="s">
        <v>74</v>
      </c>
      <c r="BP844" t="s">
        <v>74</v>
      </c>
      <c r="BQ844" t="s">
        <v>74</v>
      </c>
      <c r="BR844" t="s">
        <v>105</v>
      </c>
      <c r="BS844" t="s">
        <v>15924</v>
      </c>
      <c r="BT844" t="str">
        <f>HYPERLINK("https%3A%2F%2Fwww.webofscience.com%2Fwos%2Fwoscc%2Ffull-record%2FWOS:000387585900008","View Full Record in Web of Science")</f>
        <v>View Full Record in Web of Science</v>
      </c>
    </row>
    <row r="845" spans="1:72" x14ac:dyDescent="0.15">
      <c r="A845" t="s">
        <v>72</v>
      </c>
      <c r="B845" t="s">
        <v>15925</v>
      </c>
      <c r="C845" t="s">
        <v>74</v>
      </c>
      <c r="D845" t="s">
        <v>74</v>
      </c>
      <c r="E845" t="s">
        <v>74</v>
      </c>
      <c r="F845" t="s">
        <v>15926</v>
      </c>
      <c r="G845" t="s">
        <v>74</v>
      </c>
      <c r="H845" t="s">
        <v>74</v>
      </c>
      <c r="I845" t="s">
        <v>15927</v>
      </c>
      <c r="J845" t="s">
        <v>7835</v>
      </c>
      <c r="K845" t="s">
        <v>74</v>
      </c>
      <c r="L845" t="s">
        <v>74</v>
      </c>
      <c r="M845" t="s">
        <v>78</v>
      </c>
      <c r="N845" t="s">
        <v>79</v>
      </c>
      <c r="O845" t="s">
        <v>74</v>
      </c>
      <c r="P845" t="s">
        <v>74</v>
      </c>
      <c r="Q845" t="s">
        <v>74</v>
      </c>
      <c r="R845" t="s">
        <v>74</v>
      </c>
      <c r="S845" t="s">
        <v>74</v>
      </c>
      <c r="T845" t="s">
        <v>15928</v>
      </c>
      <c r="U845" t="s">
        <v>15929</v>
      </c>
      <c r="V845" t="s">
        <v>15930</v>
      </c>
      <c r="W845" t="s">
        <v>15931</v>
      </c>
      <c r="X845" t="s">
        <v>15932</v>
      </c>
      <c r="Y845" t="s">
        <v>15933</v>
      </c>
      <c r="Z845" t="s">
        <v>15934</v>
      </c>
      <c r="AA845" t="s">
        <v>15935</v>
      </c>
      <c r="AB845" t="s">
        <v>15936</v>
      </c>
      <c r="AC845" t="s">
        <v>15937</v>
      </c>
      <c r="AD845" t="s">
        <v>15938</v>
      </c>
      <c r="AE845" t="s">
        <v>15939</v>
      </c>
      <c r="AF845" t="s">
        <v>74</v>
      </c>
      <c r="AG845">
        <v>157</v>
      </c>
      <c r="AH845">
        <v>22</v>
      </c>
      <c r="AI845">
        <v>22</v>
      </c>
      <c r="AJ845">
        <v>1</v>
      </c>
      <c r="AK845">
        <v>30</v>
      </c>
      <c r="AL845" t="s">
        <v>2377</v>
      </c>
      <c r="AM845" t="s">
        <v>2378</v>
      </c>
      <c r="AN845" t="s">
        <v>2379</v>
      </c>
      <c r="AO845" t="s">
        <v>7848</v>
      </c>
      <c r="AP845" t="s">
        <v>7849</v>
      </c>
      <c r="AQ845" t="s">
        <v>74</v>
      </c>
      <c r="AR845" t="s">
        <v>7850</v>
      </c>
      <c r="AS845" t="s">
        <v>7851</v>
      </c>
      <c r="AT845" t="s">
        <v>12991</v>
      </c>
      <c r="AU845">
        <v>2016</v>
      </c>
      <c r="AV845">
        <v>17</v>
      </c>
      <c r="AW845">
        <v>4</v>
      </c>
      <c r="AX845" t="s">
        <v>74</v>
      </c>
      <c r="AY845" t="s">
        <v>74</v>
      </c>
      <c r="AZ845" t="s">
        <v>74</v>
      </c>
      <c r="BA845" t="s">
        <v>74</v>
      </c>
      <c r="BB845">
        <v>1152</v>
      </c>
      <c r="BC845">
        <v>1174</v>
      </c>
      <c r="BD845" t="s">
        <v>74</v>
      </c>
      <c r="BE845" t="s">
        <v>15940</v>
      </c>
      <c r="BF845" t="str">
        <f>HYPERLINK("http://dx.doi.org/10.1111/faf.12162","http://dx.doi.org/10.1111/faf.12162")</f>
        <v>http://dx.doi.org/10.1111/faf.12162</v>
      </c>
      <c r="BG845" t="s">
        <v>74</v>
      </c>
      <c r="BH845" t="s">
        <v>74</v>
      </c>
      <c r="BI845">
        <v>23</v>
      </c>
      <c r="BJ845" t="s">
        <v>272</v>
      </c>
      <c r="BK845" t="s">
        <v>101</v>
      </c>
      <c r="BL845" t="s">
        <v>272</v>
      </c>
      <c r="BM845" t="s">
        <v>15178</v>
      </c>
      <c r="BN845" t="s">
        <v>74</v>
      </c>
      <c r="BO845" t="s">
        <v>74</v>
      </c>
      <c r="BP845" t="s">
        <v>74</v>
      </c>
      <c r="BQ845" t="s">
        <v>74</v>
      </c>
      <c r="BR845" t="s">
        <v>105</v>
      </c>
      <c r="BS845" t="s">
        <v>15941</v>
      </c>
      <c r="BT845" t="str">
        <f>HYPERLINK("https%3A%2F%2Fwww.webofscience.com%2Fwos%2Fwoscc%2Ffull-record%2FWOS:000386938900011","View Full Record in Web of Science")</f>
        <v>View Full Record in Web of Science</v>
      </c>
    </row>
    <row r="846" spans="1:72" x14ac:dyDescent="0.15">
      <c r="A846" t="s">
        <v>72</v>
      </c>
      <c r="B846" t="s">
        <v>15942</v>
      </c>
      <c r="C846" t="s">
        <v>74</v>
      </c>
      <c r="D846" t="s">
        <v>74</v>
      </c>
      <c r="E846" t="s">
        <v>74</v>
      </c>
      <c r="F846" t="s">
        <v>15943</v>
      </c>
      <c r="G846" t="s">
        <v>74</v>
      </c>
      <c r="H846" t="s">
        <v>74</v>
      </c>
      <c r="I846" t="s">
        <v>15944</v>
      </c>
      <c r="J846" t="s">
        <v>3012</v>
      </c>
      <c r="K846" t="s">
        <v>74</v>
      </c>
      <c r="L846" t="s">
        <v>74</v>
      </c>
      <c r="M846" t="s">
        <v>78</v>
      </c>
      <c r="N846" t="s">
        <v>79</v>
      </c>
      <c r="O846" t="s">
        <v>74</v>
      </c>
      <c r="P846" t="s">
        <v>74</v>
      </c>
      <c r="Q846" t="s">
        <v>74</v>
      </c>
      <c r="R846" t="s">
        <v>74</v>
      </c>
      <c r="S846" t="s">
        <v>74</v>
      </c>
      <c r="T846" t="s">
        <v>15945</v>
      </c>
      <c r="U846" t="s">
        <v>15946</v>
      </c>
      <c r="V846" t="s">
        <v>15947</v>
      </c>
      <c r="W846" t="s">
        <v>15948</v>
      </c>
      <c r="X846" t="s">
        <v>10674</v>
      </c>
      <c r="Y846" t="s">
        <v>15949</v>
      </c>
      <c r="Z846" t="s">
        <v>15950</v>
      </c>
      <c r="AA846" t="s">
        <v>15951</v>
      </c>
      <c r="AB846" t="s">
        <v>15952</v>
      </c>
      <c r="AC846" t="s">
        <v>74</v>
      </c>
      <c r="AD846" t="s">
        <v>74</v>
      </c>
      <c r="AE846" t="s">
        <v>74</v>
      </c>
      <c r="AF846" t="s">
        <v>74</v>
      </c>
      <c r="AG846">
        <v>55</v>
      </c>
      <c r="AH846">
        <v>4</v>
      </c>
      <c r="AI846">
        <v>4</v>
      </c>
      <c r="AJ846">
        <v>0</v>
      </c>
      <c r="AK846">
        <v>16</v>
      </c>
      <c r="AL846" t="s">
        <v>1967</v>
      </c>
      <c r="AM846" t="s">
        <v>1910</v>
      </c>
      <c r="AN846" t="s">
        <v>1968</v>
      </c>
      <c r="AO846" t="s">
        <v>3025</v>
      </c>
      <c r="AP846" t="s">
        <v>3026</v>
      </c>
      <c r="AQ846" t="s">
        <v>74</v>
      </c>
      <c r="AR846" t="s">
        <v>3027</v>
      </c>
      <c r="AS846" t="s">
        <v>3028</v>
      </c>
      <c r="AT846" t="s">
        <v>12991</v>
      </c>
      <c r="AU846">
        <v>2016</v>
      </c>
      <c r="AV846">
        <v>59</v>
      </c>
      <c r="AW846">
        <v>4</v>
      </c>
      <c r="AX846" t="s">
        <v>74</v>
      </c>
      <c r="AY846" t="s">
        <v>74</v>
      </c>
      <c r="AZ846" t="s">
        <v>74</v>
      </c>
      <c r="BA846" t="s">
        <v>74</v>
      </c>
      <c r="BB846">
        <v>514</v>
      </c>
      <c r="BC846">
        <v>521</v>
      </c>
      <c r="BD846" t="s">
        <v>74</v>
      </c>
      <c r="BE846" t="s">
        <v>15953</v>
      </c>
      <c r="BF846" t="str">
        <f>HYPERLINK("http://dx.doi.org/10.1080/00288306.2016.1195756","http://dx.doi.org/10.1080/00288306.2016.1195756")</f>
        <v>http://dx.doi.org/10.1080/00288306.2016.1195756</v>
      </c>
      <c r="BG846" t="s">
        <v>74</v>
      </c>
      <c r="BH846" t="s">
        <v>74</v>
      </c>
      <c r="BI846">
        <v>8</v>
      </c>
      <c r="BJ846" t="s">
        <v>3030</v>
      </c>
      <c r="BK846" t="s">
        <v>101</v>
      </c>
      <c r="BL846" t="s">
        <v>670</v>
      </c>
      <c r="BM846" t="s">
        <v>15954</v>
      </c>
      <c r="BN846" t="s">
        <v>74</v>
      </c>
      <c r="BO846" t="s">
        <v>74</v>
      </c>
      <c r="BP846" t="s">
        <v>74</v>
      </c>
      <c r="BQ846" t="s">
        <v>74</v>
      </c>
      <c r="BR846" t="s">
        <v>105</v>
      </c>
      <c r="BS846" t="s">
        <v>15955</v>
      </c>
      <c r="BT846" t="str">
        <f>HYPERLINK("https%3A%2F%2Fwww.webofscience.com%2Fwos%2Fwoscc%2Ffull-record%2FWOS:000387036300003","View Full Record in Web of Science")</f>
        <v>View Full Record in Web of Science</v>
      </c>
    </row>
    <row r="847" spans="1:72" x14ac:dyDescent="0.15">
      <c r="A847" t="s">
        <v>72</v>
      </c>
      <c r="B847" t="s">
        <v>15956</v>
      </c>
      <c r="C847" t="s">
        <v>74</v>
      </c>
      <c r="D847" t="s">
        <v>74</v>
      </c>
      <c r="E847" t="s">
        <v>74</v>
      </c>
      <c r="F847" t="s">
        <v>15957</v>
      </c>
      <c r="G847" t="s">
        <v>74</v>
      </c>
      <c r="H847" t="s">
        <v>74</v>
      </c>
      <c r="I847" t="s">
        <v>15958</v>
      </c>
      <c r="J847" t="s">
        <v>15959</v>
      </c>
      <c r="K847" t="s">
        <v>74</v>
      </c>
      <c r="L847" t="s">
        <v>74</v>
      </c>
      <c r="M847" t="s">
        <v>78</v>
      </c>
      <c r="N847" t="s">
        <v>79</v>
      </c>
      <c r="O847" t="s">
        <v>74</v>
      </c>
      <c r="P847" t="s">
        <v>74</v>
      </c>
      <c r="Q847" t="s">
        <v>74</v>
      </c>
      <c r="R847" t="s">
        <v>74</v>
      </c>
      <c r="S847" t="s">
        <v>74</v>
      </c>
      <c r="T847" t="s">
        <v>15960</v>
      </c>
      <c r="U847" t="s">
        <v>15961</v>
      </c>
      <c r="V847" t="s">
        <v>15962</v>
      </c>
      <c r="W847" t="s">
        <v>15963</v>
      </c>
      <c r="X847" t="s">
        <v>15964</v>
      </c>
      <c r="Y847" t="s">
        <v>15965</v>
      </c>
      <c r="Z847" t="s">
        <v>15966</v>
      </c>
      <c r="AA847" t="s">
        <v>15967</v>
      </c>
      <c r="AB847" t="s">
        <v>15968</v>
      </c>
      <c r="AC847" t="s">
        <v>15969</v>
      </c>
      <c r="AD847" t="s">
        <v>15970</v>
      </c>
      <c r="AE847" t="s">
        <v>15971</v>
      </c>
      <c r="AF847" t="s">
        <v>74</v>
      </c>
      <c r="AG847">
        <v>69</v>
      </c>
      <c r="AH847">
        <v>26</v>
      </c>
      <c r="AI847">
        <v>31</v>
      </c>
      <c r="AJ847">
        <v>1</v>
      </c>
      <c r="AK847">
        <v>44</v>
      </c>
      <c r="AL847" t="s">
        <v>211</v>
      </c>
      <c r="AM847" t="s">
        <v>187</v>
      </c>
      <c r="AN847" t="s">
        <v>2131</v>
      </c>
      <c r="AO847" t="s">
        <v>15972</v>
      </c>
      <c r="AP847" t="s">
        <v>15973</v>
      </c>
      <c r="AQ847" t="s">
        <v>74</v>
      </c>
      <c r="AR847" t="s">
        <v>15959</v>
      </c>
      <c r="AS847" t="s">
        <v>15974</v>
      </c>
      <c r="AT847" t="s">
        <v>12991</v>
      </c>
      <c r="AU847">
        <v>2016</v>
      </c>
      <c r="AV847">
        <v>182</v>
      </c>
      <c r="AW847">
        <v>4</v>
      </c>
      <c r="AX847" t="s">
        <v>74</v>
      </c>
      <c r="AY847" t="s">
        <v>74</v>
      </c>
      <c r="AZ847" t="s">
        <v>74</v>
      </c>
      <c r="BA847" t="s">
        <v>74</v>
      </c>
      <c r="BB847">
        <v>995</v>
      </c>
      <c r="BC847">
        <v>1005</v>
      </c>
      <c r="BD847" t="s">
        <v>74</v>
      </c>
      <c r="BE847" t="s">
        <v>15975</v>
      </c>
      <c r="BF847" t="str">
        <f>HYPERLINK("http://dx.doi.org/10.1007/s00442-016-3732-0","http://dx.doi.org/10.1007/s00442-016-3732-0")</f>
        <v>http://dx.doi.org/10.1007/s00442-016-3732-0</v>
      </c>
      <c r="BG847" t="s">
        <v>74</v>
      </c>
      <c r="BH847" t="s">
        <v>74</v>
      </c>
      <c r="BI847">
        <v>11</v>
      </c>
      <c r="BJ847" t="s">
        <v>1739</v>
      </c>
      <c r="BK847" t="s">
        <v>101</v>
      </c>
      <c r="BL847" t="s">
        <v>178</v>
      </c>
      <c r="BM847" t="s">
        <v>15976</v>
      </c>
      <c r="BN847">
        <v>27651228</v>
      </c>
      <c r="BO847" t="s">
        <v>506</v>
      </c>
      <c r="BP847" t="s">
        <v>74</v>
      </c>
      <c r="BQ847" t="s">
        <v>74</v>
      </c>
      <c r="BR847" t="s">
        <v>105</v>
      </c>
      <c r="BS847" t="s">
        <v>15977</v>
      </c>
      <c r="BT847" t="str">
        <f>HYPERLINK("https%3A%2F%2Fwww.webofscience.com%2Fwos%2Fwoscc%2Ffull-record%2FWOS:000386070800007","View Full Record in Web of Science")</f>
        <v>View Full Record in Web of Science</v>
      </c>
    </row>
    <row r="848" spans="1:72" x14ac:dyDescent="0.15">
      <c r="A848" t="s">
        <v>72</v>
      </c>
      <c r="B848" t="s">
        <v>15978</v>
      </c>
      <c r="C848" t="s">
        <v>74</v>
      </c>
      <c r="D848" t="s">
        <v>74</v>
      </c>
      <c r="E848" t="s">
        <v>74</v>
      </c>
      <c r="F848" t="s">
        <v>15979</v>
      </c>
      <c r="G848" t="s">
        <v>74</v>
      </c>
      <c r="H848" t="s">
        <v>74</v>
      </c>
      <c r="I848" t="s">
        <v>15980</v>
      </c>
      <c r="J848" t="s">
        <v>468</v>
      </c>
      <c r="K848" t="s">
        <v>74</v>
      </c>
      <c r="L848" t="s">
        <v>74</v>
      </c>
      <c r="M848" t="s">
        <v>78</v>
      </c>
      <c r="N848" t="s">
        <v>79</v>
      </c>
      <c r="O848" t="s">
        <v>74</v>
      </c>
      <c r="P848" t="s">
        <v>74</v>
      </c>
      <c r="Q848" t="s">
        <v>74</v>
      </c>
      <c r="R848" t="s">
        <v>74</v>
      </c>
      <c r="S848" t="s">
        <v>74</v>
      </c>
      <c r="T848" t="s">
        <v>15981</v>
      </c>
      <c r="U848" t="s">
        <v>15982</v>
      </c>
      <c r="V848" t="s">
        <v>15983</v>
      </c>
      <c r="W848" t="s">
        <v>15984</v>
      </c>
      <c r="X848" t="s">
        <v>15985</v>
      </c>
      <c r="Y848" t="s">
        <v>15986</v>
      </c>
      <c r="Z848" t="s">
        <v>15987</v>
      </c>
      <c r="AA848" t="s">
        <v>15988</v>
      </c>
      <c r="AB848" t="s">
        <v>15989</v>
      </c>
      <c r="AC848" t="s">
        <v>15990</v>
      </c>
      <c r="AD848" t="s">
        <v>15991</v>
      </c>
      <c r="AE848" t="s">
        <v>15992</v>
      </c>
      <c r="AF848" t="s">
        <v>74</v>
      </c>
      <c r="AG848">
        <v>78</v>
      </c>
      <c r="AH848">
        <v>42</v>
      </c>
      <c r="AI848">
        <v>43</v>
      </c>
      <c r="AJ848">
        <v>4</v>
      </c>
      <c r="AK848">
        <v>94</v>
      </c>
      <c r="AL848" t="s">
        <v>264</v>
      </c>
      <c r="AM848" t="s">
        <v>169</v>
      </c>
      <c r="AN848" t="s">
        <v>265</v>
      </c>
      <c r="AO848" t="s">
        <v>481</v>
      </c>
      <c r="AP848" t="s">
        <v>482</v>
      </c>
      <c r="AQ848" t="s">
        <v>74</v>
      </c>
      <c r="AR848" t="s">
        <v>468</v>
      </c>
      <c r="AS848" t="s">
        <v>483</v>
      </c>
      <c r="AT848" t="s">
        <v>12991</v>
      </c>
      <c r="AU848">
        <v>2016</v>
      </c>
      <c r="AV848">
        <v>147</v>
      </c>
      <c r="AW848" t="s">
        <v>74</v>
      </c>
      <c r="AX848" t="s">
        <v>74</v>
      </c>
      <c r="AY848" t="s">
        <v>74</v>
      </c>
      <c r="AZ848" t="s">
        <v>74</v>
      </c>
      <c r="BA848" t="s">
        <v>74</v>
      </c>
      <c r="BB848">
        <v>725</v>
      </c>
      <c r="BC848">
        <v>741</v>
      </c>
      <c r="BD848" t="s">
        <v>74</v>
      </c>
      <c r="BE848" t="s">
        <v>15993</v>
      </c>
      <c r="BF848" t="str">
        <f>HYPERLINK("http://dx.doi.org/10.1016/j.catena.2016.07.048","http://dx.doi.org/10.1016/j.catena.2016.07.048")</f>
        <v>http://dx.doi.org/10.1016/j.catena.2016.07.048</v>
      </c>
      <c r="BG848" t="s">
        <v>74</v>
      </c>
      <c r="BH848" t="s">
        <v>74</v>
      </c>
      <c r="BI848">
        <v>17</v>
      </c>
      <c r="BJ848" t="s">
        <v>485</v>
      </c>
      <c r="BK848" t="s">
        <v>101</v>
      </c>
      <c r="BL848" t="s">
        <v>486</v>
      </c>
      <c r="BM848" t="s">
        <v>15994</v>
      </c>
      <c r="BN848" t="s">
        <v>74</v>
      </c>
      <c r="BO848" t="s">
        <v>74</v>
      </c>
      <c r="BP848" t="s">
        <v>74</v>
      </c>
      <c r="BQ848" t="s">
        <v>74</v>
      </c>
      <c r="BR848" t="s">
        <v>105</v>
      </c>
      <c r="BS848" t="s">
        <v>15995</v>
      </c>
      <c r="BT848" t="str">
        <f>HYPERLINK("https%3A%2F%2Fwww.webofscience.com%2Fwos%2Fwoscc%2Ffull-record%2FWOS:000385598800069","View Full Record in Web of Science")</f>
        <v>View Full Record in Web of Science</v>
      </c>
    </row>
    <row r="849" spans="1:72" x14ac:dyDescent="0.15">
      <c r="A849" t="s">
        <v>72</v>
      </c>
      <c r="B849" t="s">
        <v>15996</v>
      </c>
      <c r="C849" t="s">
        <v>74</v>
      </c>
      <c r="D849" t="s">
        <v>74</v>
      </c>
      <c r="E849" t="s">
        <v>74</v>
      </c>
      <c r="F849" t="s">
        <v>15997</v>
      </c>
      <c r="G849" t="s">
        <v>74</v>
      </c>
      <c r="H849" t="s">
        <v>74</v>
      </c>
      <c r="I849" t="s">
        <v>15998</v>
      </c>
      <c r="J849" t="s">
        <v>278</v>
      </c>
      <c r="K849" t="s">
        <v>74</v>
      </c>
      <c r="L849" t="s">
        <v>74</v>
      </c>
      <c r="M849" t="s">
        <v>78</v>
      </c>
      <c r="N849" t="s">
        <v>79</v>
      </c>
      <c r="O849" t="s">
        <v>74</v>
      </c>
      <c r="P849" t="s">
        <v>74</v>
      </c>
      <c r="Q849" t="s">
        <v>74</v>
      </c>
      <c r="R849" t="s">
        <v>74</v>
      </c>
      <c r="S849" t="s">
        <v>74</v>
      </c>
      <c r="T849" t="s">
        <v>15999</v>
      </c>
      <c r="U849" t="s">
        <v>16000</v>
      </c>
      <c r="V849" t="s">
        <v>16001</v>
      </c>
      <c r="W849" t="s">
        <v>16002</v>
      </c>
      <c r="X849" t="s">
        <v>16003</v>
      </c>
      <c r="Y849" t="s">
        <v>16004</v>
      </c>
      <c r="Z849" t="s">
        <v>16005</v>
      </c>
      <c r="AA849" t="s">
        <v>16006</v>
      </c>
      <c r="AB849" t="s">
        <v>16007</v>
      </c>
      <c r="AC849" t="s">
        <v>16008</v>
      </c>
      <c r="AD849" t="s">
        <v>16008</v>
      </c>
      <c r="AE849" t="s">
        <v>16009</v>
      </c>
      <c r="AF849" t="s">
        <v>74</v>
      </c>
      <c r="AG849">
        <v>53</v>
      </c>
      <c r="AH849">
        <v>11</v>
      </c>
      <c r="AI849">
        <v>11</v>
      </c>
      <c r="AJ849">
        <v>2</v>
      </c>
      <c r="AK849">
        <v>24</v>
      </c>
      <c r="AL849" t="s">
        <v>291</v>
      </c>
      <c r="AM849" t="s">
        <v>292</v>
      </c>
      <c r="AN849" t="s">
        <v>293</v>
      </c>
      <c r="AO849" t="s">
        <v>294</v>
      </c>
      <c r="AP849" t="s">
        <v>295</v>
      </c>
      <c r="AQ849" t="s">
        <v>74</v>
      </c>
      <c r="AR849" t="s">
        <v>296</v>
      </c>
      <c r="AS849" t="s">
        <v>297</v>
      </c>
      <c r="AT849" t="s">
        <v>13135</v>
      </c>
      <c r="AU849">
        <v>2016</v>
      </c>
      <c r="AV849">
        <v>194</v>
      </c>
      <c r="AW849" t="s">
        <v>74</v>
      </c>
      <c r="AX849" t="s">
        <v>74</v>
      </c>
      <c r="AY849" t="s">
        <v>74</v>
      </c>
      <c r="AZ849" t="s">
        <v>74</v>
      </c>
      <c r="BA849" t="s">
        <v>74</v>
      </c>
      <c r="BB849">
        <v>1</v>
      </c>
      <c r="BC849">
        <v>14</v>
      </c>
      <c r="BD849" t="s">
        <v>74</v>
      </c>
      <c r="BE849" t="s">
        <v>16010</v>
      </c>
      <c r="BF849" t="str">
        <f>HYPERLINK("http://dx.doi.org/10.1016/j.gca.2016.08.024","http://dx.doi.org/10.1016/j.gca.2016.08.024")</f>
        <v>http://dx.doi.org/10.1016/j.gca.2016.08.024</v>
      </c>
      <c r="BG849" t="s">
        <v>74</v>
      </c>
      <c r="BH849" t="s">
        <v>74</v>
      </c>
      <c r="BI849">
        <v>14</v>
      </c>
      <c r="BJ849" t="s">
        <v>299</v>
      </c>
      <c r="BK849" t="s">
        <v>101</v>
      </c>
      <c r="BL849" t="s">
        <v>299</v>
      </c>
      <c r="BM849" t="s">
        <v>16011</v>
      </c>
      <c r="BN849" t="s">
        <v>74</v>
      </c>
      <c r="BO849" t="s">
        <v>1223</v>
      </c>
      <c r="BP849" t="s">
        <v>74</v>
      </c>
      <c r="BQ849" t="s">
        <v>74</v>
      </c>
      <c r="BR849" t="s">
        <v>105</v>
      </c>
      <c r="BS849" t="s">
        <v>16012</v>
      </c>
      <c r="BT849" t="str">
        <f>HYPERLINK("https%3A%2F%2Fwww.webofscience.com%2Fwos%2Fwoscc%2Ffull-record%2FWOS:000385509800001","View Full Record in Web of Science")</f>
        <v>View Full Record in Web of Science</v>
      </c>
    </row>
    <row r="850" spans="1:72" x14ac:dyDescent="0.15">
      <c r="A850" t="s">
        <v>72</v>
      </c>
      <c r="B850" t="s">
        <v>16013</v>
      </c>
      <c r="C850" t="s">
        <v>74</v>
      </c>
      <c r="D850" t="s">
        <v>74</v>
      </c>
      <c r="E850" t="s">
        <v>74</v>
      </c>
      <c r="F850" t="s">
        <v>16014</v>
      </c>
      <c r="G850" t="s">
        <v>74</v>
      </c>
      <c r="H850" t="s">
        <v>74</v>
      </c>
      <c r="I850" t="s">
        <v>16015</v>
      </c>
      <c r="J850" t="s">
        <v>278</v>
      </c>
      <c r="K850" t="s">
        <v>74</v>
      </c>
      <c r="L850" t="s">
        <v>74</v>
      </c>
      <c r="M850" t="s">
        <v>78</v>
      </c>
      <c r="N850" t="s">
        <v>79</v>
      </c>
      <c r="O850" t="s">
        <v>74</v>
      </c>
      <c r="P850" t="s">
        <v>74</v>
      </c>
      <c r="Q850" t="s">
        <v>74</v>
      </c>
      <c r="R850" t="s">
        <v>74</v>
      </c>
      <c r="S850" t="s">
        <v>74</v>
      </c>
      <c r="T850" t="s">
        <v>16016</v>
      </c>
      <c r="U850" t="s">
        <v>16017</v>
      </c>
      <c r="V850" t="s">
        <v>16018</v>
      </c>
      <c r="W850" t="s">
        <v>16019</v>
      </c>
      <c r="X850" t="s">
        <v>16020</v>
      </c>
      <c r="Y850" t="s">
        <v>16021</v>
      </c>
      <c r="Z850" t="s">
        <v>16022</v>
      </c>
      <c r="AA850" t="s">
        <v>74</v>
      </c>
      <c r="AB850" t="s">
        <v>74</v>
      </c>
      <c r="AC850" t="s">
        <v>16023</v>
      </c>
      <c r="AD850" t="s">
        <v>74</v>
      </c>
      <c r="AE850" t="s">
        <v>16024</v>
      </c>
      <c r="AF850" t="s">
        <v>74</v>
      </c>
      <c r="AG850">
        <v>68</v>
      </c>
      <c r="AH850">
        <v>33</v>
      </c>
      <c r="AI850">
        <v>35</v>
      </c>
      <c r="AJ850">
        <v>0</v>
      </c>
      <c r="AK850">
        <v>19</v>
      </c>
      <c r="AL850" t="s">
        <v>291</v>
      </c>
      <c r="AM850" t="s">
        <v>292</v>
      </c>
      <c r="AN850" t="s">
        <v>293</v>
      </c>
      <c r="AO850" t="s">
        <v>294</v>
      </c>
      <c r="AP850" t="s">
        <v>295</v>
      </c>
      <c r="AQ850" t="s">
        <v>74</v>
      </c>
      <c r="AR850" t="s">
        <v>296</v>
      </c>
      <c r="AS850" t="s">
        <v>297</v>
      </c>
      <c r="AT850" t="s">
        <v>13135</v>
      </c>
      <c r="AU850">
        <v>2016</v>
      </c>
      <c r="AV850">
        <v>194</v>
      </c>
      <c r="AW850" t="s">
        <v>74</v>
      </c>
      <c r="AX850" t="s">
        <v>74</v>
      </c>
      <c r="AY850" t="s">
        <v>74</v>
      </c>
      <c r="AZ850" t="s">
        <v>74</v>
      </c>
      <c r="BA850" t="s">
        <v>74</v>
      </c>
      <c r="BB850">
        <v>91</v>
      </c>
      <c r="BC850">
        <v>122</v>
      </c>
      <c r="BD850" t="s">
        <v>74</v>
      </c>
      <c r="BE850" t="s">
        <v>16025</v>
      </c>
      <c r="BF850" t="str">
        <f>HYPERLINK("http://dx.doi.org/10.1016/j.gca.2016.08.031","http://dx.doi.org/10.1016/j.gca.2016.08.031")</f>
        <v>http://dx.doi.org/10.1016/j.gca.2016.08.031</v>
      </c>
      <c r="BG850" t="s">
        <v>74</v>
      </c>
      <c r="BH850" t="s">
        <v>74</v>
      </c>
      <c r="BI850">
        <v>32</v>
      </c>
      <c r="BJ850" t="s">
        <v>299</v>
      </c>
      <c r="BK850" t="s">
        <v>101</v>
      </c>
      <c r="BL850" t="s">
        <v>299</v>
      </c>
      <c r="BM850" t="s">
        <v>16011</v>
      </c>
      <c r="BN850" t="s">
        <v>74</v>
      </c>
      <c r="BO850" t="s">
        <v>74</v>
      </c>
      <c r="BP850" t="s">
        <v>74</v>
      </c>
      <c r="BQ850" t="s">
        <v>74</v>
      </c>
      <c r="BR850" t="s">
        <v>105</v>
      </c>
      <c r="BS850" t="s">
        <v>16026</v>
      </c>
      <c r="BT850" t="str">
        <f>HYPERLINK("https%3A%2F%2Fwww.webofscience.com%2Fwos%2Fwoscc%2Ffull-record%2FWOS:000385509800006","View Full Record in Web of Science")</f>
        <v>View Full Record in Web of Science</v>
      </c>
    </row>
    <row r="851" spans="1:72" x14ac:dyDescent="0.15">
      <c r="A851" t="s">
        <v>72</v>
      </c>
      <c r="B851" t="s">
        <v>16027</v>
      </c>
      <c r="C851" t="s">
        <v>74</v>
      </c>
      <c r="D851" t="s">
        <v>74</v>
      </c>
      <c r="E851" t="s">
        <v>74</v>
      </c>
      <c r="F851" t="s">
        <v>16028</v>
      </c>
      <c r="G851" t="s">
        <v>74</v>
      </c>
      <c r="H851" t="s">
        <v>74</v>
      </c>
      <c r="I851" t="s">
        <v>16029</v>
      </c>
      <c r="J851" t="s">
        <v>278</v>
      </c>
      <c r="K851" t="s">
        <v>74</v>
      </c>
      <c r="L851" t="s">
        <v>74</v>
      </c>
      <c r="M851" t="s">
        <v>78</v>
      </c>
      <c r="N851" t="s">
        <v>79</v>
      </c>
      <c r="O851" t="s">
        <v>74</v>
      </c>
      <c r="P851" t="s">
        <v>74</v>
      </c>
      <c r="Q851" t="s">
        <v>74</v>
      </c>
      <c r="R851" t="s">
        <v>74</v>
      </c>
      <c r="S851" t="s">
        <v>74</v>
      </c>
      <c r="T851" t="s">
        <v>16030</v>
      </c>
      <c r="U851" t="s">
        <v>16031</v>
      </c>
      <c r="V851" t="s">
        <v>16032</v>
      </c>
      <c r="W851" t="s">
        <v>16033</v>
      </c>
      <c r="X851" t="s">
        <v>16034</v>
      </c>
      <c r="Y851" t="s">
        <v>16035</v>
      </c>
      <c r="Z851" t="s">
        <v>16036</v>
      </c>
      <c r="AA851" t="s">
        <v>16037</v>
      </c>
      <c r="AB851" t="s">
        <v>16038</v>
      </c>
      <c r="AC851" t="s">
        <v>16039</v>
      </c>
      <c r="AD851" t="s">
        <v>16040</v>
      </c>
      <c r="AE851" t="s">
        <v>16041</v>
      </c>
      <c r="AF851" t="s">
        <v>74</v>
      </c>
      <c r="AG851">
        <v>64</v>
      </c>
      <c r="AH851">
        <v>20</v>
      </c>
      <c r="AI851">
        <v>21</v>
      </c>
      <c r="AJ851">
        <v>1</v>
      </c>
      <c r="AK851">
        <v>22</v>
      </c>
      <c r="AL851" t="s">
        <v>291</v>
      </c>
      <c r="AM851" t="s">
        <v>292</v>
      </c>
      <c r="AN851" t="s">
        <v>293</v>
      </c>
      <c r="AO851" t="s">
        <v>294</v>
      </c>
      <c r="AP851" t="s">
        <v>295</v>
      </c>
      <c r="AQ851" t="s">
        <v>74</v>
      </c>
      <c r="AR851" t="s">
        <v>296</v>
      </c>
      <c r="AS851" t="s">
        <v>297</v>
      </c>
      <c r="AT851" t="s">
        <v>13135</v>
      </c>
      <c r="AU851">
        <v>2016</v>
      </c>
      <c r="AV851">
        <v>194</v>
      </c>
      <c r="AW851" t="s">
        <v>74</v>
      </c>
      <c r="AX851" t="s">
        <v>74</v>
      </c>
      <c r="AY851" t="s">
        <v>74</v>
      </c>
      <c r="AZ851" t="s">
        <v>74</v>
      </c>
      <c r="BA851" t="s">
        <v>74</v>
      </c>
      <c r="BB851">
        <v>163</v>
      </c>
      <c r="BC851">
        <v>178</v>
      </c>
      <c r="BD851" t="s">
        <v>74</v>
      </c>
      <c r="BE851" t="s">
        <v>16042</v>
      </c>
      <c r="BF851" t="str">
        <f>HYPERLINK("http://dx.doi.org/10.1016/j.gca.2016.08.042","http://dx.doi.org/10.1016/j.gca.2016.08.042")</f>
        <v>http://dx.doi.org/10.1016/j.gca.2016.08.042</v>
      </c>
      <c r="BG851" t="s">
        <v>74</v>
      </c>
      <c r="BH851" t="s">
        <v>74</v>
      </c>
      <c r="BI851">
        <v>16</v>
      </c>
      <c r="BJ851" t="s">
        <v>299</v>
      </c>
      <c r="BK851" t="s">
        <v>101</v>
      </c>
      <c r="BL851" t="s">
        <v>299</v>
      </c>
      <c r="BM851" t="s">
        <v>16011</v>
      </c>
      <c r="BN851" t="s">
        <v>74</v>
      </c>
      <c r="BO851" t="s">
        <v>463</v>
      </c>
      <c r="BP851" t="s">
        <v>74</v>
      </c>
      <c r="BQ851" t="s">
        <v>74</v>
      </c>
      <c r="BR851" t="s">
        <v>105</v>
      </c>
      <c r="BS851" t="s">
        <v>16043</v>
      </c>
      <c r="BT851" t="str">
        <f>HYPERLINK("https%3A%2F%2Fwww.webofscience.com%2Fwos%2Fwoscc%2Ffull-record%2FWOS:000385509800010","View Full Record in Web of Science")</f>
        <v>View Full Record in Web of Science</v>
      </c>
    </row>
    <row r="852" spans="1:72" x14ac:dyDescent="0.15">
      <c r="A852" t="s">
        <v>72</v>
      </c>
      <c r="B852" t="s">
        <v>16044</v>
      </c>
      <c r="C852" t="s">
        <v>74</v>
      </c>
      <c r="D852" t="s">
        <v>74</v>
      </c>
      <c r="E852" t="s">
        <v>74</v>
      </c>
      <c r="F852" t="s">
        <v>16045</v>
      </c>
      <c r="G852" t="s">
        <v>74</v>
      </c>
      <c r="H852" t="s">
        <v>74</v>
      </c>
      <c r="I852" t="s">
        <v>16046</v>
      </c>
      <c r="J852" t="s">
        <v>769</v>
      </c>
      <c r="K852" t="s">
        <v>74</v>
      </c>
      <c r="L852" t="s">
        <v>74</v>
      </c>
      <c r="M852" t="s">
        <v>78</v>
      </c>
      <c r="N852" t="s">
        <v>79</v>
      </c>
      <c r="O852" t="s">
        <v>74</v>
      </c>
      <c r="P852" t="s">
        <v>74</v>
      </c>
      <c r="Q852" t="s">
        <v>74</v>
      </c>
      <c r="R852" t="s">
        <v>74</v>
      </c>
      <c r="S852" t="s">
        <v>74</v>
      </c>
      <c r="T852" t="s">
        <v>74</v>
      </c>
      <c r="U852" t="s">
        <v>16047</v>
      </c>
      <c r="V852" t="s">
        <v>16048</v>
      </c>
      <c r="W852" t="s">
        <v>16049</v>
      </c>
      <c r="X852" t="s">
        <v>16050</v>
      </c>
      <c r="Y852" t="s">
        <v>16051</v>
      </c>
      <c r="Z852" t="s">
        <v>16052</v>
      </c>
      <c r="AA852" t="s">
        <v>16053</v>
      </c>
      <c r="AB852" t="s">
        <v>16054</v>
      </c>
      <c r="AC852" t="s">
        <v>16055</v>
      </c>
      <c r="AD852" t="s">
        <v>16056</v>
      </c>
      <c r="AE852" t="s">
        <v>16057</v>
      </c>
      <c r="AF852" t="s">
        <v>74</v>
      </c>
      <c r="AG852">
        <v>44</v>
      </c>
      <c r="AH852">
        <v>14</v>
      </c>
      <c r="AI852">
        <v>14</v>
      </c>
      <c r="AJ852">
        <v>0</v>
      </c>
      <c r="AK852">
        <v>16</v>
      </c>
      <c r="AL852" t="s">
        <v>781</v>
      </c>
      <c r="AM852" t="s">
        <v>782</v>
      </c>
      <c r="AN852" t="s">
        <v>783</v>
      </c>
      <c r="AO852" t="s">
        <v>784</v>
      </c>
      <c r="AP852" t="s">
        <v>74</v>
      </c>
      <c r="AQ852" t="s">
        <v>74</v>
      </c>
      <c r="AR852" t="s">
        <v>769</v>
      </c>
      <c r="AS852" t="s">
        <v>785</v>
      </c>
      <c r="AT852" t="s">
        <v>16058</v>
      </c>
      <c r="AU852">
        <v>2016</v>
      </c>
      <c r="AV852">
        <v>11</v>
      </c>
      <c r="AW852">
        <v>11</v>
      </c>
      <c r="AX852" t="s">
        <v>74</v>
      </c>
      <c r="AY852" t="s">
        <v>74</v>
      </c>
      <c r="AZ852" t="s">
        <v>74</v>
      </c>
      <c r="BA852" t="s">
        <v>74</v>
      </c>
      <c r="BB852" t="s">
        <v>74</v>
      </c>
      <c r="BC852" t="s">
        <v>74</v>
      </c>
      <c r="BD852" t="s">
        <v>16059</v>
      </c>
      <c r="BE852" t="s">
        <v>16060</v>
      </c>
      <c r="BF852" t="str">
        <f>HYPERLINK("http://dx.doi.org/10.1371/journal.pone.0166747","http://dx.doi.org/10.1371/journal.pone.0166747")</f>
        <v>http://dx.doi.org/10.1371/journal.pone.0166747</v>
      </c>
      <c r="BG852" t="s">
        <v>74</v>
      </c>
      <c r="BH852" t="s">
        <v>74</v>
      </c>
      <c r="BI852">
        <v>15</v>
      </c>
      <c r="BJ852" t="s">
        <v>100</v>
      </c>
      <c r="BK852" t="s">
        <v>101</v>
      </c>
      <c r="BL852" t="s">
        <v>102</v>
      </c>
      <c r="BM852" t="s">
        <v>16061</v>
      </c>
      <c r="BN852">
        <v>27902786</v>
      </c>
      <c r="BO852" t="s">
        <v>150</v>
      </c>
      <c r="BP852" t="s">
        <v>74</v>
      </c>
      <c r="BQ852" t="s">
        <v>74</v>
      </c>
      <c r="BR852" t="s">
        <v>105</v>
      </c>
      <c r="BS852" t="s">
        <v>16062</v>
      </c>
      <c r="BT852" t="str">
        <f>HYPERLINK("https%3A%2F%2Fwww.webofscience.com%2Fwos%2Fwoscc%2Ffull-record%2FWOS:000389474100037","View Full Record in Web of Science")</f>
        <v>View Full Record in Web of Science</v>
      </c>
    </row>
    <row r="853" spans="1:72" x14ac:dyDescent="0.15">
      <c r="A853" t="s">
        <v>72</v>
      </c>
      <c r="B853" t="s">
        <v>16063</v>
      </c>
      <c r="C853" t="s">
        <v>74</v>
      </c>
      <c r="D853" t="s">
        <v>74</v>
      </c>
      <c r="E853" t="s">
        <v>74</v>
      </c>
      <c r="F853" t="s">
        <v>16064</v>
      </c>
      <c r="G853" t="s">
        <v>74</v>
      </c>
      <c r="H853" t="s">
        <v>74</v>
      </c>
      <c r="I853" t="s">
        <v>16065</v>
      </c>
      <c r="J853" t="s">
        <v>1044</v>
      </c>
      <c r="K853" t="s">
        <v>74</v>
      </c>
      <c r="L853" t="s">
        <v>74</v>
      </c>
      <c r="M853" t="s">
        <v>78</v>
      </c>
      <c r="N853" t="s">
        <v>79</v>
      </c>
      <c r="O853" t="s">
        <v>74</v>
      </c>
      <c r="P853" t="s">
        <v>74</v>
      </c>
      <c r="Q853" t="s">
        <v>74</v>
      </c>
      <c r="R853" t="s">
        <v>74</v>
      </c>
      <c r="S853" t="s">
        <v>74</v>
      </c>
      <c r="T853" t="s">
        <v>74</v>
      </c>
      <c r="U853" t="s">
        <v>16066</v>
      </c>
      <c r="V853" t="s">
        <v>16067</v>
      </c>
      <c r="W853" t="s">
        <v>16068</v>
      </c>
      <c r="X853" t="s">
        <v>16069</v>
      </c>
      <c r="Y853" t="s">
        <v>16070</v>
      </c>
      <c r="Z853" t="s">
        <v>16071</v>
      </c>
      <c r="AA853" t="s">
        <v>16072</v>
      </c>
      <c r="AB853" t="s">
        <v>16073</v>
      </c>
      <c r="AC853" t="s">
        <v>16074</v>
      </c>
      <c r="AD853" t="s">
        <v>16075</v>
      </c>
      <c r="AE853" t="s">
        <v>16076</v>
      </c>
      <c r="AF853" t="s">
        <v>74</v>
      </c>
      <c r="AG853">
        <v>60</v>
      </c>
      <c r="AH853">
        <v>15</v>
      </c>
      <c r="AI853">
        <v>16</v>
      </c>
      <c r="AJ853">
        <v>1</v>
      </c>
      <c r="AK853">
        <v>30</v>
      </c>
      <c r="AL853" t="s">
        <v>608</v>
      </c>
      <c r="AM853" t="s">
        <v>609</v>
      </c>
      <c r="AN853" t="s">
        <v>610</v>
      </c>
      <c r="AO853" t="s">
        <v>1056</v>
      </c>
      <c r="AP853" t="s">
        <v>1057</v>
      </c>
      <c r="AQ853" t="s">
        <v>74</v>
      </c>
      <c r="AR853" t="s">
        <v>1058</v>
      </c>
      <c r="AS853" t="s">
        <v>1059</v>
      </c>
      <c r="AT853" t="s">
        <v>16077</v>
      </c>
      <c r="AU853">
        <v>2016</v>
      </c>
      <c r="AV853">
        <v>12</v>
      </c>
      <c r="AW853">
        <v>12</v>
      </c>
      <c r="AX853" t="s">
        <v>74</v>
      </c>
      <c r="AY853" t="s">
        <v>74</v>
      </c>
      <c r="AZ853" t="s">
        <v>74</v>
      </c>
      <c r="BA853" t="s">
        <v>74</v>
      </c>
      <c r="BB853">
        <v>2145</v>
      </c>
      <c r="BC853">
        <v>2160</v>
      </c>
      <c r="BD853" t="s">
        <v>74</v>
      </c>
      <c r="BE853" t="s">
        <v>16078</v>
      </c>
      <c r="BF853" t="str">
        <f>HYPERLINK("http://dx.doi.org/10.5194/cp-12-2145-2016","http://dx.doi.org/10.5194/cp-12-2145-2016")</f>
        <v>http://dx.doi.org/10.5194/cp-12-2145-2016</v>
      </c>
      <c r="BG853" t="s">
        <v>74</v>
      </c>
      <c r="BH853" t="s">
        <v>74</v>
      </c>
      <c r="BI853">
        <v>16</v>
      </c>
      <c r="BJ853" t="s">
        <v>938</v>
      </c>
      <c r="BK853" t="s">
        <v>101</v>
      </c>
      <c r="BL853" t="s">
        <v>939</v>
      </c>
      <c r="BM853" t="s">
        <v>16079</v>
      </c>
      <c r="BN853" t="s">
        <v>74</v>
      </c>
      <c r="BO853" t="s">
        <v>8542</v>
      </c>
      <c r="BP853" t="s">
        <v>74</v>
      </c>
      <c r="BQ853" t="s">
        <v>74</v>
      </c>
      <c r="BR853" t="s">
        <v>105</v>
      </c>
      <c r="BS853" t="s">
        <v>16080</v>
      </c>
      <c r="BT853" t="str">
        <f>HYPERLINK("https%3A%2F%2Fwww.webofscience.com%2Fwos%2Fwoscc%2Ffull-record%2FWOS:000390142700001","View Full Record in Web of Science")</f>
        <v>View Full Record in Web of Science</v>
      </c>
    </row>
    <row r="854" spans="1:72" x14ac:dyDescent="0.15">
      <c r="A854" t="s">
        <v>72</v>
      </c>
      <c r="B854" t="s">
        <v>16081</v>
      </c>
      <c r="C854" t="s">
        <v>74</v>
      </c>
      <c r="D854" t="s">
        <v>74</v>
      </c>
      <c r="E854" t="s">
        <v>74</v>
      </c>
      <c r="F854" t="s">
        <v>16082</v>
      </c>
      <c r="G854" t="s">
        <v>74</v>
      </c>
      <c r="H854" t="s">
        <v>74</v>
      </c>
      <c r="I854" t="s">
        <v>16083</v>
      </c>
      <c r="J854" t="s">
        <v>1783</v>
      </c>
      <c r="K854" t="s">
        <v>74</v>
      </c>
      <c r="L854" t="s">
        <v>74</v>
      </c>
      <c r="M854" t="s">
        <v>78</v>
      </c>
      <c r="N854" t="s">
        <v>79</v>
      </c>
      <c r="O854" t="s">
        <v>74</v>
      </c>
      <c r="P854" t="s">
        <v>74</v>
      </c>
      <c r="Q854" t="s">
        <v>74</v>
      </c>
      <c r="R854" t="s">
        <v>74</v>
      </c>
      <c r="S854" t="s">
        <v>74</v>
      </c>
      <c r="T854" t="s">
        <v>16084</v>
      </c>
      <c r="U854" t="s">
        <v>16085</v>
      </c>
      <c r="V854" t="s">
        <v>16086</v>
      </c>
      <c r="W854" t="s">
        <v>16087</v>
      </c>
      <c r="X854" t="s">
        <v>16088</v>
      </c>
      <c r="Y854" t="s">
        <v>16089</v>
      </c>
      <c r="Z854" t="s">
        <v>16090</v>
      </c>
      <c r="AA854" t="s">
        <v>16091</v>
      </c>
      <c r="AB854" t="s">
        <v>16092</v>
      </c>
      <c r="AC854" t="s">
        <v>16093</v>
      </c>
      <c r="AD854" t="s">
        <v>16094</v>
      </c>
      <c r="AE854" t="s">
        <v>16095</v>
      </c>
      <c r="AF854" t="s">
        <v>74</v>
      </c>
      <c r="AG854">
        <v>75</v>
      </c>
      <c r="AH854">
        <v>472</v>
      </c>
      <c r="AI854">
        <v>514</v>
      </c>
      <c r="AJ854">
        <v>18</v>
      </c>
      <c r="AK854">
        <v>293</v>
      </c>
      <c r="AL854" t="s">
        <v>1796</v>
      </c>
      <c r="AM854" t="s">
        <v>142</v>
      </c>
      <c r="AN854" t="s">
        <v>1797</v>
      </c>
      <c r="AO854" t="s">
        <v>1798</v>
      </c>
      <c r="AP854" t="s">
        <v>16096</v>
      </c>
      <c r="AQ854" t="s">
        <v>74</v>
      </c>
      <c r="AR854" t="s">
        <v>1799</v>
      </c>
      <c r="AS854" t="s">
        <v>1800</v>
      </c>
      <c r="AT854" t="s">
        <v>16077</v>
      </c>
      <c r="AU854">
        <v>2016</v>
      </c>
      <c r="AV854">
        <v>113</v>
      </c>
      <c r="AW854">
        <v>48</v>
      </c>
      <c r="AX854" t="s">
        <v>74</v>
      </c>
      <c r="AY854" t="s">
        <v>74</v>
      </c>
      <c r="AZ854" t="s">
        <v>74</v>
      </c>
      <c r="BA854" t="s">
        <v>74</v>
      </c>
      <c r="BB854">
        <v>13785</v>
      </c>
      <c r="BC854">
        <v>13790</v>
      </c>
      <c r="BD854" t="s">
        <v>74</v>
      </c>
      <c r="BE854" t="s">
        <v>16097</v>
      </c>
      <c r="BF854" t="str">
        <f>HYPERLINK("http://dx.doi.org/10.1073/pnas.1606102113","http://dx.doi.org/10.1073/pnas.1606102113")</f>
        <v>http://dx.doi.org/10.1073/pnas.1606102113</v>
      </c>
      <c r="BG854" t="s">
        <v>74</v>
      </c>
      <c r="BH854" t="s">
        <v>74</v>
      </c>
      <c r="BI854">
        <v>6</v>
      </c>
      <c r="BJ854" t="s">
        <v>100</v>
      </c>
      <c r="BK854" t="s">
        <v>101</v>
      </c>
      <c r="BL854" t="s">
        <v>102</v>
      </c>
      <c r="BM854" t="s">
        <v>16098</v>
      </c>
      <c r="BN854">
        <v>27849580</v>
      </c>
      <c r="BO854" t="s">
        <v>11696</v>
      </c>
      <c r="BP854" t="s">
        <v>813</v>
      </c>
      <c r="BQ854" t="s">
        <v>814</v>
      </c>
      <c r="BR854" t="s">
        <v>105</v>
      </c>
      <c r="BS854" t="s">
        <v>16099</v>
      </c>
      <c r="BT854" t="str">
        <f>HYPERLINK("https%3A%2F%2Fwww.webofscience.com%2Fwos%2Fwoscc%2Ffull-record%2FWOS:000388835700073","View Full Record in Web of Science")</f>
        <v>View Full Record in Web of Science</v>
      </c>
    </row>
    <row r="855" spans="1:72" x14ac:dyDescent="0.15">
      <c r="A855" t="s">
        <v>72</v>
      </c>
      <c r="B855" t="s">
        <v>16100</v>
      </c>
      <c r="C855" t="s">
        <v>74</v>
      </c>
      <c r="D855" t="s">
        <v>74</v>
      </c>
      <c r="E855" t="s">
        <v>74</v>
      </c>
      <c r="F855" t="s">
        <v>16101</v>
      </c>
      <c r="G855" t="s">
        <v>74</v>
      </c>
      <c r="H855" t="s">
        <v>74</v>
      </c>
      <c r="I855" t="s">
        <v>16102</v>
      </c>
      <c r="J855" t="s">
        <v>572</v>
      </c>
      <c r="K855" t="s">
        <v>74</v>
      </c>
      <c r="L855" t="s">
        <v>74</v>
      </c>
      <c r="M855" t="s">
        <v>78</v>
      </c>
      <c r="N855" t="s">
        <v>79</v>
      </c>
      <c r="O855" t="s">
        <v>74</v>
      </c>
      <c r="P855" t="s">
        <v>74</v>
      </c>
      <c r="Q855" t="s">
        <v>74</v>
      </c>
      <c r="R855" t="s">
        <v>74</v>
      </c>
      <c r="S855" t="s">
        <v>74</v>
      </c>
      <c r="T855" t="s">
        <v>74</v>
      </c>
      <c r="U855" t="s">
        <v>16103</v>
      </c>
      <c r="V855" t="s">
        <v>16104</v>
      </c>
      <c r="W855" t="s">
        <v>16105</v>
      </c>
      <c r="X855" t="s">
        <v>16106</v>
      </c>
      <c r="Y855" t="s">
        <v>16107</v>
      </c>
      <c r="Z855" t="s">
        <v>16108</v>
      </c>
      <c r="AA855" t="s">
        <v>16109</v>
      </c>
      <c r="AB855" t="s">
        <v>16110</v>
      </c>
      <c r="AC855" t="s">
        <v>16111</v>
      </c>
      <c r="AD855" t="s">
        <v>16112</v>
      </c>
      <c r="AE855" t="s">
        <v>16113</v>
      </c>
      <c r="AF855" t="s">
        <v>74</v>
      </c>
      <c r="AG855">
        <v>51</v>
      </c>
      <c r="AH855">
        <v>26</v>
      </c>
      <c r="AI855">
        <v>31</v>
      </c>
      <c r="AJ855">
        <v>0</v>
      </c>
      <c r="AK855">
        <v>15</v>
      </c>
      <c r="AL855" t="s">
        <v>582</v>
      </c>
      <c r="AM855" t="s">
        <v>583</v>
      </c>
      <c r="AN855" t="s">
        <v>584</v>
      </c>
      <c r="AO855" t="s">
        <v>585</v>
      </c>
      <c r="AP855" t="s">
        <v>74</v>
      </c>
      <c r="AQ855" t="s">
        <v>74</v>
      </c>
      <c r="AR855" t="s">
        <v>586</v>
      </c>
      <c r="AS855" t="s">
        <v>587</v>
      </c>
      <c r="AT855" t="s">
        <v>16077</v>
      </c>
      <c r="AU855">
        <v>2016</v>
      </c>
      <c r="AV855">
        <v>6</v>
      </c>
      <c r="AW855" t="s">
        <v>74</v>
      </c>
      <c r="AX855" t="s">
        <v>74</v>
      </c>
      <c r="AY855" t="s">
        <v>74</v>
      </c>
      <c r="AZ855" t="s">
        <v>74</v>
      </c>
      <c r="BA855" t="s">
        <v>74</v>
      </c>
      <c r="BB855" t="s">
        <v>74</v>
      </c>
      <c r="BC855" t="s">
        <v>74</v>
      </c>
      <c r="BD855">
        <v>36169</v>
      </c>
      <c r="BE855" t="s">
        <v>16114</v>
      </c>
      <c r="BF855" t="str">
        <f>HYPERLINK("http://dx.doi.org/10.1038/srep36169","http://dx.doi.org/10.1038/srep36169")</f>
        <v>http://dx.doi.org/10.1038/srep36169</v>
      </c>
      <c r="BG855" t="s">
        <v>74</v>
      </c>
      <c r="BH855" t="s">
        <v>74</v>
      </c>
      <c r="BI855">
        <v>8</v>
      </c>
      <c r="BJ855" t="s">
        <v>100</v>
      </c>
      <c r="BK855" t="s">
        <v>101</v>
      </c>
      <c r="BL855" t="s">
        <v>102</v>
      </c>
      <c r="BM855" t="s">
        <v>16115</v>
      </c>
      <c r="BN855">
        <v>27897168</v>
      </c>
      <c r="BO855" t="s">
        <v>918</v>
      </c>
      <c r="BP855" t="s">
        <v>74</v>
      </c>
      <c r="BQ855" t="s">
        <v>74</v>
      </c>
      <c r="BR855" t="s">
        <v>105</v>
      </c>
      <c r="BS855" t="s">
        <v>16116</v>
      </c>
      <c r="BT855" t="str">
        <f>HYPERLINK("https%3A%2F%2Fwww.webofscience.com%2Fwos%2Fwoscc%2Ffull-record%2FWOS:000389002100001","View Full Record in Web of Science")</f>
        <v>View Full Record in Web of Science</v>
      </c>
    </row>
    <row r="856" spans="1:72" x14ac:dyDescent="0.15">
      <c r="A856" t="s">
        <v>72</v>
      </c>
      <c r="B856" t="s">
        <v>16117</v>
      </c>
      <c r="C856" t="s">
        <v>74</v>
      </c>
      <c r="D856" t="s">
        <v>74</v>
      </c>
      <c r="E856" t="s">
        <v>74</v>
      </c>
      <c r="F856" t="s">
        <v>16118</v>
      </c>
      <c r="G856" t="s">
        <v>74</v>
      </c>
      <c r="H856" t="s">
        <v>74</v>
      </c>
      <c r="I856" t="s">
        <v>16119</v>
      </c>
      <c r="J856" t="s">
        <v>649</v>
      </c>
      <c r="K856" t="s">
        <v>74</v>
      </c>
      <c r="L856" t="s">
        <v>74</v>
      </c>
      <c r="M856" t="s">
        <v>78</v>
      </c>
      <c r="N856" t="s">
        <v>79</v>
      </c>
      <c r="O856" t="s">
        <v>74</v>
      </c>
      <c r="P856" t="s">
        <v>74</v>
      </c>
      <c r="Q856" t="s">
        <v>74</v>
      </c>
      <c r="R856" t="s">
        <v>74</v>
      </c>
      <c r="S856" t="s">
        <v>74</v>
      </c>
      <c r="T856" t="s">
        <v>74</v>
      </c>
      <c r="U856" t="s">
        <v>16120</v>
      </c>
      <c r="V856" t="s">
        <v>16121</v>
      </c>
      <c r="W856" t="s">
        <v>16122</v>
      </c>
      <c r="X856" t="s">
        <v>16123</v>
      </c>
      <c r="Y856" t="s">
        <v>16124</v>
      </c>
      <c r="Z856" t="s">
        <v>16125</v>
      </c>
      <c r="AA856" t="s">
        <v>16126</v>
      </c>
      <c r="AB856" t="s">
        <v>16127</v>
      </c>
      <c r="AC856" t="s">
        <v>16128</v>
      </c>
      <c r="AD856" t="s">
        <v>16129</v>
      </c>
      <c r="AE856" t="s">
        <v>16130</v>
      </c>
      <c r="AF856" t="s">
        <v>74</v>
      </c>
      <c r="AG856">
        <v>42</v>
      </c>
      <c r="AH856">
        <v>6</v>
      </c>
      <c r="AI856">
        <v>7</v>
      </c>
      <c r="AJ856">
        <v>2</v>
      </c>
      <c r="AK856">
        <v>43</v>
      </c>
      <c r="AL856" t="s">
        <v>661</v>
      </c>
      <c r="AM856" t="s">
        <v>142</v>
      </c>
      <c r="AN856" t="s">
        <v>662</v>
      </c>
      <c r="AO856" t="s">
        <v>663</v>
      </c>
      <c r="AP856" t="s">
        <v>664</v>
      </c>
      <c r="AQ856" t="s">
        <v>74</v>
      </c>
      <c r="AR856" t="s">
        <v>665</v>
      </c>
      <c r="AS856" t="s">
        <v>666</v>
      </c>
      <c r="AT856" t="s">
        <v>16131</v>
      </c>
      <c r="AU856">
        <v>2016</v>
      </c>
      <c r="AV856">
        <v>43</v>
      </c>
      <c r="AW856">
        <v>22</v>
      </c>
      <c r="AX856" t="s">
        <v>74</v>
      </c>
      <c r="AY856" t="s">
        <v>74</v>
      </c>
      <c r="AZ856" t="s">
        <v>74</v>
      </c>
      <c r="BA856" t="s">
        <v>74</v>
      </c>
      <c r="BB856">
        <v>11875</v>
      </c>
      <c r="BC856">
        <v>11883</v>
      </c>
      <c r="BD856" t="s">
        <v>74</v>
      </c>
      <c r="BE856" t="s">
        <v>16132</v>
      </c>
      <c r="BF856" t="str">
        <f>HYPERLINK("http://dx.doi.org/10.1002/2016GL071042","http://dx.doi.org/10.1002/2016GL071042")</f>
        <v>http://dx.doi.org/10.1002/2016GL071042</v>
      </c>
      <c r="BG856" t="s">
        <v>74</v>
      </c>
      <c r="BH856" t="s">
        <v>74</v>
      </c>
      <c r="BI856">
        <v>9</v>
      </c>
      <c r="BJ856" t="s">
        <v>669</v>
      </c>
      <c r="BK856" t="s">
        <v>101</v>
      </c>
      <c r="BL856" t="s">
        <v>670</v>
      </c>
      <c r="BM856" t="s">
        <v>16133</v>
      </c>
      <c r="BN856" t="s">
        <v>74</v>
      </c>
      <c r="BO856" t="s">
        <v>506</v>
      </c>
      <c r="BP856" t="s">
        <v>74</v>
      </c>
      <c r="BQ856" t="s">
        <v>74</v>
      </c>
      <c r="BR856" t="s">
        <v>105</v>
      </c>
      <c r="BS856" t="s">
        <v>16134</v>
      </c>
      <c r="BT856" t="str">
        <f>HYPERLINK("https%3A%2F%2Fwww.webofscience.com%2Fwos%2Fwoscc%2Ffull-record%2FWOS:000393208100046","View Full Record in Web of Science")</f>
        <v>View Full Record in Web of Science</v>
      </c>
    </row>
    <row r="857" spans="1:72" x14ac:dyDescent="0.15">
      <c r="A857" t="s">
        <v>72</v>
      </c>
      <c r="B857" t="s">
        <v>16135</v>
      </c>
      <c r="C857" t="s">
        <v>74</v>
      </c>
      <c r="D857" t="s">
        <v>74</v>
      </c>
      <c r="E857" t="s">
        <v>74</v>
      </c>
      <c r="F857" t="s">
        <v>16136</v>
      </c>
      <c r="G857" t="s">
        <v>74</v>
      </c>
      <c r="H857" t="s">
        <v>74</v>
      </c>
      <c r="I857" t="s">
        <v>16137</v>
      </c>
      <c r="J857" t="s">
        <v>16138</v>
      </c>
      <c r="K857" t="s">
        <v>74</v>
      </c>
      <c r="L857" t="s">
        <v>74</v>
      </c>
      <c r="M857" t="s">
        <v>78</v>
      </c>
      <c r="N857" t="s">
        <v>79</v>
      </c>
      <c r="O857" t="s">
        <v>74</v>
      </c>
      <c r="P857" t="s">
        <v>74</v>
      </c>
      <c r="Q857" t="s">
        <v>74</v>
      </c>
      <c r="R857" t="s">
        <v>74</v>
      </c>
      <c r="S857" t="s">
        <v>74</v>
      </c>
      <c r="T857" t="s">
        <v>16139</v>
      </c>
      <c r="U857" t="s">
        <v>16140</v>
      </c>
      <c r="V857" t="s">
        <v>16141</v>
      </c>
      <c r="W857" t="s">
        <v>16142</v>
      </c>
      <c r="X857" t="s">
        <v>4786</v>
      </c>
      <c r="Y857" t="s">
        <v>16143</v>
      </c>
      <c r="Z857" t="s">
        <v>16144</v>
      </c>
      <c r="AA857" t="s">
        <v>16145</v>
      </c>
      <c r="AB857" t="s">
        <v>16146</v>
      </c>
      <c r="AC857" t="s">
        <v>74</v>
      </c>
      <c r="AD857" t="s">
        <v>74</v>
      </c>
      <c r="AE857" t="s">
        <v>74</v>
      </c>
      <c r="AF857" t="s">
        <v>74</v>
      </c>
      <c r="AG857">
        <v>95</v>
      </c>
      <c r="AH857">
        <v>7</v>
      </c>
      <c r="AI857">
        <v>7</v>
      </c>
      <c r="AJ857">
        <v>0</v>
      </c>
      <c r="AK857">
        <v>41</v>
      </c>
      <c r="AL857" t="s">
        <v>92</v>
      </c>
      <c r="AM857" t="s">
        <v>93</v>
      </c>
      <c r="AN857" t="s">
        <v>94</v>
      </c>
      <c r="AO857" t="s">
        <v>16147</v>
      </c>
      <c r="AP857" t="s">
        <v>16148</v>
      </c>
      <c r="AQ857" t="s">
        <v>74</v>
      </c>
      <c r="AR857" t="s">
        <v>16149</v>
      </c>
      <c r="AS857" t="s">
        <v>16150</v>
      </c>
      <c r="AT857" t="s">
        <v>16131</v>
      </c>
      <c r="AU857">
        <v>2016</v>
      </c>
      <c r="AV857">
        <v>374</v>
      </c>
      <c r="AW857">
        <v>2081</v>
      </c>
      <c r="AX857" t="s">
        <v>74</v>
      </c>
      <c r="AY857" t="s">
        <v>74</v>
      </c>
      <c r="AZ857" t="s">
        <v>74</v>
      </c>
      <c r="BA857" t="s">
        <v>74</v>
      </c>
      <c r="BB857" t="s">
        <v>74</v>
      </c>
      <c r="BC857" t="s">
        <v>74</v>
      </c>
      <c r="BD857">
        <v>20150299</v>
      </c>
      <c r="BE857" t="s">
        <v>16151</v>
      </c>
      <c r="BF857" t="str">
        <f>HYPERLINK("http://dx.doi.org/10.1098/rsta.2015.0299","http://dx.doi.org/10.1098/rsta.2015.0299")</f>
        <v>http://dx.doi.org/10.1098/rsta.2015.0299</v>
      </c>
      <c r="BG857" t="s">
        <v>74</v>
      </c>
      <c r="BH857" t="s">
        <v>74</v>
      </c>
      <c r="BI857">
        <v>20</v>
      </c>
      <c r="BJ857" t="s">
        <v>100</v>
      </c>
      <c r="BK857" t="s">
        <v>101</v>
      </c>
      <c r="BL857" t="s">
        <v>102</v>
      </c>
      <c r="BM857" t="s">
        <v>16152</v>
      </c>
      <c r="BN857">
        <v>29035263</v>
      </c>
      <c r="BO857" t="s">
        <v>1803</v>
      </c>
      <c r="BP857" t="s">
        <v>74</v>
      </c>
      <c r="BQ857" t="s">
        <v>74</v>
      </c>
      <c r="BR857" t="s">
        <v>105</v>
      </c>
      <c r="BS857" t="s">
        <v>16153</v>
      </c>
      <c r="BT857" t="str">
        <f>HYPERLINK("https%3A%2F%2Fwww.webofscience.com%2Fwos%2Fwoscc%2Ffull-record%2FWOS:000391139900013","View Full Record in Web of Science")</f>
        <v>View Full Record in Web of Science</v>
      </c>
    </row>
    <row r="858" spans="1:72" x14ac:dyDescent="0.15">
      <c r="A858" t="s">
        <v>72</v>
      </c>
      <c r="B858" t="s">
        <v>16154</v>
      </c>
      <c r="C858" t="s">
        <v>74</v>
      </c>
      <c r="D858" t="s">
        <v>74</v>
      </c>
      <c r="E858" t="s">
        <v>74</v>
      </c>
      <c r="F858" t="s">
        <v>16155</v>
      </c>
      <c r="G858" t="s">
        <v>74</v>
      </c>
      <c r="H858" t="s">
        <v>74</v>
      </c>
      <c r="I858" t="s">
        <v>16156</v>
      </c>
      <c r="J858" t="s">
        <v>649</v>
      </c>
      <c r="K858" t="s">
        <v>74</v>
      </c>
      <c r="L858" t="s">
        <v>74</v>
      </c>
      <c r="M858" t="s">
        <v>78</v>
      </c>
      <c r="N858" t="s">
        <v>79</v>
      </c>
      <c r="O858" t="s">
        <v>74</v>
      </c>
      <c r="P858" t="s">
        <v>74</v>
      </c>
      <c r="Q858" t="s">
        <v>74</v>
      </c>
      <c r="R858" t="s">
        <v>74</v>
      </c>
      <c r="S858" t="s">
        <v>74</v>
      </c>
      <c r="T858" t="s">
        <v>74</v>
      </c>
      <c r="U858" t="s">
        <v>16157</v>
      </c>
      <c r="V858" t="s">
        <v>16158</v>
      </c>
      <c r="W858" t="s">
        <v>16159</v>
      </c>
      <c r="X858" t="s">
        <v>16160</v>
      </c>
      <c r="Y858" t="s">
        <v>16161</v>
      </c>
      <c r="Z858" t="s">
        <v>16162</v>
      </c>
      <c r="AA858" t="s">
        <v>74</v>
      </c>
      <c r="AB858" t="s">
        <v>16163</v>
      </c>
      <c r="AC858" t="s">
        <v>16164</v>
      </c>
      <c r="AD858" t="s">
        <v>16165</v>
      </c>
      <c r="AE858" t="s">
        <v>16166</v>
      </c>
      <c r="AF858" t="s">
        <v>74</v>
      </c>
      <c r="AG858">
        <v>31</v>
      </c>
      <c r="AH858">
        <v>160</v>
      </c>
      <c r="AI858">
        <v>165</v>
      </c>
      <c r="AJ858">
        <v>5</v>
      </c>
      <c r="AK858">
        <v>21</v>
      </c>
      <c r="AL858" t="s">
        <v>661</v>
      </c>
      <c r="AM858" t="s">
        <v>142</v>
      </c>
      <c r="AN858" t="s">
        <v>662</v>
      </c>
      <c r="AO858" t="s">
        <v>663</v>
      </c>
      <c r="AP858" t="s">
        <v>664</v>
      </c>
      <c r="AQ858" t="s">
        <v>74</v>
      </c>
      <c r="AR858" t="s">
        <v>665</v>
      </c>
      <c r="AS858" t="s">
        <v>666</v>
      </c>
      <c r="AT858" t="s">
        <v>16131</v>
      </c>
      <c r="AU858">
        <v>2016</v>
      </c>
      <c r="AV858">
        <v>43</v>
      </c>
      <c r="AW858">
        <v>22</v>
      </c>
      <c r="AX858" t="s">
        <v>74</v>
      </c>
      <c r="AY858" t="s">
        <v>74</v>
      </c>
      <c r="AZ858" t="s">
        <v>74</v>
      </c>
      <c r="BA858" t="s">
        <v>74</v>
      </c>
      <c r="BB858">
        <v>11760</v>
      </c>
      <c r="BC858">
        <v>11767</v>
      </c>
      <c r="BD858" t="s">
        <v>74</v>
      </c>
      <c r="BE858" t="s">
        <v>16167</v>
      </c>
      <c r="BF858" t="str">
        <f>HYPERLINK("http://dx.doi.org/10.1002/2016GL070319","http://dx.doi.org/10.1002/2016GL070319")</f>
        <v>http://dx.doi.org/10.1002/2016GL070319</v>
      </c>
      <c r="BG858" t="s">
        <v>74</v>
      </c>
      <c r="BH858" t="s">
        <v>74</v>
      </c>
      <c r="BI858">
        <v>8</v>
      </c>
      <c r="BJ858" t="s">
        <v>669</v>
      </c>
      <c r="BK858" t="s">
        <v>101</v>
      </c>
      <c r="BL858" t="s">
        <v>670</v>
      </c>
      <c r="BM858" t="s">
        <v>16133</v>
      </c>
      <c r="BN858" t="s">
        <v>74</v>
      </c>
      <c r="BO858" t="s">
        <v>2028</v>
      </c>
      <c r="BP858" t="s">
        <v>74</v>
      </c>
      <c r="BQ858" t="s">
        <v>74</v>
      </c>
      <c r="BR858" t="s">
        <v>105</v>
      </c>
      <c r="BS858" t="s">
        <v>16168</v>
      </c>
      <c r="BT858" t="str">
        <f>HYPERLINK("https%3A%2F%2Fwww.webofscience.com%2Fwos%2Fwoscc%2Ffull-record%2FWOS:000393208100033","View Full Record in Web of Science")</f>
        <v>View Full Record in Web of Science</v>
      </c>
    </row>
    <row r="859" spans="1:72" x14ac:dyDescent="0.15">
      <c r="A859" t="s">
        <v>72</v>
      </c>
      <c r="B859" t="s">
        <v>16169</v>
      </c>
      <c r="C859" t="s">
        <v>74</v>
      </c>
      <c r="D859" t="s">
        <v>74</v>
      </c>
      <c r="E859" t="s">
        <v>74</v>
      </c>
      <c r="F859" t="s">
        <v>16170</v>
      </c>
      <c r="G859" t="s">
        <v>74</v>
      </c>
      <c r="H859" t="s">
        <v>74</v>
      </c>
      <c r="I859" t="s">
        <v>16171</v>
      </c>
      <c r="J859" t="s">
        <v>16138</v>
      </c>
      <c r="K859" t="s">
        <v>74</v>
      </c>
      <c r="L859" t="s">
        <v>74</v>
      </c>
      <c r="M859" t="s">
        <v>78</v>
      </c>
      <c r="N859" t="s">
        <v>79</v>
      </c>
      <c r="O859" t="s">
        <v>74</v>
      </c>
      <c r="P859" t="s">
        <v>74</v>
      </c>
      <c r="Q859" t="s">
        <v>74</v>
      </c>
      <c r="R859" t="s">
        <v>74</v>
      </c>
      <c r="S859" t="s">
        <v>74</v>
      </c>
      <c r="T859" t="s">
        <v>16172</v>
      </c>
      <c r="U859" t="s">
        <v>16173</v>
      </c>
      <c r="V859" t="s">
        <v>16174</v>
      </c>
      <c r="W859" t="s">
        <v>16175</v>
      </c>
      <c r="X859" t="s">
        <v>16176</v>
      </c>
      <c r="Y859" t="s">
        <v>16177</v>
      </c>
      <c r="Z859" t="s">
        <v>16178</v>
      </c>
      <c r="AA859" t="s">
        <v>16179</v>
      </c>
      <c r="AB859" t="s">
        <v>16180</v>
      </c>
      <c r="AC859" t="s">
        <v>16181</v>
      </c>
      <c r="AD859" t="s">
        <v>16182</v>
      </c>
      <c r="AE859" t="s">
        <v>74</v>
      </c>
      <c r="AF859" t="s">
        <v>74</v>
      </c>
      <c r="AG859">
        <v>108</v>
      </c>
      <c r="AH859">
        <v>63</v>
      </c>
      <c r="AI859">
        <v>68</v>
      </c>
      <c r="AJ859">
        <v>6</v>
      </c>
      <c r="AK859">
        <v>91</v>
      </c>
      <c r="AL859" t="s">
        <v>92</v>
      </c>
      <c r="AM859" t="s">
        <v>93</v>
      </c>
      <c r="AN859" t="s">
        <v>94</v>
      </c>
      <c r="AO859" t="s">
        <v>16147</v>
      </c>
      <c r="AP859" t="s">
        <v>16148</v>
      </c>
      <c r="AQ859" t="s">
        <v>74</v>
      </c>
      <c r="AR859" t="s">
        <v>16149</v>
      </c>
      <c r="AS859" t="s">
        <v>16150</v>
      </c>
      <c r="AT859" t="s">
        <v>16131</v>
      </c>
      <c r="AU859">
        <v>2016</v>
      </c>
      <c r="AV859">
        <v>374</v>
      </c>
      <c r="AW859">
        <v>2081</v>
      </c>
      <c r="AX859" t="s">
        <v>74</v>
      </c>
      <c r="AY859" t="s">
        <v>74</v>
      </c>
      <c r="AZ859" t="s">
        <v>74</v>
      </c>
      <c r="BA859" t="s">
        <v>74</v>
      </c>
      <c r="BB859" t="s">
        <v>74</v>
      </c>
      <c r="BC859" t="s">
        <v>74</v>
      </c>
      <c r="BD859">
        <v>20160076</v>
      </c>
      <c r="BE859" t="s">
        <v>16183</v>
      </c>
      <c r="BF859" t="str">
        <f>HYPERLINK("http://dx.doi.org/10.1098/rsta.2016.0076","http://dx.doi.org/10.1098/rsta.2016.0076")</f>
        <v>http://dx.doi.org/10.1098/rsta.2016.0076</v>
      </c>
      <c r="BG859" t="s">
        <v>74</v>
      </c>
      <c r="BH859" t="s">
        <v>74</v>
      </c>
      <c r="BI859">
        <v>19</v>
      </c>
      <c r="BJ859" t="s">
        <v>100</v>
      </c>
      <c r="BK859" t="s">
        <v>101</v>
      </c>
      <c r="BL859" t="s">
        <v>102</v>
      </c>
      <c r="BM859" t="s">
        <v>16152</v>
      </c>
      <c r="BN859">
        <v>29035267</v>
      </c>
      <c r="BO859" t="s">
        <v>16184</v>
      </c>
      <c r="BP859" t="s">
        <v>74</v>
      </c>
      <c r="BQ859" t="s">
        <v>74</v>
      </c>
      <c r="BR859" t="s">
        <v>105</v>
      </c>
      <c r="BS859" t="s">
        <v>16185</v>
      </c>
      <c r="BT859" t="str">
        <f>HYPERLINK("https%3A%2F%2Fwww.webofscience.com%2Fwos%2Fwoscc%2Ffull-record%2FWOS:000391139900017","View Full Record in Web of Science")</f>
        <v>View Full Record in Web of Science</v>
      </c>
    </row>
    <row r="860" spans="1:72" x14ac:dyDescent="0.15">
      <c r="A860" t="s">
        <v>72</v>
      </c>
      <c r="B860" t="s">
        <v>16186</v>
      </c>
      <c r="C860" t="s">
        <v>74</v>
      </c>
      <c r="D860" t="s">
        <v>74</v>
      </c>
      <c r="E860" t="s">
        <v>74</v>
      </c>
      <c r="F860" t="s">
        <v>16187</v>
      </c>
      <c r="G860" t="s">
        <v>74</v>
      </c>
      <c r="H860" t="s">
        <v>74</v>
      </c>
      <c r="I860" t="s">
        <v>16188</v>
      </c>
      <c r="J860" t="s">
        <v>16138</v>
      </c>
      <c r="K860" t="s">
        <v>74</v>
      </c>
      <c r="L860" t="s">
        <v>74</v>
      </c>
      <c r="M860" t="s">
        <v>78</v>
      </c>
      <c r="N860" t="s">
        <v>79</v>
      </c>
      <c r="O860" t="s">
        <v>74</v>
      </c>
      <c r="P860" t="s">
        <v>74</v>
      </c>
      <c r="Q860" t="s">
        <v>74</v>
      </c>
      <c r="R860" t="s">
        <v>74</v>
      </c>
      <c r="S860" t="s">
        <v>74</v>
      </c>
      <c r="T860" t="s">
        <v>16189</v>
      </c>
      <c r="U860" t="s">
        <v>16190</v>
      </c>
      <c r="V860" t="s">
        <v>16191</v>
      </c>
      <c r="W860" t="s">
        <v>16192</v>
      </c>
      <c r="X860" t="s">
        <v>16193</v>
      </c>
      <c r="Y860" t="s">
        <v>16194</v>
      </c>
      <c r="Z860" t="s">
        <v>16195</v>
      </c>
      <c r="AA860" t="s">
        <v>16196</v>
      </c>
      <c r="AB860" t="s">
        <v>16197</v>
      </c>
      <c r="AC860" t="s">
        <v>74</v>
      </c>
      <c r="AD860" t="s">
        <v>74</v>
      </c>
      <c r="AE860" t="s">
        <v>74</v>
      </c>
      <c r="AF860" t="s">
        <v>74</v>
      </c>
      <c r="AG860">
        <v>104</v>
      </c>
      <c r="AH860">
        <v>23</v>
      </c>
      <c r="AI860">
        <v>24</v>
      </c>
      <c r="AJ860">
        <v>0</v>
      </c>
      <c r="AK860">
        <v>52</v>
      </c>
      <c r="AL860" t="s">
        <v>92</v>
      </c>
      <c r="AM860" t="s">
        <v>93</v>
      </c>
      <c r="AN860" t="s">
        <v>94</v>
      </c>
      <c r="AO860" t="s">
        <v>16147</v>
      </c>
      <c r="AP860" t="s">
        <v>16148</v>
      </c>
      <c r="AQ860" t="s">
        <v>74</v>
      </c>
      <c r="AR860" t="s">
        <v>16149</v>
      </c>
      <c r="AS860" t="s">
        <v>16150</v>
      </c>
      <c r="AT860" t="s">
        <v>16131</v>
      </c>
      <c r="AU860">
        <v>2016</v>
      </c>
      <c r="AV860">
        <v>374</v>
      </c>
      <c r="AW860">
        <v>2081</v>
      </c>
      <c r="AX860" t="s">
        <v>74</v>
      </c>
      <c r="AY860" t="s">
        <v>74</v>
      </c>
      <c r="AZ860" t="s">
        <v>74</v>
      </c>
      <c r="BA860" t="s">
        <v>74</v>
      </c>
      <c r="BB860" t="s">
        <v>74</v>
      </c>
      <c r="BC860" t="s">
        <v>74</v>
      </c>
      <c r="BD860">
        <v>20150292</v>
      </c>
      <c r="BE860" t="s">
        <v>16198</v>
      </c>
      <c r="BF860" t="str">
        <f>HYPERLINK("http://dx.doi.org/10.1098/rsta.2015.0292","http://dx.doi.org/10.1098/rsta.2015.0292")</f>
        <v>http://dx.doi.org/10.1098/rsta.2015.0292</v>
      </c>
      <c r="BG860" t="s">
        <v>74</v>
      </c>
      <c r="BH860" t="s">
        <v>74</v>
      </c>
      <c r="BI860">
        <v>28</v>
      </c>
      <c r="BJ860" t="s">
        <v>100</v>
      </c>
      <c r="BK860" t="s">
        <v>101</v>
      </c>
      <c r="BL860" t="s">
        <v>102</v>
      </c>
      <c r="BM860" t="s">
        <v>16152</v>
      </c>
      <c r="BN860">
        <v>29035257</v>
      </c>
      <c r="BO860" t="s">
        <v>672</v>
      </c>
      <c r="BP860" t="s">
        <v>74</v>
      </c>
      <c r="BQ860" t="s">
        <v>74</v>
      </c>
      <c r="BR860" t="s">
        <v>105</v>
      </c>
      <c r="BS860" t="s">
        <v>16199</v>
      </c>
      <c r="BT860" t="str">
        <f>HYPERLINK("https%3A%2F%2Fwww.webofscience.com%2Fwos%2Fwoscc%2Ffull-record%2FWOS:000391139900007","View Full Record in Web of Science")</f>
        <v>View Full Record in Web of Science</v>
      </c>
    </row>
    <row r="861" spans="1:72" x14ac:dyDescent="0.15">
      <c r="A861" t="s">
        <v>72</v>
      </c>
      <c r="B861" t="s">
        <v>16200</v>
      </c>
      <c r="C861" t="s">
        <v>74</v>
      </c>
      <c r="D861" t="s">
        <v>74</v>
      </c>
      <c r="E861" t="s">
        <v>74</v>
      </c>
      <c r="F861" t="s">
        <v>16201</v>
      </c>
      <c r="G861" t="s">
        <v>74</v>
      </c>
      <c r="H861" t="s">
        <v>74</v>
      </c>
      <c r="I861" t="s">
        <v>16202</v>
      </c>
      <c r="J861" t="s">
        <v>16203</v>
      </c>
      <c r="K861" t="s">
        <v>74</v>
      </c>
      <c r="L861" t="s">
        <v>74</v>
      </c>
      <c r="M861" t="s">
        <v>78</v>
      </c>
      <c r="N861" t="s">
        <v>79</v>
      </c>
      <c r="O861" t="s">
        <v>74</v>
      </c>
      <c r="P861" t="s">
        <v>74</v>
      </c>
      <c r="Q861" t="s">
        <v>74</v>
      </c>
      <c r="R861" t="s">
        <v>74</v>
      </c>
      <c r="S861" t="s">
        <v>74</v>
      </c>
      <c r="T861" t="s">
        <v>16204</v>
      </c>
      <c r="U861" t="s">
        <v>16205</v>
      </c>
      <c r="V861" t="s">
        <v>16206</v>
      </c>
      <c r="W861" t="s">
        <v>16207</v>
      </c>
      <c r="X861" t="s">
        <v>16208</v>
      </c>
      <c r="Y861" t="s">
        <v>16209</v>
      </c>
      <c r="Z861" t="s">
        <v>16210</v>
      </c>
      <c r="AA861" t="s">
        <v>74</v>
      </c>
      <c r="AB861" t="s">
        <v>16211</v>
      </c>
      <c r="AC861" t="s">
        <v>16212</v>
      </c>
      <c r="AD861" t="s">
        <v>16213</v>
      </c>
      <c r="AE861" t="s">
        <v>16214</v>
      </c>
      <c r="AF861" t="s">
        <v>74</v>
      </c>
      <c r="AG861">
        <v>87</v>
      </c>
      <c r="AH861">
        <v>29</v>
      </c>
      <c r="AI861">
        <v>35</v>
      </c>
      <c r="AJ861">
        <v>1</v>
      </c>
      <c r="AK861">
        <v>54</v>
      </c>
      <c r="AL861" t="s">
        <v>264</v>
      </c>
      <c r="AM861" t="s">
        <v>169</v>
      </c>
      <c r="AN861" t="s">
        <v>265</v>
      </c>
      <c r="AO861" t="s">
        <v>16215</v>
      </c>
      <c r="AP861" t="s">
        <v>16216</v>
      </c>
      <c r="AQ861" t="s">
        <v>74</v>
      </c>
      <c r="AR861" t="s">
        <v>16217</v>
      </c>
      <c r="AS861" t="s">
        <v>16218</v>
      </c>
      <c r="AT861" t="s">
        <v>16131</v>
      </c>
      <c r="AU861">
        <v>2016</v>
      </c>
      <c r="AV861">
        <v>442</v>
      </c>
      <c r="AW861" t="s">
        <v>74</v>
      </c>
      <c r="AX861" t="s">
        <v>74</v>
      </c>
      <c r="AY861" t="s">
        <v>74</v>
      </c>
      <c r="AZ861" t="s">
        <v>74</v>
      </c>
      <c r="BA861" t="s">
        <v>74</v>
      </c>
      <c r="BB861">
        <v>174</v>
      </c>
      <c r="BC861">
        <v>186</v>
      </c>
      <c r="BD861" t="s">
        <v>74</v>
      </c>
      <c r="BE861" t="s">
        <v>16219</v>
      </c>
      <c r="BF861" t="str">
        <f>HYPERLINK("http://dx.doi.org/10.1016/j.chemgeo.2016.05.023","http://dx.doi.org/10.1016/j.chemgeo.2016.05.023")</f>
        <v>http://dx.doi.org/10.1016/j.chemgeo.2016.05.023</v>
      </c>
      <c r="BG861" t="s">
        <v>74</v>
      </c>
      <c r="BH861" t="s">
        <v>74</v>
      </c>
      <c r="BI861">
        <v>13</v>
      </c>
      <c r="BJ861" t="s">
        <v>299</v>
      </c>
      <c r="BK861" t="s">
        <v>101</v>
      </c>
      <c r="BL861" t="s">
        <v>299</v>
      </c>
      <c r="BM861" t="s">
        <v>16220</v>
      </c>
      <c r="BN861" t="s">
        <v>74</v>
      </c>
      <c r="BO861" t="s">
        <v>74</v>
      </c>
      <c r="BP861" t="s">
        <v>74</v>
      </c>
      <c r="BQ861" t="s">
        <v>74</v>
      </c>
      <c r="BR861" t="s">
        <v>105</v>
      </c>
      <c r="BS861" t="s">
        <v>16221</v>
      </c>
      <c r="BT861" t="str">
        <f>HYPERLINK("https%3A%2F%2Fwww.webofscience.com%2Fwos%2Fwoscc%2Ffull-record%2FWOS:000386517900017","View Full Record in Web of Science")</f>
        <v>View Full Record in Web of Science</v>
      </c>
    </row>
    <row r="862" spans="1:72" x14ac:dyDescent="0.15">
      <c r="A862" t="s">
        <v>72</v>
      </c>
      <c r="B862" t="s">
        <v>16222</v>
      </c>
      <c r="C862" t="s">
        <v>74</v>
      </c>
      <c r="D862" t="s">
        <v>74</v>
      </c>
      <c r="E862" t="s">
        <v>74</v>
      </c>
      <c r="F862" t="s">
        <v>16223</v>
      </c>
      <c r="G862" t="s">
        <v>74</v>
      </c>
      <c r="H862" t="s">
        <v>74</v>
      </c>
      <c r="I862" t="s">
        <v>16224</v>
      </c>
      <c r="J862" t="s">
        <v>730</v>
      </c>
      <c r="K862" t="s">
        <v>74</v>
      </c>
      <c r="L862" t="s">
        <v>74</v>
      </c>
      <c r="M862" t="s">
        <v>78</v>
      </c>
      <c r="N862" t="s">
        <v>79</v>
      </c>
      <c r="O862" t="s">
        <v>74</v>
      </c>
      <c r="P862" t="s">
        <v>74</v>
      </c>
      <c r="Q862" t="s">
        <v>74</v>
      </c>
      <c r="R862" t="s">
        <v>74</v>
      </c>
      <c r="S862" t="s">
        <v>74</v>
      </c>
      <c r="T862" t="s">
        <v>74</v>
      </c>
      <c r="U862" t="s">
        <v>16225</v>
      </c>
      <c r="V862" t="s">
        <v>16226</v>
      </c>
      <c r="W862" t="s">
        <v>16227</v>
      </c>
      <c r="X862" t="s">
        <v>16228</v>
      </c>
      <c r="Y862" t="s">
        <v>16229</v>
      </c>
      <c r="Z862" t="s">
        <v>16230</v>
      </c>
      <c r="AA862" t="s">
        <v>16231</v>
      </c>
      <c r="AB862" t="s">
        <v>16232</v>
      </c>
      <c r="AC862" t="s">
        <v>16233</v>
      </c>
      <c r="AD862" t="s">
        <v>16234</v>
      </c>
      <c r="AE862" t="s">
        <v>16235</v>
      </c>
      <c r="AF862" t="s">
        <v>74</v>
      </c>
      <c r="AG862">
        <v>63</v>
      </c>
      <c r="AH862">
        <v>6</v>
      </c>
      <c r="AI862">
        <v>6</v>
      </c>
      <c r="AJ862">
        <v>0</v>
      </c>
      <c r="AK862">
        <v>22</v>
      </c>
      <c r="AL862" t="s">
        <v>661</v>
      </c>
      <c r="AM862" t="s">
        <v>142</v>
      </c>
      <c r="AN862" t="s">
        <v>662</v>
      </c>
      <c r="AO862" t="s">
        <v>742</v>
      </c>
      <c r="AP862" t="s">
        <v>743</v>
      </c>
      <c r="AQ862" t="s">
        <v>74</v>
      </c>
      <c r="AR862" t="s">
        <v>744</v>
      </c>
      <c r="AS862" t="s">
        <v>745</v>
      </c>
      <c r="AT862" t="s">
        <v>16236</v>
      </c>
      <c r="AU862">
        <v>2016</v>
      </c>
      <c r="AV862">
        <v>121</v>
      </c>
      <c r="AW862">
        <v>22</v>
      </c>
      <c r="AX862" t="s">
        <v>74</v>
      </c>
      <c r="AY862" t="s">
        <v>74</v>
      </c>
      <c r="AZ862" t="s">
        <v>74</v>
      </c>
      <c r="BA862" t="s">
        <v>74</v>
      </c>
      <c r="BB862">
        <v>13768</v>
      </c>
      <c r="BC862">
        <v>13783</v>
      </c>
      <c r="BD862" t="s">
        <v>74</v>
      </c>
      <c r="BE862" t="s">
        <v>16237</v>
      </c>
      <c r="BF862" t="str">
        <f>HYPERLINK("http://dx.doi.org/10.1002/2016JD025710","http://dx.doi.org/10.1002/2016JD025710")</f>
        <v>http://dx.doi.org/10.1002/2016JD025710</v>
      </c>
      <c r="BG862" t="s">
        <v>74</v>
      </c>
      <c r="BH862" t="s">
        <v>74</v>
      </c>
      <c r="BI862">
        <v>16</v>
      </c>
      <c r="BJ862" t="s">
        <v>747</v>
      </c>
      <c r="BK862" t="s">
        <v>101</v>
      </c>
      <c r="BL862" t="s">
        <v>747</v>
      </c>
      <c r="BM862" t="s">
        <v>16238</v>
      </c>
      <c r="BN862" t="s">
        <v>74</v>
      </c>
      <c r="BO862" t="s">
        <v>74</v>
      </c>
      <c r="BP862" t="s">
        <v>74</v>
      </c>
      <c r="BQ862" t="s">
        <v>74</v>
      </c>
      <c r="BR862" t="s">
        <v>105</v>
      </c>
      <c r="BS862" t="s">
        <v>16239</v>
      </c>
      <c r="BT862" t="str">
        <f>HYPERLINK("https%3A%2F%2Fwww.webofscience.com%2Fwos%2Fwoscc%2Ffull-record%2FWOS:000393127800031","View Full Record in Web of Science")</f>
        <v>View Full Record in Web of Science</v>
      </c>
    </row>
    <row r="863" spans="1:72" x14ac:dyDescent="0.15">
      <c r="A863" t="s">
        <v>72</v>
      </c>
      <c r="B863" t="s">
        <v>16240</v>
      </c>
      <c r="C863" t="s">
        <v>74</v>
      </c>
      <c r="D863" t="s">
        <v>74</v>
      </c>
      <c r="E863" t="s">
        <v>74</v>
      </c>
      <c r="F863" t="s">
        <v>16241</v>
      </c>
      <c r="G863" t="s">
        <v>74</v>
      </c>
      <c r="H863" t="s">
        <v>74</v>
      </c>
      <c r="I863" t="s">
        <v>16242</v>
      </c>
      <c r="J863" t="s">
        <v>1008</v>
      </c>
      <c r="K863" t="s">
        <v>74</v>
      </c>
      <c r="L863" t="s">
        <v>74</v>
      </c>
      <c r="M863" t="s">
        <v>78</v>
      </c>
      <c r="N863" t="s">
        <v>79</v>
      </c>
      <c r="O863" t="s">
        <v>74</v>
      </c>
      <c r="P863" t="s">
        <v>74</v>
      </c>
      <c r="Q863" t="s">
        <v>74</v>
      </c>
      <c r="R863" t="s">
        <v>74</v>
      </c>
      <c r="S863" t="s">
        <v>74</v>
      </c>
      <c r="T863" t="s">
        <v>16243</v>
      </c>
      <c r="U863" t="s">
        <v>16244</v>
      </c>
      <c r="V863" t="s">
        <v>16245</v>
      </c>
      <c r="W863" t="s">
        <v>16246</v>
      </c>
      <c r="X863" t="s">
        <v>16247</v>
      </c>
      <c r="Y863" t="s">
        <v>16248</v>
      </c>
      <c r="Z863" t="s">
        <v>16249</v>
      </c>
      <c r="AA863" t="s">
        <v>74</v>
      </c>
      <c r="AB863" t="s">
        <v>16250</v>
      </c>
      <c r="AC863" t="s">
        <v>16251</v>
      </c>
      <c r="AD863" t="s">
        <v>16252</v>
      </c>
      <c r="AE863" t="s">
        <v>16253</v>
      </c>
      <c r="AF863" t="s">
        <v>74</v>
      </c>
      <c r="AG863">
        <v>39</v>
      </c>
      <c r="AH863">
        <v>10</v>
      </c>
      <c r="AI863">
        <v>11</v>
      </c>
      <c r="AJ863">
        <v>0</v>
      </c>
      <c r="AK863">
        <v>14</v>
      </c>
      <c r="AL863" t="s">
        <v>909</v>
      </c>
      <c r="AM863" t="s">
        <v>93</v>
      </c>
      <c r="AN863" t="s">
        <v>910</v>
      </c>
      <c r="AO863" t="s">
        <v>1023</v>
      </c>
      <c r="AP863" t="s">
        <v>74</v>
      </c>
      <c r="AQ863" t="s">
        <v>74</v>
      </c>
      <c r="AR863" t="s">
        <v>1008</v>
      </c>
      <c r="AS863" t="s">
        <v>1024</v>
      </c>
      <c r="AT863" t="s">
        <v>16254</v>
      </c>
      <c r="AU863">
        <v>2016</v>
      </c>
      <c r="AV863">
        <v>17</v>
      </c>
      <c r="AW863" t="s">
        <v>74</v>
      </c>
      <c r="AX863" t="s">
        <v>74</v>
      </c>
      <c r="AY863" t="s">
        <v>74</v>
      </c>
      <c r="AZ863" t="s">
        <v>74</v>
      </c>
      <c r="BA863" t="s">
        <v>74</v>
      </c>
      <c r="BB863" t="s">
        <v>74</v>
      </c>
      <c r="BC863" t="s">
        <v>74</v>
      </c>
      <c r="BD863">
        <v>970</v>
      </c>
      <c r="BE863" t="s">
        <v>16255</v>
      </c>
      <c r="BF863" t="str">
        <f>HYPERLINK("http://dx.doi.org/10.1186/s12864-016-3311-0","http://dx.doi.org/10.1186/s12864-016-3311-0")</f>
        <v>http://dx.doi.org/10.1186/s12864-016-3311-0</v>
      </c>
      <c r="BG863" t="s">
        <v>74</v>
      </c>
      <c r="BH863" t="s">
        <v>74</v>
      </c>
      <c r="BI863">
        <v>17</v>
      </c>
      <c r="BJ863" t="s">
        <v>1027</v>
      </c>
      <c r="BK863" t="s">
        <v>101</v>
      </c>
      <c r="BL863" t="s">
        <v>1027</v>
      </c>
      <c r="BM863" t="s">
        <v>16256</v>
      </c>
      <c r="BN863">
        <v>27881075</v>
      </c>
      <c r="BO863" t="s">
        <v>591</v>
      </c>
      <c r="BP863" t="s">
        <v>74</v>
      </c>
      <c r="BQ863" t="s">
        <v>74</v>
      </c>
      <c r="BR863" t="s">
        <v>105</v>
      </c>
      <c r="BS863" t="s">
        <v>16257</v>
      </c>
      <c r="BT863" t="str">
        <f>HYPERLINK("https%3A%2F%2Fwww.webofscience.com%2Fwos%2Fwoscc%2Ffull-record%2FWOS:000388773300006","View Full Record in Web of Science")</f>
        <v>View Full Record in Web of Science</v>
      </c>
    </row>
    <row r="864" spans="1:72" x14ac:dyDescent="0.15">
      <c r="A864" t="s">
        <v>72</v>
      </c>
      <c r="B864" t="s">
        <v>16258</v>
      </c>
      <c r="C864" t="s">
        <v>74</v>
      </c>
      <c r="D864" t="s">
        <v>74</v>
      </c>
      <c r="E864" t="s">
        <v>74</v>
      </c>
      <c r="F864" t="s">
        <v>16259</v>
      </c>
      <c r="G864" t="s">
        <v>74</v>
      </c>
      <c r="H864" t="s">
        <v>74</v>
      </c>
      <c r="I864" t="s">
        <v>16260</v>
      </c>
      <c r="J864" t="s">
        <v>16261</v>
      </c>
      <c r="K864" t="s">
        <v>74</v>
      </c>
      <c r="L864" t="s">
        <v>74</v>
      </c>
      <c r="M864" t="s">
        <v>78</v>
      </c>
      <c r="N864" t="s">
        <v>79</v>
      </c>
      <c r="O864" t="s">
        <v>74</v>
      </c>
      <c r="P864" t="s">
        <v>74</v>
      </c>
      <c r="Q864" t="s">
        <v>74</v>
      </c>
      <c r="R864" t="s">
        <v>74</v>
      </c>
      <c r="S864" t="s">
        <v>74</v>
      </c>
      <c r="T864" t="s">
        <v>16262</v>
      </c>
      <c r="U864" t="s">
        <v>16263</v>
      </c>
      <c r="V864" t="s">
        <v>16264</v>
      </c>
      <c r="W864" t="s">
        <v>16265</v>
      </c>
      <c r="X864" t="s">
        <v>16266</v>
      </c>
      <c r="Y864" t="s">
        <v>16267</v>
      </c>
      <c r="Z864" t="s">
        <v>16268</v>
      </c>
      <c r="AA864" t="s">
        <v>16269</v>
      </c>
      <c r="AB864" t="s">
        <v>16270</v>
      </c>
      <c r="AC864" t="s">
        <v>16271</v>
      </c>
      <c r="AD864" t="s">
        <v>16272</v>
      </c>
      <c r="AE864" t="s">
        <v>16273</v>
      </c>
      <c r="AF864" t="s">
        <v>74</v>
      </c>
      <c r="AG864">
        <v>62</v>
      </c>
      <c r="AH864">
        <v>11</v>
      </c>
      <c r="AI864">
        <v>12</v>
      </c>
      <c r="AJ864">
        <v>0</v>
      </c>
      <c r="AK864">
        <v>17</v>
      </c>
      <c r="AL864" t="s">
        <v>168</v>
      </c>
      <c r="AM864" t="s">
        <v>169</v>
      </c>
      <c r="AN864" t="s">
        <v>170</v>
      </c>
      <c r="AO864" t="s">
        <v>16274</v>
      </c>
      <c r="AP864" t="s">
        <v>16275</v>
      </c>
      <c r="AQ864" t="s">
        <v>74</v>
      </c>
      <c r="AR864" t="s">
        <v>16276</v>
      </c>
      <c r="AS864" t="s">
        <v>16277</v>
      </c>
      <c r="AT864" t="s">
        <v>16254</v>
      </c>
      <c r="AU864">
        <v>2016</v>
      </c>
      <c r="AV864">
        <v>340</v>
      </c>
      <c r="AW864" t="s">
        <v>74</v>
      </c>
      <c r="AX864" t="s">
        <v>74</v>
      </c>
      <c r="AY864" t="s">
        <v>74</v>
      </c>
      <c r="AZ864" t="s">
        <v>74</v>
      </c>
      <c r="BA864" t="s">
        <v>74</v>
      </c>
      <c r="BB864">
        <v>45</v>
      </c>
      <c r="BC864">
        <v>56</v>
      </c>
      <c r="BD864" t="s">
        <v>74</v>
      </c>
      <c r="BE864" t="s">
        <v>16278</v>
      </c>
      <c r="BF864" t="str">
        <f>HYPERLINK("http://dx.doi.org/10.1016/j.ecolmodel.2016.08.013","http://dx.doi.org/10.1016/j.ecolmodel.2016.08.013")</f>
        <v>http://dx.doi.org/10.1016/j.ecolmodel.2016.08.013</v>
      </c>
      <c r="BG864" t="s">
        <v>74</v>
      </c>
      <c r="BH864" t="s">
        <v>74</v>
      </c>
      <c r="BI864">
        <v>12</v>
      </c>
      <c r="BJ864" t="s">
        <v>1739</v>
      </c>
      <c r="BK864" t="s">
        <v>101</v>
      </c>
      <c r="BL864" t="s">
        <v>178</v>
      </c>
      <c r="BM864" t="s">
        <v>16279</v>
      </c>
      <c r="BN864" t="s">
        <v>74</v>
      </c>
      <c r="BO864" t="s">
        <v>16280</v>
      </c>
      <c r="BP864" t="s">
        <v>74</v>
      </c>
      <c r="BQ864" t="s">
        <v>74</v>
      </c>
      <c r="BR864" t="s">
        <v>105</v>
      </c>
      <c r="BS864" t="s">
        <v>16281</v>
      </c>
      <c r="BT864" t="str">
        <f>HYPERLINK("https%3A%2F%2Fwww.webofscience.com%2Fwos%2Fwoscc%2Ffull-record%2FWOS:000386403600005","View Full Record in Web of Science")</f>
        <v>View Full Record in Web of Science</v>
      </c>
    </row>
    <row r="865" spans="1:72" x14ac:dyDescent="0.15">
      <c r="A865" t="s">
        <v>72</v>
      </c>
      <c r="B865" t="s">
        <v>16282</v>
      </c>
      <c r="C865" t="s">
        <v>74</v>
      </c>
      <c r="D865" t="s">
        <v>74</v>
      </c>
      <c r="E865" t="s">
        <v>74</v>
      </c>
      <c r="F865" t="s">
        <v>16283</v>
      </c>
      <c r="G865" t="s">
        <v>74</v>
      </c>
      <c r="H865" t="s">
        <v>74</v>
      </c>
      <c r="I865" t="s">
        <v>16284</v>
      </c>
      <c r="J865" t="s">
        <v>12348</v>
      </c>
      <c r="K865" t="s">
        <v>74</v>
      </c>
      <c r="L865" t="s">
        <v>74</v>
      </c>
      <c r="M865" t="s">
        <v>78</v>
      </c>
      <c r="N865" t="s">
        <v>79</v>
      </c>
      <c r="O865" t="s">
        <v>74</v>
      </c>
      <c r="P865" t="s">
        <v>74</v>
      </c>
      <c r="Q865" t="s">
        <v>74</v>
      </c>
      <c r="R865" t="s">
        <v>74</v>
      </c>
      <c r="S865" t="s">
        <v>74</v>
      </c>
      <c r="T865" t="s">
        <v>16285</v>
      </c>
      <c r="U865" t="s">
        <v>16286</v>
      </c>
      <c r="V865" t="s">
        <v>16287</v>
      </c>
      <c r="W865" t="s">
        <v>16288</v>
      </c>
      <c r="X865" t="s">
        <v>16289</v>
      </c>
      <c r="Y865" t="s">
        <v>16290</v>
      </c>
      <c r="Z865" t="s">
        <v>16291</v>
      </c>
      <c r="AA865" t="s">
        <v>16292</v>
      </c>
      <c r="AB865" t="s">
        <v>16293</v>
      </c>
      <c r="AC865" t="s">
        <v>16294</v>
      </c>
      <c r="AD865" t="s">
        <v>16295</v>
      </c>
      <c r="AE865" t="s">
        <v>16296</v>
      </c>
      <c r="AF865" t="s">
        <v>74</v>
      </c>
      <c r="AG865">
        <v>112</v>
      </c>
      <c r="AH865">
        <v>31</v>
      </c>
      <c r="AI865">
        <v>35</v>
      </c>
      <c r="AJ865">
        <v>2</v>
      </c>
      <c r="AK865">
        <v>33</v>
      </c>
      <c r="AL865" t="s">
        <v>1731</v>
      </c>
      <c r="AM865" t="s">
        <v>1732</v>
      </c>
      <c r="AN865" t="s">
        <v>1733</v>
      </c>
      <c r="AO865" t="s">
        <v>74</v>
      </c>
      <c r="AP865" t="s">
        <v>12361</v>
      </c>
      <c r="AQ865" t="s">
        <v>74</v>
      </c>
      <c r="AR865" t="s">
        <v>12362</v>
      </c>
      <c r="AS865" t="s">
        <v>12363</v>
      </c>
      <c r="AT865" t="s">
        <v>16297</v>
      </c>
      <c r="AU865">
        <v>2016</v>
      </c>
      <c r="AV865">
        <v>7</v>
      </c>
      <c r="AW865" t="s">
        <v>74</v>
      </c>
      <c r="AX865" t="s">
        <v>74</v>
      </c>
      <c r="AY865" t="s">
        <v>74</v>
      </c>
      <c r="AZ865" t="s">
        <v>74</v>
      </c>
      <c r="BA865" t="s">
        <v>74</v>
      </c>
      <c r="BB865" t="s">
        <v>74</v>
      </c>
      <c r="BC865" t="s">
        <v>74</v>
      </c>
      <c r="BD865">
        <v>1884</v>
      </c>
      <c r="BE865" t="s">
        <v>16298</v>
      </c>
      <c r="BF865" t="str">
        <f>HYPERLINK("http://dx.doi.org/10.3389/fmicb.2016.01884","http://dx.doi.org/10.3389/fmicb.2016.01884")</f>
        <v>http://dx.doi.org/10.3389/fmicb.2016.01884</v>
      </c>
      <c r="BG865" t="s">
        <v>74</v>
      </c>
      <c r="BH865" t="s">
        <v>74</v>
      </c>
      <c r="BI865">
        <v>18</v>
      </c>
      <c r="BJ865" t="s">
        <v>2026</v>
      </c>
      <c r="BK865" t="s">
        <v>101</v>
      </c>
      <c r="BL865" t="s">
        <v>2026</v>
      </c>
      <c r="BM865" t="s">
        <v>16299</v>
      </c>
      <c r="BN865">
        <v>27933047</v>
      </c>
      <c r="BO865" t="s">
        <v>591</v>
      </c>
      <c r="BP865" t="s">
        <v>74</v>
      </c>
      <c r="BQ865" t="s">
        <v>74</v>
      </c>
      <c r="BR865" t="s">
        <v>105</v>
      </c>
      <c r="BS865" t="s">
        <v>16300</v>
      </c>
      <c r="BT865" t="str">
        <f>HYPERLINK("https%3A%2F%2Fwww.webofscience.com%2Fwos%2Fwoscc%2Ffull-record%2FWOS:000388759500001","View Full Record in Web of Science")</f>
        <v>View Full Record in Web of Science</v>
      </c>
    </row>
    <row r="866" spans="1:72" x14ac:dyDescent="0.15">
      <c r="A866" t="s">
        <v>72</v>
      </c>
      <c r="B866" t="s">
        <v>16301</v>
      </c>
      <c r="C866" t="s">
        <v>74</v>
      </c>
      <c r="D866" t="s">
        <v>74</v>
      </c>
      <c r="E866" t="s">
        <v>74</v>
      </c>
      <c r="F866" t="s">
        <v>16302</v>
      </c>
      <c r="G866" t="s">
        <v>74</v>
      </c>
      <c r="H866" t="s">
        <v>74</v>
      </c>
      <c r="I866" t="s">
        <v>16303</v>
      </c>
      <c r="J866" t="s">
        <v>572</v>
      </c>
      <c r="K866" t="s">
        <v>74</v>
      </c>
      <c r="L866" t="s">
        <v>74</v>
      </c>
      <c r="M866" t="s">
        <v>78</v>
      </c>
      <c r="N866" t="s">
        <v>79</v>
      </c>
      <c r="O866" t="s">
        <v>74</v>
      </c>
      <c r="P866" t="s">
        <v>74</v>
      </c>
      <c r="Q866" t="s">
        <v>74</v>
      </c>
      <c r="R866" t="s">
        <v>74</v>
      </c>
      <c r="S866" t="s">
        <v>74</v>
      </c>
      <c r="T866" t="s">
        <v>74</v>
      </c>
      <c r="U866" t="s">
        <v>16304</v>
      </c>
      <c r="V866" t="s">
        <v>16305</v>
      </c>
      <c r="W866" t="s">
        <v>16306</v>
      </c>
      <c r="X866" t="s">
        <v>16307</v>
      </c>
      <c r="Y866" t="s">
        <v>16308</v>
      </c>
      <c r="Z866" t="s">
        <v>16309</v>
      </c>
      <c r="AA866" t="s">
        <v>16310</v>
      </c>
      <c r="AB866" t="s">
        <v>16311</v>
      </c>
      <c r="AC866" t="s">
        <v>16312</v>
      </c>
      <c r="AD866" t="s">
        <v>16313</v>
      </c>
      <c r="AE866" t="s">
        <v>16314</v>
      </c>
      <c r="AF866" t="s">
        <v>74</v>
      </c>
      <c r="AG866">
        <v>95</v>
      </c>
      <c r="AH866">
        <v>23</v>
      </c>
      <c r="AI866">
        <v>25</v>
      </c>
      <c r="AJ866">
        <v>1</v>
      </c>
      <c r="AK866">
        <v>23</v>
      </c>
      <c r="AL866" t="s">
        <v>582</v>
      </c>
      <c r="AM866" t="s">
        <v>583</v>
      </c>
      <c r="AN866" t="s">
        <v>584</v>
      </c>
      <c r="AO866" t="s">
        <v>585</v>
      </c>
      <c r="AP866" t="s">
        <v>74</v>
      </c>
      <c r="AQ866" t="s">
        <v>74</v>
      </c>
      <c r="AR866" t="s">
        <v>586</v>
      </c>
      <c r="AS866" t="s">
        <v>587</v>
      </c>
      <c r="AT866" t="s">
        <v>16315</v>
      </c>
      <c r="AU866">
        <v>2016</v>
      </c>
      <c r="AV866">
        <v>6</v>
      </c>
      <c r="AW866" t="s">
        <v>74</v>
      </c>
      <c r="AX866" t="s">
        <v>74</v>
      </c>
      <c r="AY866" t="s">
        <v>74</v>
      </c>
      <c r="AZ866" t="s">
        <v>74</v>
      </c>
      <c r="BA866" t="s">
        <v>74</v>
      </c>
      <c r="BB866" t="s">
        <v>74</v>
      </c>
      <c r="BC866" t="s">
        <v>74</v>
      </c>
      <c r="BD866">
        <v>37454</v>
      </c>
      <c r="BE866" t="s">
        <v>16316</v>
      </c>
      <c r="BF866" t="str">
        <f>HYPERLINK("http://dx.doi.org/10.1038/srep37454","http://dx.doi.org/10.1038/srep37454")</f>
        <v>http://dx.doi.org/10.1038/srep37454</v>
      </c>
      <c r="BG866" t="s">
        <v>74</v>
      </c>
      <c r="BH866" t="s">
        <v>74</v>
      </c>
      <c r="BI866">
        <v>17</v>
      </c>
      <c r="BJ866" t="s">
        <v>100</v>
      </c>
      <c r="BK866" t="s">
        <v>101</v>
      </c>
      <c r="BL866" t="s">
        <v>102</v>
      </c>
      <c r="BM866" t="s">
        <v>16317</v>
      </c>
      <c r="BN866">
        <v>27874045</v>
      </c>
      <c r="BO866" t="s">
        <v>591</v>
      </c>
      <c r="BP866" t="s">
        <v>74</v>
      </c>
      <c r="BQ866" t="s">
        <v>74</v>
      </c>
      <c r="BR866" t="s">
        <v>105</v>
      </c>
      <c r="BS866" t="s">
        <v>16318</v>
      </c>
      <c r="BT866" t="str">
        <f>HYPERLINK("https%3A%2F%2Fwww.webofscience.com%2Fwos%2Fwoscc%2Ffull-record%2FWOS:000388231600001","View Full Record in Web of Science")</f>
        <v>View Full Record in Web of Science</v>
      </c>
    </row>
    <row r="867" spans="1:72" x14ac:dyDescent="0.15">
      <c r="A867" t="s">
        <v>72</v>
      </c>
      <c r="B867" t="s">
        <v>16319</v>
      </c>
      <c r="C867" t="s">
        <v>74</v>
      </c>
      <c r="D867" t="s">
        <v>74</v>
      </c>
      <c r="E867" t="s">
        <v>74</v>
      </c>
      <c r="F867" t="s">
        <v>16320</v>
      </c>
      <c r="G867" t="s">
        <v>74</v>
      </c>
      <c r="H867" t="s">
        <v>74</v>
      </c>
      <c r="I867" t="s">
        <v>16321</v>
      </c>
      <c r="J867" t="s">
        <v>964</v>
      </c>
      <c r="K867" t="s">
        <v>74</v>
      </c>
      <c r="L867" t="s">
        <v>74</v>
      </c>
      <c r="M867" t="s">
        <v>78</v>
      </c>
      <c r="N867" t="s">
        <v>79</v>
      </c>
      <c r="O867" t="s">
        <v>74</v>
      </c>
      <c r="P867" t="s">
        <v>74</v>
      </c>
      <c r="Q867" t="s">
        <v>74</v>
      </c>
      <c r="R867" t="s">
        <v>74</v>
      </c>
      <c r="S867" t="s">
        <v>74</v>
      </c>
      <c r="T867" t="s">
        <v>74</v>
      </c>
      <c r="U867" t="s">
        <v>16322</v>
      </c>
      <c r="V867" t="s">
        <v>16323</v>
      </c>
      <c r="W867" t="s">
        <v>16324</v>
      </c>
      <c r="X867" t="s">
        <v>16325</v>
      </c>
      <c r="Y867" t="s">
        <v>16326</v>
      </c>
      <c r="Z867" t="s">
        <v>16327</v>
      </c>
      <c r="AA867" t="s">
        <v>16328</v>
      </c>
      <c r="AB867" t="s">
        <v>16329</v>
      </c>
      <c r="AC867" t="s">
        <v>16330</v>
      </c>
      <c r="AD867" t="s">
        <v>16331</v>
      </c>
      <c r="AE867" t="s">
        <v>16332</v>
      </c>
      <c r="AF867" t="s">
        <v>74</v>
      </c>
      <c r="AG867">
        <v>384</v>
      </c>
      <c r="AH867">
        <v>49</v>
      </c>
      <c r="AI867">
        <v>58</v>
      </c>
      <c r="AJ867">
        <v>1</v>
      </c>
      <c r="AK867">
        <v>75</v>
      </c>
      <c r="AL867" t="s">
        <v>608</v>
      </c>
      <c r="AM867" t="s">
        <v>609</v>
      </c>
      <c r="AN867" t="s">
        <v>610</v>
      </c>
      <c r="AO867" t="s">
        <v>975</v>
      </c>
      <c r="AP867" t="s">
        <v>976</v>
      </c>
      <c r="AQ867" t="s">
        <v>74</v>
      </c>
      <c r="AR867" t="s">
        <v>977</v>
      </c>
      <c r="AS867" t="s">
        <v>978</v>
      </c>
      <c r="AT867" t="s">
        <v>16315</v>
      </c>
      <c r="AU867">
        <v>2016</v>
      </c>
      <c r="AV867">
        <v>16</v>
      </c>
      <c r="AW867">
        <v>22</v>
      </c>
      <c r="AX867" t="s">
        <v>74</v>
      </c>
      <c r="AY867" t="s">
        <v>74</v>
      </c>
      <c r="AZ867" t="s">
        <v>74</v>
      </c>
      <c r="BA867" t="s">
        <v>74</v>
      </c>
      <c r="BB867">
        <v>14421</v>
      </c>
      <c r="BC867">
        <v>14461</v>
      </c>
      <c r="BD867" t="s">
        <v>74</v>
      </c>
      <c r="BE867" t="s">
        <v>16333</v>
      </c>
      <c r="BF867" t="str">
        <f>HYPERLINK("http://dx.doi.org/10.5194/acp-16-14421-2016","http://dx.doi.org/10.5194/acp-16-14421-2016")</f>
        <v>http://dx.doi.org/10.5194/acp-16-14421-2016</v>
      </c>
      <c r="BG867" t="s">
        <v>74</v>
      </c>
      <c r="BH867" t="s">
        <v>74</v>
      </c>
      <c r="BI867">
        <v>41</v>
      </c>
      <c r="BJ867" t="s">
        <v>981</v>
      </c>
      <c r="BK867" t="s">
        <v>101</v>
      </c>
      <c r="BL867" t="s">
        <v>982</v>
      </c>
      <c r="BM867" t="s">
        <v>16334</v>
      </c>
      <c r="BN867" t="s">
        <v>74</v>
      </c>
      <c r="BO867" t="s">
        <v>725</v>
      </c>
      <c r="BP867" t="s">
        <v>74</v>
      </c>
      <c r="BQ867" t="s">
        <v>74</v>
      </c>
      <c r="BR867" t="s">
        <v>105</v>
      </c>
      <c r="BS867" t="s">
        <v>16335</v>
      </c>
      <c r="BT867" t="str">
        <f>HYPERLINK("https%3A%2F%2Fwww.webofscience.com%2Fwos%2Fwoscc%2Ffull-record%2FWOS:000388187800001","View Full Record in Web of Science")</f>
        <v>View Full Record in Web of Science</v>
      </c>
    </row>
    <row r="868" spans="1:72" x14ac:dyDescent="0.15">
      <c r="A868" t="s">
        <v>72</v>
      </c>
      <c r="B868" t="s">
        <v>16336</v>
      </c>
      <c r="C868" t="s">
        <v>74</v>
      </c>
      <c r="D868" t="s">
        <v>74</v>
      </c>
      <c r="E868" t="s">
        <v>74</v>
      </c>
      <c r="F868" t="s">
        <v>16337</v>
      </c>
      <c r="G868" t="s">
        <v>74</v>
      </c>
      <c r="H868" t="s">
        <v>74</v>
      </c>
      <c r="I868" t="s">
        <v>16338</v>
      </c>
      <c r="J868" t="s">
        <v>572</v>
      </c>
      <c r="K868" t="s">
        <v>74</v>
      </c>
      <c r="L868" t="s">
        <v>74</v>
      </c>
      <c r="M868" t="s">
        <v>78</v>
      </c>
      <c r="N868" t="s">
        <v>79</v>
      </c>
      <c r="O868" t="s">
        <v>74</v>
      </c>
      <c r="P868" t="s">
        <v>74</v>
      </c>
      <c r="Q868" t="s">
        <v>74</v>
      </c>
      <c r="R868" t="s">
        <v>74</v>
      </c>
      <c r="S868" t="s">
        <v>74</v>
      </c>
      <c r="T868" t="s">
        <v>74</v>
      </c>
      <c r="U868" t="s">
        <v>16339</v>
      </c>
      <c r="V868" t="s">
        <v>16340</v>
      </c>
      <c r="W868" t="s">
        <v>16341</v>
      </c>
      <c r="X868" t="s">
        <v>16342</v>
      </c>
      <c r="Y868" t="s">
        <v>16343</v>
      </c>
      <c r="Z868" t="s">
        <v>16344</v>
      </c>
      <c r="AA868" t="s">
        <v>16345</v>
      </c>
      <c r="AB868" t="s">
        <v>16346</v>
      </c>
      <c r="AC868" t="s">
        <v>16347</v>
      </c>
      <c r="AD868" t="s">
        <v>16348</v>
      </c>
      <c r="AE868" t="s">
        <v>16349</v>
      </c>
      <c r="AF868" t="s">
        <v>74</v>
      </c>
      <c r="AG868">
        <v>46</v>
      </c>
      <c r="AH868">
        <v>7</v>
      </c>
      <c r="AI868">
        <v>8</v>
      </c>
      <c r="AJ868">
        <v>0</v>
      </c>
      <c r="AK868">
        <v>2</v>
      </c>
      <c r="AL868" t="s">
        <v>582</v>
      </c>
      <c r="AM868" t="s">
        <v>583</v>
      </c>
      <c r="AN868" t="s">
        <v>584</v>
      </c>
      <c r="AO868" t="s">
        <v>585</v>
      </c>
      <c r="AP868" t="s">
        <v>74</v>
      </c>
      <c r="AQ868" t="s">
        <v>74</v>
      </c>
      <c r="AR868" t="s">
        <v>586</v>
      </c>
      <c r="AS868" t="s">
        <v>587</v>
      </c>
      <c r="AT868" t="s">
        <v>16350</v>
      </c>
      <c r="AU868">
        <v>2016</v>
      </c>
      <c r="AV868">
        <v>6</v>
      </c>
      <c r="AW868" t="s">
        <v>74</v>
      </c>
      <c r="AX868" t="s">
        <v>74</v>
      </c>
      <c r="AY868" t="s">
        <v>74</v>
      </c>
      <c r="AZ868" t="s">
        <v>74</v>
      </c>
      <c r="BA868" t="s">
        <v>74</v>
      </c>
      <c r="BB868" t="s">
        <v>74</v>
      </c>
      <c r="BC868" t="s">
        <v>74</v>
      </c>
      <c r="BD868">
        <v>37521</v>
      </c>
      <c r="BE868" t="s">
        <v>16351</v>
      </c>
      <c r="BF868" t="str">
        <f>HYPERLINK("http://dx.doi.org/10.1038/srep37521","http://dx.doi.org/10.1038/srep37521")</f>
        <v>http://dx.doi.org/10.1038/srep37521</v>
      </c>
      <c r="BG868" t="s">
        <v>74</v>
      </c>
      <c r="BH868" t="s">
        <v>74</v>
      </c>
      <c r="BI868">
        <v>7</v>
      </c>
      <c r="BJ868" t="s">
        <v>100</v>
      </c>
      <c r="BK868" t="s">
        <v>101</v>
      </c>
      <c r="BL868" t="s">
        <v>102</v>
      </c>
      <c r="BM868" t="s">
        <v>16352</v>
      </c>
      <c r="BN868">
        <v>27869191</v>
      </c>
      <c r="BO868" t="s">
        <v>918</v>
      </c>
      <c r="BP868" t="s">
        <v>74</v>
      </c>
      <c r="BQ868" t="s">
        <v>74</v>
      </c>
      <c r="BR868" t="s">
        <v>105</v>
      </c>
      <c r="BS868" t="s">
        <v>16353</v>
      </c>
      <c r="BT868" t="str">
        <f>HYPERLINK("https%3A%2F%2Fwww.webofscience.com%2Fwos%2Fwoscc%2Ffull-record%2FWOS:000388077000001","View Full Record in Web of Science")</f>
        <v>View Full Record in Web of Science</v>
      </c>
    </row>
    <row r="869" spans="1:72" x14ac:dyDescent="0.15">
      <c r="A869" t="s">
        <v>72</v>
      </c>
      <c r="B869" t="s">
        <v>16354</v>
      </c>
      <c r="C869" t="s">
        <v>74</v>
      </c>
      <c r="D869" t="s">
        <v>74</v>
      </c>
      <c r="E869" t="s">
        <v>74</v>
      </c>
      <c r="F869" t="s">
        <v>16355</v>
      </c>
      <c r="G869" t="s">
        <v>74</v>
      </c>
      <c r="H869" t="s">
        <v>74</v>
      </c>
      <c r="I869" t="s">
        <v>16356</v>
      </c>
      <c r="J869" t="s">
        <v>596</v>
      </c>
      <c r="K869" t="s">
        <v>74</v>
      </c>
      <c r="L869" t="s">
        <v>74</v>
      </c>
      <c r="M869" t="s">
        <v>78</v>
      </c>
      <c r="N869" t="s">
        <v>79</v>
      </c>
      <c r="O869" t="s">
        <v>74</v>
      </c>
      <c r="P869" t="s">
        <v>74</v>
      </c>
      <c r="Q869" t="s">
        <v>74</v>
      </c>
      <c r="R869" t="s">
        <v>74</v>
      </c>
      <c r="S869" t="s">
        <v>74</v>
      </c>
      <c r="T869" t="s">
        <v>74</v>
      </c>
      <c r="U869" t="s">
        <v>16357</v>
      </c>
      <c r="V869" t="s">
        <v>16358</v>
      </c>
      <c r="W869" t="s">
        <v>16359</v>
      </c>
      <c r="X869" t="s">
        <v>16360</v>
      </c>
      <c r="Y869" t="s">
        <v>16361</v>
      </c>
      <c r="Z869" t="s">
        <v>16362</v>
      </c>
      <c r="AA869" t="s">
        <v>16363</v>
      </c>
      <c r="AB869" t="s">
        <v>16364</v>
      </c>
      <c r="AC869" t="s">
        <v>16365</v>
      </c>
      <c r="AD869" t="s">
        <v>16366</v>
      </c>
      <c r="AE869" t="s">
        <v>16367</v>
      </c>
      <c r="AF869" t="s">
        <v>74</v>
      </c>
      <c r="AG869">
        <v>55</v>
      </c>
      <c r="AH869">
        <v>12</v>
      </c>
      <c r="AI869">
        <v>12</v>
      </c>
      <c r="AJ869">
        <v>0</v>
      </c>
      <c r="AK869">
        <v>5</v>
      </c>
      <c r="AL869" t="s">
        <v>608</v>
      </c>
      <c r="AM869" t="s">
        <v>609</v>
      </c>
      <c r="AN869" t="s">
        <v>610</v>
      </c>
      <c r="AO869" t="s">
        <v>611</v>
      </c>
      <c r="AP869" t="s">
        <v>612</v>
      </c>
      <c r="AQ869" t="s">
        <v>74</v>
      </c>
      <c r="AR869" t="s">
        <v>596</v>
      </c>
      <c r="AS869" t="s">
        <v>613</v>
      </c>
      <c r="AT869" t="s">
        <v>16350</v>
      </c>
      <c r="AU869">
        <v>2016</v>
      </c>
      <c r="AV869">
        <v>10</v>
      </c>
      <c r="AW869">
        <v>6</v>
      </c>
      <c r="AX869" t="s">
        <v>74</v>
      </c>
      <c r="AY869" t="s">
        <v>74</v>
      </c>
      <c r="AZ869" t="s">
        <v>74</v>
      </c>
      <c r="BA869" t="s">
        <v>74</v>
      </c>
      <c r="BB869">
        <v>2721</v>
      </c>
      <c r="BC869">
        <v>2730</v>
      </c>
      <c r="BD869" t="s">
        <v>74</v>
      </c>
      <c r="BE869" t="s">
        <v>16368</v>
      </c>
      <c r="BF869" t="str">
        <f>HYPERLINK("http://dx.doi.org/10.5194/tc-10-2721-2016","http://dx.doi.org/10.5194/tc-10-2721-2016")</f>
        <v>http://dx.doi.org/10.5194/tc-10-2721-2016</v>
      </c>
      <c r="BG869" t="s">
        <v>74</v>
      </c>
      <c r="BH869" t="s">
        <v>74</v>
      </c>
      <c r="BI869">
        <v>10</v>
      </c>
      <c r="BJ869" t="s">
        <v>615</v>
      </c>
      <c r="BK869" t="s">
        <v>101</v>
      </c>
      <c r="BL869" t="s">
        <v>616</v>
      </c>
      <c r="BM869" t="s">
        <v>16369</v>
      </c>
      <c r="BN869" t="s">
        <v>74</v>
      </c>
      <c r="BO869" t="s">
        <v>16370</v>
      </c>
      <c r="BP869" t="s">
        <v>74</v>
      </c>
      <c r="BQ869" t="s">
        <v>74</v>
      </c>
      <c r="BR869" t="s">
        <v>105</v>
      </c>
      <c r="BS869" t="s">
        <v>16371</v>
      </c>
      <c r="BT869" t="str">
        <f>HYPERLINK("https%3A%2F%2Fwww.webofscience.com%2Fwos%2Fwoscc%2Ffull-record%2FWOS:000424505600001","View Full Record in Web of Science")</f>
        <v>View Full Record in Web of Science</v>
      </c>
    </row>
    <row r="870" spans="1:72" x14ac:dyDescent="0.15">
      <c r="A870" t="s">
        <v>72</v>
      </c>
      <c r="B870" t="s">
        <v>16372</v>
      </c>
      <c r="C870" t="s">
        <v>74</v>
      </c>
      <c r="D870" t="s">
        <v>74</v>
      </c>
      <c r="E870" t="s">
        <v>74</v>
      </c>
      <c r="F870" t="s">
        <v>16373</v>
      </c>
      <c r="G870" t="s">
        <v>74</v>
      </c>
      <c r="H870" t="s">
        <v>74</v>
      </c>
      <c r="I870" t="s">
        <v>16374</v>
      </c>
      <c r="J870" t="s">
        <v>16375</v>
      </c>
      <c r="K870" t="s">
        <v>74</v>
      </c>
      <c r="L870" t="s">
        <v>74</v>
      </c>
      <c r="M870" t="s">
        <v>78</v>
      </c>
      <c r="N870" t="s">
        <v>79</v>
      </c>
      <c r="O870" t="s">
        <v>74</v>
      </c>
      <c r="P870" t="s">
        <v>74</v>
      </c>
      <c r="Q870" t="s">
        <v>74</v>
      </c>
      <c r="R870" t="s">
        <v>74</v>
      </c>
      <c r="S870" t="s">
        <v>74</v>
      </c>
      <c r="T870" t="s">
        <v>16376</v>
      </c>
      <c r="U870" t="s">
        <v>16377</v>
      </c>
      <c r="V870" t="s">
        <v>16378</v>
      </c>
      <c r="W870" t="s">
        <v>16379</v>
      </c>
      <c r="X870" t="s">
        <v>16380</v>
      </c>
      <c r="Y870" t="s">
        <v>16381</v>
      </c>
      <c r="Z870" t="s">
        <v>16382</v>
      </c>
      <c r="AA870" t="s">
        <v>74</v>
      </c>
      <c r="AB870" t="s">
        <v>74</v>
      </c>
      <c r="AC870" t="s">
        <v>16383</v>
      </c>
      <c r="AD870" t="s">
        <v>16384</v>
      </c>
      <c r="AE870" t="s">
        <v>16385</v>
      </c>
      <c r="AF870" t="s">
        <v>74</v>
      </c>
      <c r="AG870">
        <v>77</v>
      </c>
      <c r="AH870">
        <v>14</v>
      </c>
      <c r="AI870">
        <v>18</v>
      </c>
      <c r="AJ870">
        <v>0</v>
      </c>
      <c r="AK870">
        <v>26</v>
      </c>
      <c r="AL870" t="s">
        <v>264</v>
      </c>
      <c r="AM870" t="s">
        <v>169</v>
      </c>
      <c r="AN870" t="s">
        <v>265</v>
      </c>
      <c r="AO870" t="s">
        <v>16386</v>
      </c>
      <c r="AP870" t="s">
        <v>16387</v>
      </c>
      <c r="AQ870" t="s">
        <v>74</v>
      </c>
      <c r="AR870" t="s">
        <v>16388</v>
      </c>
      <c r="AS870" t="s">
        <v>16389</v>
      </c>
      <c r="AT870" t="s">
        <v>16390</v>
      </c>
      <c r="AU870">
        <v>2016</v>
      </c>
      <c r="AV870">
        <v>186</v>
      </c>
      <c r="AW870" t="s">
        <v>74</v>
      </c>
      <c r="AX870" t="s">
        <v>74</v>
      </c>
      <c r="AY870" t="s">
        <v>74</v>
      </c>
      <c r="AZ870" t="s">
        <v>74</v>
      </c>
      <c r="BA870" t="s">
        <v>74</v>
      </c>
      <c r="BB870">
        <v>72</v>
      </c>
      <c r="BC870">
        <v>82</v>
      </c>
      <c r="BD870" t="s">
        <v>74</v>
      </c>
      <c r="BE870" t="s">
        <v>16391</v>
      </c>
      <c r="BF870" t="str">
        <f>HYPERLINK("http://dx.doi.org/10.1016/j.marchem.2016.08.002","http://dx.doi.org/10.1016/j.marchem.2016.08.002")</f>
        <v>http://dx.doi.org/10.1016/j.marchem.2016.08.002</v>
      </c>
      <c r="BG870" t="s">
        <v>74</v>
      </c>
      <c r="BH870" t="s">
        <v>74</v>
      </c>
      <c r="BI870">
        <v>11</v>
      </c>
      <c r="BJ870" t="s">
        <v>16392</v>
      </c>
      <c r="BK870" t="s">
        <v>101</v>
      </c>
      <c r="BL870" t="s">
        <v>16393</v>
      </c>
      <c r="BM870" t="s">
        <v>16394</v>
      </c>
      <c r="BN870" t="s">
        <v>74</v>
      </c>
      <c r="BO870" t="s">
        <v>74</v>
      </c>
      <c r="BP870" t="s">
        <v>74</v>
      </c>
      <c r="BQ870" t="s">
        <v>74</v>
      </c>
      <c r="BR870" t="s">
        <v>105</v>
      </c>
      <c r="BS870" t="s">
        <v>16395</v>
      </c>
      <c r="BT870" t="str">
        <f>HYPERLINK("https%3A%2F%2Fwww.webofscience.com%2Fwos%2Fwoscc%2Ffull-record%2FWOS:000389101200007","View Full Record in Web of Science")</f>
        <v>View Full Record in Web of Science</v>
      </c>
    </row>
    <row r="871" spans="1:72" x14ac:dyDescent="0.15">
      <c r="A871" t="s">
        <v>72</v>
      </c>
      <c r="B871" t="s">
        <v>16396</v>
      </c>
      <c r="C871" t="s">
        <v>74</v>
      </c>
      <c r="D871" t="s">
        <v>74</v>
      </c>
      <c r="E871" t="s">
        <v>74</v>
      </c>
      <c r="F871" t="s">
        <v>16397</v>
      </c>
      <c r="G871" t="s">
        <v>74</v>
      </c>
      <c r="H871" t="s">
        <v>74</v>
      </c>
      <c r="I871" t="s">
        <v>16398</v>
      </c>
      <c r="J871" t="s">
        <v>769</v>
      </c>
      <c r="K871" t="s">
        <v>74</v>
      </c>
      <c r="L871" t="s">
        <v>74</v>
      </c>
      <c r="M871" t="s">
        <v>78</v>
      </c>
      <c r="N871" t="s">
        <v>79</v>
      </c>
      <c r="O871" t="s">
        <v>74</v>
      </c>
      <c r="P871" t="s">
        <v>74</v>
      </c>
      <c r="Q871" t="s">
        <v>74</v>
      </c>
      <c r="R871" t="s">
        <v>74</v>
      </c>
      <c r="S871" t="s">
        <v>74</v>
      </c>
      <c r="T871" t="s">
        <v>74</v>
      </c>
      <c r="U871" t="s">
        <v>16399</v>
      </c>
      <c r="V871" t="s">
        <v>16400</v>
      </c>
      <c r="W871" t="s">
        <v>16401</v>
      </c>
      <c r="X871" t="s">
        <v>2805</v>
      </c>
      <c r="Y871" t="s">
        <v>16402</v>
      </c>
      <c r="Z871" t="s">
        <v>16403</v>
      </c>
      <c r="AA871" t="s">
        <v>16404</v>
      </c>
      <c r="AB871" t="s">
        <v>16405</v>
      </c>
      <c r="AC871" t="s">
        <v>16406</v>
      </c>
      <c r="AD871" t="s">
        <v>16407</v>
      </c>
      <c r="AE871" t="s">
        <v>16408</v>
      </c>
      <c r="AF871" t="s">
        <v>74</v>
      </c>
      <c r="AG871">
        <v>41</v>
      </c>
      <c r="AH871">
        <v>9</v>
      </c>
      <c r="AI871">
        <v>11</v>
      </c>
      <c r="AJ871">
        <v>1</v>
      </c>
      <c r="AK871">
        <v>21</v>
      </c>
      <c r="AL871" t="s">
        <v>781</v>
      </c>
      <c r="AM871" t="s">
        <v>782</v>
      </c>
      <c r="AN871" t="s">
        <v>783</v>
      </c>
      <c r="AO871" t="s">
        <v>784</v>
      </c>
      <c r="AP871" t="s">
        <v>74</v>
      </c>
      <c r="AQ871" t="s">
        <v>74</v>
      </c>
      <c r="AR871" t="s">
        <v>769</v>
      </c>
      <c r="AS871" t="s">
        <v>785</v>
      </c>
      <c r="AT871" t="s">
        <v>16409</v>
      </c>
      <c r="AU871">
        <v>2016</v>
      </c>
      <c r="AV871">
        <v>11</v>
      </c>
      <c r="AW871">
        <v>11</v>
      </c>
      <c r="AX871" t="s">
        <v>74</v>
      </c>
      <c r="AY871" t="s">
        <v>74</v>
      </c>
      <c r="AZ871" t="s">
        <v>74</v>
      </c>
      <c r="BA871" t="s">
        <v>74</v>
      </c>
      <c r="BB871" t="s">
        <v>74</v>
      </c>
      <c r="BC871" t="s">
        <v>74</v>
      </c>
      <c r="BD871" t="s">
        <v>16410</v>
      </c>
      <c r="BE871" t="s">
        <v>16411</v>
      </c>
      <c r="BF871" t="str">
        <f>HYPERLINK("http://dx.doi.org/10.1371/journal.pone.0166632","http://dx.doi.org/10.1371/journal.pone.0166632")</f>
        <v>http://dx.doi.org/10.1371/journal.pone.0166632</v>
      </c>
      <c r="BG871" t="s">
        <v>74</v>
      </c>
      <c r="BH871" t="s">
        <v>74</v>
      </c>
      <c r="BI871">
        <v>18</v>
      </c>
      <c r="BJ871" t="s">
        <v>100</v>
      </c>
      <c r="BK871" t="s">
        <v>101</v>
      </c>
      <c r="BL871" t="s">
        <v>102</v>
      </c>
      <c r="BM871" t="s">
        <v>16412</v>
      </c>
      <c r="BN871">
        <v>27861602</v>
      </c>
      <c r="BO871" t="s">
        <v>16413</v>
      </c>
      <c r="BP871" t="s">
        <v>74</v>
      </c>
      <c r="BQ871" t="s">
        <v>74</v>
      </c>
      <c r="BR871" t="s">
        <v>105</v>
      </c>
      <c r="BS871" t="s">
        <v>16414</v>
      </c>
      <c r="BT871" t="str">
        <f>HYPERLINK("https%3A%2F%2Fwww.webofscience.com%2Fwos%2Fwoscc%2Ffull-record%2FWOS:000388350300081","View Full Record in Web of Science")</f>
        <v>View Full Record in Web of Science</v>
      </c>
    </row>
    <row r="872" spans="1:72" x14ac:dyDescent="0.15">
      <c r="A872" t="s">
        <v>72</v>
      </c>
      <c r="B872" t="s">
        <v>16415</v>
      </c>
      <c r="C872" t="s">
        <v>74</v>
      </c>
      <c r="D872" t="s">
        <v>74</v>
      </c>
      <c r="E872" t="s">
        <v>74</v>
      </c>
      <c r="F872" t="s">
        <v>16416</v>
      </c>
      <c r="G872" t="s">
        <v>74</v>
      </c>
      <c r="H872" t="s">
        <v>74</v>
      </c>
      <c r="I872" t="s">
        <v>16417</v>
      </c>
      <c r="J872" t="s">
        <v>16418</v>
      </c>
      <c r="K872" t="s">
        <v>74</v>
      </c>
      <c r="L872" t="s">
        <v>74</v>
      </c>
      <c r="M872" t="s">
        <v>78</v>
      </c>
      <c r="N872" t="s">
        <v>79</v>
      </c>
      <c r="O872" t="s">
        <v>74</v>
      </c>
      <c r="P872" t="s">
        <v>74</v>
      </c>
      <c r="Q872" t="s">
        <v>74</v>
      </c>
      <c r="R872" t="s">
        <v>74</v>
      </c>
      <c r="S872" t="s">
        <v>74</v>
      </c>
      <c r="T872" t="s">
        <v>16419</v>
      </c>
      <c r="U872" t="s">
        <v>16420</v>
      </c>
      <c r="V872" t="s">
        <v>16421</v>
      </c>
      <c r="W872" t="s">
        <v>16422</v>
      </c>
      <c r="X872" t="s">
        <v>16423</v>
      </c>
      <c r="Y872" t="s">
        <v>16424</v>
      </c>
      <c r="Z872" t="s">
        <v>16425</v>
      </c>
      <c r="AA872" t="s">
        <v>16426</v>
      </c>
      <c r="AB872" t="s">
        <v>16427</v>
      </c>
      <c r="AC872" t="s">
        <v>16428</v>
      </c>
      <c r="AD872" t="s">
        <v>16428</v>
      </c>
      <c r="AE872" t="s">
        <v>16429</v>
      </c>
      <c r="AF872" t="s">
        <v>74</v>
      </c>
      <c r="AG872">
        <v>38</v>
      </c>
      <c r="AH872">
        <v>47</v>
      </c>
      <c r="AI872">
        <v>50</v>
      </c>
      <c r="AJ872">
        <v>0</v>
      </c>
      <c r="AK872">
        <v>10</v>
      </c>
      <c r="AL872" t="s">
        <v>909</v>
      </c>
      <c r="AM872" t="s">
        <v>93</v>
      </c>
      <c r="AN872" t="s">
        <v>910</v>
      </c>
      <c r="AO872" t="s">
        <v>16430</v>
      </c>
      <c r="AP872" t="s">
        <v>74</v>
      </c>
      <c r="AQ872" t="s">
        <v>74</v>
      </c>
      <c r="AR872" t="s">
        <v>16431</v>
      </c>
      <c r="AS872" t="s">
        <v>16432</v>
      </c>
      <c r="AT872" t="s">
        <v>16409</v>
      </c>
      <c r="AU872">
        <v>2016</v>
      </c>
      <c r="AV872">
        <v>4</v>
      </c>
      <c r="AW872" t="s">
        <v>74</v>
      </c>
      <c r="AX872" t="s">
        <v>74</v>
      </c>
      <c r="AY872" t="s">
        <v>74</v>
      </c>
      <c r="AZ872" t="s">
        <v>74</v>
      </c>
      <c r="BA872" t="s">
        <v>74</v>
      </c>
      <c r="BB872" t="s">
        <v>74</v>
      </c>
      <c r="BC872" t="s">
        <v>74</v>
      </c>
      <c r="BD872">
        <v>26</v>
      </c>
      <c r="BE872" t="s">
        <v>16433</v>
      </c>
      <c r="BF872" t="str">
        <f>HYPERLINK("http://dx.doi.org/10.1186/s40462-016-0091-8","http://dx.doi.org/10.1186/s40462-016-0091-8")</f>
        <v>http://dx.doi.org/10.1186/s40462-016-0091-8</v>
      </c>
      <c r="BG872" t="s">
        <v>74</v>
      </c>
      <c r="BH872" t="s">
        <v>74</v>
      </c>
      <c r="BI872">
        <v>11</v>
      </c>
      <c r="BJ872" t="s">
        <v>1739</v>
      </c>
      <c r="BK872" t="s">
        <v>101</v>
      </c>
      <c r="BL872" t="s">
        <v>178</v>
      </c>
      <c r="BM872" t="s">
        <v>16434</v>
      </c>
      <c r="BN872">
        <v>27891228</v>
      </c>
      <c r="BO872" t="s">
        <v>591</v>
      </c>
      <c r="BP872" t="s">
        <v>74</v>
      </c>
      <c r="BQ872" t="s">
        <v>74</v>
      </c>
      <c r="BR872" t="s">
        <v>105</v>
      </c>
      <c r="BS872" t="s">
        <v>16435</v>
      </c>
      <c r="BT872" t="str">
        <f>HYPERLINK("https%3A%2F%2Fwww.webofscience.com%2Fwos%2Fwoscc%2Ffull-record%2FWOS:000395311100001","View Full Record in Web of Science")</f>
        <v>View Full Record in Web of Science</v>
      </c>
    </row>
    <row r="873" spans="1:72" x14ac:dyDescent="0.15">
      <c r="A873" t="s">
        <v>72</v>
      </c>
      <c r="B873" t="s">
        <v>16436</v>
      </c>
      <c r="C873" t="s">
        <v>74</v>
      </c>
      <c r="D873" t="s">
        <v>74</v>
      </c>
      <c r="E873" t="s">
        <v>74</v>
      </c>
      <c r="F873" t="s">
        <v>16437</v>
      </c>
      <c r="G873" t="s">
        <v>74</v>
      </c>
      <c r="H873" t="s">
        <v>74</v>
      </c>
      <c r="I873" t="s">
        <v>16438</v>
      </c>
      <c r="J873" t="s">
        <v>623</v>
      </c>
      <c r="K873" t="s">
        <v>74</v>
      </c>
      <c r="L873" t="s">
        <v>74</v>
      </c>
      <c r="M873" t="s">
        <v>78</v>
      </c>
      <c r="N873" t="s">
        <v>79</v>
      </c>
      <c r="O873" t="s">
        <v>74</v>
      </c>
      <c r="P873" t="s">
        <v>74</v>
      </c>
      <c r="Q873" t="s">
        <v>74</v>
      </c>
      <c r="R873" t="s">
        <v>74</v>
      </c>
      <c r="S873" t="s">
        <v>74</v>
      </c>
      <c r="T873" t="s">
        <v>16439</v>
      </c>
      <c r="U873" t="s">
        <v>16440</v>
      </c>
      <c r="V873" t="s">
        <v>16441</v>
      </c>
      <c r="W873" t="s">
        <v>16442</v>
      </c>
      <c r="X873" t="s">
        <v>16443</v>
      </c>
      <c r="Y873" t="s">
        <v>16444</v>
      </c>
      <c r="Z873" t="s">
        <v>16445</v>
      </c>
      <c r="AA873" t="s">
        <v>16446</v>
      </c>
      <c r="AB873" t="s">
        <v>16447</v>
      </c>
      <c r="AC873" t="s">
        <v>16448</v>
      </c>
      <c r="AD873" t="s">
        <v>16449</v>
      </c>
      <c r="AE873" t="s">
        <v>16450</v>
      </c>
      <c r="AF873" t="s">
        <v>74</v>
      </c>
      <c r="AG873">
        <v>995</v>
      </c>
      <c r="AH873">
        <v>60</v>
      </c>
      <c r="AI873">
        <v>68</v>
      </c>
      <c r="AJ873">
        <v>0</v>
      </c>
      <c r="AK873">
        <v>32</v>
      </c>
      <c r="AL873" t="s">
        <v>636</v>
      </c>
      <c r="AM873" t="s">
        <v>637</v>
      </c>
      <c r="AN873" t="s">
        <v>638</v>
      </c>
      <c r="AO873" t="s">
        <v>639</v>
      </c>
      <c r="AP873" t="s">
        <v>640</v>
      </c>
      <c r="AQ873" t="s">
        <v>74</v>
      </c>
      <c r="AR873" t="s">
        <v>623</v>
      </c>
      <c r="AS873" t="s">
        <v>641</v>
      </c>
      <c r="AT873" t="s">
        <v>16409</v>
      </c>
      <c r="AU873">
        <v>2016</v>
      </c>
      <c r="AV873">
        <v>4194</v>
      </c>
      <c r="AW873">
        <v>1</v>
      </c>
      <c r="AX873" t="s">
        <v>74</v>
      </c>
      <c r="AY873" t="s">
        <v>74</v>
      </c>
      <c r="AZ873" t="s">
        <v>74</v>
      </c>
      <c r="BA873" t="s">
        <v>74</v>
      </c>
      <c r="BB873">
        <v>1</v>
      </c>
      <c r="BC873">
        <v>256</v>
      </c>
      <c r="BD873" t="s">
        <v>74</v>
      </c>
      <c r="BE873" t="s">
        <v>16451</v>
      </c>
      <c r="BF873" t="str">
        <f>HYPERLINK("http://dx.doi.org/10.11646/zootaxa.4194.1.1","http://dx.doi.org/10.11646/zootaxa.4194.1.1")</f>
        <v>http://dx.doi.org/10.11646/zootaxa.4194.1.1</v>
      </c>
      <c r="BG873" t="s">
        <v>74</v>
      </c>
      <c r="BH873" t="s">
        <v>74</v>
      </c>
      <c r="BI873">
        <v>256</v>
      </c>
      <c r="BJ873" t="s">
        <v>643</v>
      </c>
      <c r="BK873" t="s">
        <v>101</v>
      </c>
      <c r="BL873" t="s">
        <v>643</v>
      </c>
      <c r="BM873" t="s">
        <v>16452</v>
      </c>
      <c r="BN873">
        <v>27988700</v>
      </c>
      <c r="BO873" t="s">
        <v>74</v>
      </c>
      <c r="BP873" t="s">
        <v>74</v>
      </c>
      <c r="BQ873" t="s">
        <v>74</v>
      </c>
      <c r="BR873" t="s">
        <v>105</v>
      </c>
      <c r="BS873" t="s">
        <v>16453</v>
      </c>
      <c r="BT873" t="str">
        <f>HYPERLINK("https%3A%2F%2Fwww.webofscience.com%2Fwos%2Fwoscc%2Ffull-record%2FWOS:000388164300001","View Full Record in Web of Science")</f>
        <v>View Full Record in Web of Science</v>
      </c>
    </row>
    <row r="874" spans="1:72" x14ac:dyDescent="0.15">
      <c r="A874" t="s">
        <v>72</v>
      </c>
      <c r="B874" t="s">
        <v>16454</v>
      </c>
      <c r="C874" t="s">
        <v>74</v>
      </c>
      <c r="D874" t="s">
        <v>74</v>
      </c>
      <c r="E874" t="s">
        <v>74</v>
      </c>
      <c r="F874" t="s">
        <v>16455</v>
      </c>
      <c r="G874" t="s">
        <v>74</v>
      </c>
      <c r="H874" t="s">
        <v>74</v>
      </c>
      <c r="I874" t="s">
        <v>16456</v>
      </c>
      <c r="J874" t="s">
        <v>16457</v>
      </c>
      <c r="K874" t="s">
        <v>74</v>
      </c>
      <c r="L874" t="s">
        <v>74</v>
      </c>
      <c r="M874" t="s">
        <v>78</v>
      </c>
      <c r="N874" t="s">
        <v>79</v>
      </c>
      <c r="O874" t="s">
        <v>74</v>
      </c>
      <c r="P874" t="s">
        <v>74</v>
      </c>
      <c r="Q874" t="s">
        <v>74</v>
      </c>
      <c r="R874" t="s">
        <v>74</v>
      </c>
      <c r="S874" t="s">
        <v>74</v>
      </c>
      <c r="T874" t="s">
        <v>74</v>
      </c>
      <c r="U874" t="s">
        <v>74</v>
      </c>
      <c r="V874" t="s">
        <v>16458</v>
      </c>
      <c r="W874" t="s">
        <v>16459</v>
      </c>
      <c r="X874" t="s">
        <v>16460</v>
      </c>
      <c r="Y874" t="s">
        <v>16461</v>
      </c>
      <c r="Z874" t="s">
        <v>16462</v>
      </c>
      <c r="AA874" t="s">
        <v>16463</v>
      </c>
      <c r="AB874" t="s">
        <v>16464</v>
      </c>
      <c r="AC874" t="s">
        <v>74</v>
      </c>
      <c r="AD874" t="s">
        <v>74</v>
      </c>
      <c r="AE874" t="s">
        <v>74</v>
      </c>
      <c r="AF874" t="s">
        <v>74</v>
      </c>
      <c r="AG874">
        <v>41</v>
      </c>
      <c r="AH874">
        <v>17</v>
      </c>
      <c r="AI874">
        <v>18</v>
      </c>
      <c r="AJ874">
        <v>0</v>
      </c>
      <c r="AK874">
        <v>8</v>
      </c>
      <c r="AL874" t="s">
        <v>16465</v>
      </c>
      <c r="AM874" t="s">
        <v>16466</v>
      </c>
      <c r="AN874" t="s">
        <v>16467</v>
      </c>
      <c r="AO874" t="s">
        <v>16468</v>
      </c>
      <c r="AP874" t="s">
        <v>74</v>
      </c>
      <c r="AQ874" t="s">
        <v>74</v>
      </c>
      <c r="AR874" t="s">
        <v>16469</v>
      </c>
      <c r="AS874" t="s">
        <v>16470</v>
      </c>
      <c r="AT874" t="s">
        <v>16471</v>
      </c>
      <c r="AU874">
        <v>2016</v>
      </c>
      <c r="AV874">
        <v>4</v>
      </c>
      <c r="AW874" t="s">
        <v>74</v>
      </c>
      <c r="AX874" t="s">
        <v>74</v>
      </c>
      <c r="AY874" t="s">
        <v>74</v>
      </c>
      <c r="AZ874" t="s">
        <v>74</v>
      </c>
      <c r="BA874" t="s">
        <v>74</v>
      </c>
      <c r="BB874" t="s">
        <v>74</v>
      </c>
      <c r="BC874" t="s">
        <v>74</v>
      </c>
      <c r="BD874">
        <v>136</v>
      </c>
      <c r="BE874" t="s">
        <v>16472</v>
      </c>
      <c r="BF874" t="str">
        <f>HYPERLINK("http://dx.doi.org/10.12952/journal.elementa.000136","http://dx.doi.org/10.12952/journal.elementa.000136")</f>
        <v>http://dx.doi.org/10.12952/journal.elementa.000136</v>
      </c>
      <c r="BG874" t="s">
        <v>74</v>
      </c>
      <c r="BH874" t="s">
        <v>74</v>
      </c>
      <c r="BI874">
        <v>17</v>
      </c>
      <c r="BJ874" t="s">
        <v>981</v>
      </c>
      <c r="BK874" t="s">
        <v>101</v>
      </c>
      <c r="BL874" t="s">
        <v>982</v>
      </c>
      <c r="BM874" t="s">
        <v>16473</v>
      </c>
      <c r="BN874" t="s">
        <v>74</v>
      </c>
      <c r="BO874" t="s">
        <v>591</v>
      </c>
      <c r="BP874" t="s">
        <v>74</v>
      </c>
      <c r="BQ874" t="s">
        <v>74</v>
      </c>
      <c r="BR874" t="s">
        <v>105</v>
      </c>
      <c r="BS874" t="s">
        <v>16474</v>
      </c>
      <c r="BT874" t="str">
        <f>HYPERLINK("https%3A%2F%2Fwww.webofscience.com%2Fwos%2Fwoscc%2Ffull-record%2FWOS:000389923600001","View Full Record in Web of Science")</f>
        <v>View Full Record in Web of Science</v>
      </c>
    </row>
    <row r="875" spans="1:72" x14ac:dyDescent="0.15">
      <c r="A875" t="s">
        <v>72</v>
      </c>
      <c r="B875" t="s">
        <v>16475</v>
      </c>
      <c r="C875" t="s">
        <v>74</v>
      </c>
      <c r="D875" t="s">
        <v>74</v>
      </c>
      <c r="E875" t="s">
        <v>74</v>
      </c>
      <c r="F875" t="s">
        <v>16476</v>
      </c>
      <c r="G875" t="s">
        <v>74</v>
      </c>
      <c r="H875" t="s">
        <v>74</v>
      </c>
      <c r="I875" t="s">
        <v>16477</v>
      </c>
      <c r="J875" t="s">
        <v>730</v>
      </c>
      <c r="K875" t="s">
        <v>74</v>
      </c>
      <c r="L875" t="s">
        <v>74</v>
      </c>
      <c r="M875" t="s">
        <v>78</v>
      </c>
      <c r="N875" t="s">
        <v>79</v>
      </c>
      <c r="O875" t="s">
        <v>74</v>
      </c>
      <c r="P875" t="s">
        <v>74</v>
      </c>
      <c r="Q875" t="s">
        <v>74</v>
      </c>
      <c r="R875" t="s">
        <v>74</v>
      </c>
      <c r="S875" t="s">
        <v>74</v>
      </c>
      <c r="T875" t="s">
        <v>74</v>
      </c>
      <c r="U875" t="s">
        <v>16478</v>
      </c>
      <c r="V875" t="s">
        <v>16479</v>
      </c>
      <c r="W875" t="s">
        <v>16480</v>
      </c>
      <c r="X875" t="s">
        <v>16481</v>
      </c>
      <c r="Y875" t="s">
        <v>16482</v>
      </c>
      <c r="Z875" t="s">
        <v>16483</v>
      </c>
      <c r="AA875" t="s">
        <v>16484</v>
      </c>
      <c r="AB875" t="s">
        <v>16485</v>
      </c>
      <c r="AC875" t="s">
        <v>16486</v>
      </c>
      <c r="AD875" t="s">
        <v>16486</v>
      </c>
      <c r="AE875" t="s">
        <v>16487</v>
      </c>
      <c r="AF875" t="s">
        <v>74</v>
      </c>
      <c r="AG875">
        <v>68</v>
      </c>
      <c r="AH875">
        <v>12</v>
      </c>
      <c r="AI875">
        <v>12</v>
      </c>
      <c r="AJ875">
        <v>0</v>
      </c>
      <c r="AK875">
        <v>2</v>
      </c>
      <c r="AL875" t="s">
        <v>661</v>
      </c>
      <c r="AM875" t="s">
        <v>142</v>
      </c>
      <c r="AN875" t="s">
        <v>662</v>
      </c>
      <c r="AO875" t="s">
        <v>742</v>
      </c>
      <c r="AP875" t="s">
        <v>743</v>
      </c>
      <c r="AQ875" t="s">
        <v>74</v>
      </c>
      <c r="AR875" t="s">
        <v>744</v>
      </c>
      <c r="AS875" t="s">
        <v>745</v>
      </c>
      <c r="AT875" t="s">
        <v>16488</v>
      </c>
      <c r="AU875">
        <v>2016</v>
      </c>
      <c r="AV875">
        <v>121</v>
      </c>
      <c r="AW875">
        <v>21</v>
      </c>
      <c r="AX875" t="s">
        <v>74</v>
      </c>
      <c r="AY875" t="s">
        <v>74</v>
      </c>
      <c r="AZ875" t="s">
        <v>74</v>
      </c>
      <c r="BA875" t="s">
        <v>74</v>
      </c>
      <c r="BB875">
        <v>12593</v>
      </c>
      <c r="BC875">
        <v>12611</v>
      </c>
      <c r="BD875" t="s">
        <v>74</v>
      </c>
      <c r="BE875" t="s">
        <v>16489</v>
      </c>
      <c r="BF875" t="str">
        <f>HYPERLINK("http://dx.doi.org/10.1002/2016JD025043","http://dx.doi.org/10.1002/2016JD025043")</f>
        <v>http://dx.doi.org/10.1002/2016JD025043</v>
      </c>
      <c r="BG875" t="s">
        <v>74</v>
      </c>
      <c r="BH875" t="s">
        <v>74</v>
      </c>
      <c r="BI875">
        <v>19</v>
      </c>
      <c r="BJ875" t="s">
        <v>747</v>
      </c>
      <c r="BK875" t="s">
        <v>101</v>
      </c>
      <c r="BL875" t="s">
        <v>747</v>
      </c>
      <c r="BM875" t="s">
        <v>16490</v>
      </c>
      <c r="BN875" t="s">
        <v>74</v>
      </c>
      <c r="BO875" t="s">
        <v>672</v>
      </c>
      <c r="BP875" t="s">
        <v>74</v>
      </c>
      <c r="BQ875" t="s">
        <v>74</v>
      </c>
      <c r="BR875" t="s">
        <v>105</v>
      </c>
      <c r="BS875" t="s">
        <v>16491</v>
      </c>
      <c r="BT875" t="str">
        <f>HYPERLINK("https%3A%2F%2Fwww.webofscience.com%2Fwos%2Fwoscc%2Ffull-record%2FWOS:000388960600002","View Full Record in Web of Science")</f>
        <v>View Full Record in Web of Science</v>
      </c>
    </row>
    <row r="876" spans="1:72" x14ac:dyDescent="0.15">
      <c r="A876" t="s">
        <v>72</v>
      </c>
      <c r="B876" t="s">
        <v>16492</v>
      </c>
      <c r="C876" t="s">
        <v>74</v>
      </c>
      <c r="D876" t="s">
        <v>74</v>
      </c>
      <c r="E876" t="s">
        <v>74</v>
      </c>
      <c r="F876" t="s">
        <v>16493</v>
      </c>
      <c r="G876" t="s">
        <v>74</v>
      </c>
      <c r="H876" t="s">
        <v>74</v>
      </c>
      <c r="I876" t="s">
        <v>16494</v>
      </c>
      <c r="J876" t="s">
        <v>730</v>
      </c>
      <c r="K876" t="s">
        <v>74</v>
      </c>
      <c r="L876" t="s">
        <v>74</v>
      </c>
      <c r="M876" t="s">
        <v>78</v>
      </c>
      <c r="N876" t="s">
        <v>79</v>
      </c>
      <c r="O876" t="s">
        <v>74</v>
      </c>
      <c r="P876" t="s">
        <v>74</v>
      </c>
      <c r="Q876" t="s">
        <v>74</v>
      </c>
      <c r="R876" t="s">
        <v>74</v>
      </c>
      <c r="S876" t="s">
        <v>74</v>
      </c>
      <c r="T876" t="s">
        <v>74</v>
      </c>
      <c r="U876" t="s">
        <v>16495</v>
      </c>
      <c r="V876" t="s">
        <v>16496</v>
      </c>
      <c r="W876" t="s">
        <v>16497</v>
      </c>
      <c r="X876" t="s">
        <v>5039</v>
      </c>
      <c r="Y876" t="s">
        <v>16498</v>
      </c>
      <c r="Z876" t="s">
        <v>16499</v>
      </c>
      <c r="AA876" t="s">
        <v>16500</v>
      </c>
      <c r="AB876" t="s">
        <v>16501</v>
      </c>
      <c r="AC876" t="s">
        <v>16502</v>
      </c>
      <c r="AD876" t="s">
        <v>16503</v>
      </c>
      <c r="AE876" t="s">
        <v>16504</v>
      </c>
      <c r="AF876" t="s">
        <v>74</v>
      </c>
      <c r="AG876">
        <v>47</v>
      </c>
      <c r="AH876">
        <v>6</v>
      </c>
      <c r="AI876">
        <v>7</v>
      </c>
      <c r="AJ876">
        <v>0</v>
      </c>
      <c r="AK876">
        <v>15</v>
      </c>
      <c r="AL876" t="s">
        <v>661</v>
      </c>
      <c r="AM876" t="s">
        <v>142</v>
      </c>
      <c r="AN876" t="s">
        <v>662</v>
      </c>
      <c r="AO876" t="s">
        <v>742</v>
      </c>
      <c r="AP876" t="s">
        <v>743</v>
      </c>
      <c r="AQ876" t="s">
        <v>74</v>
      </c>
      <c r="AR876" t="s">
        <v>744</v>
      </c>
      <c r="AS876" t="s">
        <v>745</v>
      </c>
      <c r="AT876" t="s">
        <v>16488</v>
      </c>
      <c r="AU876">
        <v>2016</v>
      </c>
      <c r="AV876">
        <v>121</v>
      </c>
      <c r="AW876">
        <v>21</v>
      </c>
      <c r="AX876" t="s">
        <v>74</v>
      </c>
      <c r="AY876" t="s">
        <v>74</v>
      </c>
      <c r="AZ876" t="s">
        <v>74</v>
      </c>
      <c r="BA876" t="s">
        <v>74</v>
      </c>
      <c r="BB876">
        <v>12723</v>
      </c>
      <c r="BC876">
        <v>12736</v>
      </c>
      <c r="BD876" t="s">
        <v>74</v>
      </c>
      <c r="BE876" t="s">
        <v>16505</v>
      </c>
      <c r="BF876" t="str">
        <f>HYPERLINK("http://dx.doi.org/10.1002/2016JD025627","http://dx.doi.org/10.1002/2016JD025627")</f>
        <v>http://dx.doi.org/10.1002/2016JD025627</v>
      </c>
      <c r="BG876" t="s">
        <v>74</v>
      </c>
      <c r="BH876" t="s">
        <v>74</v>
      </c>
      <c r="BI876">
        <v>14</v>
      </c>
      <c r="BJ876" t="s">
        <v>747</v>
      </c>
      <c r="BK876" t="s">
        <v>101</v>
      </c>
      <c r="BL876" t="s">
        <v>747</v>
      </c>
      <c r="BM876" t="s">
        <v>16490</v>
      </c>
      <c r="BN876" t="s">
        <v>74</v>
      </c>
      <c r="BO876" t="s">
        <v>488</v>
      </c>
      <c r="BP876" t="s">
        <v>74</v>
      </c>
      <c r="BQ876" t="s">
        <v>74</v>
      </c>
      <c r="BR876" t="s">
        <v>105</v>
      </c>
      <c r="BS876" t="s">
        <v>16506</v>
      </c>
      <c r="BT876" t="str">
        <f>HYPERLINK("https%3A%2F%2Fwww.webofscience.com%2Fwos%2Fwoscc%2Ffull-record%2FWOS:000388960600009","View Full Record in Web of Science")</f>
        <v>View Full Record in Web of Science</v>
      </c>
    </row>
    <row r="877" spans="1:72" x14ac:dyDescent="0.15">
      <c r="A877" t="s">
        <v>72</v>
      </c>
      <c r="B877" t="s">
        <v>16507</v>
      </c>
      <c r="C877" t="s">
        <v>74</v>
      </c>
      <c r="D877" t="s">
        <v>74</v>
      </c>
      <c r="E877" t="s">
        <v>74</v>
      </c>
      <c r="F877" t="s">
        <v>16508</v>
      </c>
      <c r="G877" t="s">
        <v>74</v>
      </c>
      <c r="H877" t="s">
        <v>74</v>
      </c>
      <c r="I877" t="s">
        <v>16509</v>
      </c>
      <c r="J877" t="s">
        <v>730</v>
      </c>
      <c r="K877" t="s">
        <v>74</v>
      </c>
      <c r="L877" t="s">
        <v>74</v>
      </c>
      <c r="M877" t="s">
        <v>78</v>
      </c>
      <c r="N877" t="s">
        <v>79</v>
      </c>
      <c r="O877" t="s">
        <v>74</v>
      </c>
      <c r="P877" t="s">
        <v>74</v>
      </c>
      <c r="Q877" t="s">
        <v>74</v>
      </c>
      <c r="R877" t="s">
        <v>74</v>
      </c>
      <c r="S877" t="s">
        <v>74</v>
      </c>
      <c r="T877" t="s">
        <v>74</v>
      </c>
      <c r="U877" t="s">
        <v>16510</v>
      </c>
      <c r="V877" t="s">
        <v>16511</v>
      </c>
      <c r="W877" t="s">
        <v>16512</v>
      </c>
      <c r="X877" t="s">
        <v>16513</v>
      </c>
      <c r="Y877" t="s">
        <v>16514</v>
      </c>
      <c r="Z877" t="s">
        <v>16515</v>
      </c>
      <c r="AA877" t="s">
        <v>16516</v>
      </c>
      <c r="AB877" t="s">
        <v>16517</v>
      </c>
      <c r="AC877" t="s">
        <v>16518</v>
      </c>
      <c r="AD877" t="s">
        <v>16519</v>
      </c>
      <c r="AE877" t="s">
        <v>16520</v>
      </c>
      <c r="AF877" t="s">
        <v>74</v>
      </c>
      <c r="AG877">
        <v>85</v>
      </c>
      <c r="AH877">
        <v>27</v>
      </c>
      <c r="AI877">
        <v>28</v>
      </c>
      <c r="AJ877">
        <v>0</v>
      </c>
      <c r="AK877">
        <v>25</v>
      </c>
      <c r="AL877" t="s">
        <v>661</v>
      </c>
      <c r="AM877" t="s">
        <v>142</v>
      </c>
      <c r="AN877" t="s">
        <v>662</v>
      </c>
      <c r="AO877" t="s">
        <v>742</v>
      </c>
      <c r="AP877" t="s">
        <v>743</v>
      </c>
      <c r="AQ877" t="s">
        <v>74</v>
      </c>
      <c r="AR877" t="s">
        <v>744</v>
      </c>
      <c r="AS877" t="s">
        <v>745</v>
      </c>
      <c r="AT877" t="s">
        <v>16488</v>
      </c>
      <c r="AU877">
        <v>2016</v>
      </c>
      <c r="AV877">
        <v>121</v>
      </c>
      <c r="AW877">
        <v>21</v>
      </c>
      <c r="AX877" t="s">
        <v>74</v>
      </c>
      <c r="AY877" t="s">
        <v>74</v>
      </c>
      <c r="AZ877" t="s">
        <v>74</v>
      </c>
      <c r="BA877" t="s">
        <v>74</v>
      </c>
      <c r="BB877">
        <v>12839</v>
      </c>
      <c r="BC877">
        <v>12855</v>
      </c>
      <c r="BD877" t="s">
        <v>74</v>
      </c>
      <c r="BE877" t="s">
        <v>16521</v>
      </c>
      <c r="BF877" t="str">
        <f>HYPERLINK("http://dx.doi.org/10.1002/2016JD024864","http://dx.doi.org/10.1002/2016JD024864")</f>
        <v>http://dx.doi.org/10.1002/2016JD024864</v>
      </c>
      <c r="BG877" t="s">
        <v>74</v>
      </c>
      <c r="BH877" t="s">
        <v>74</v>
      </c>
      <c r="BI877">
        <v>17</v>
      </c>
      <c r="BJ877" t="s">
        <v>747</v>
      </c>
      <c r="BK877" t="s">
        <v>101</v>
      </c>
      <c r="BL877" t="s">
        <v>747</v>
      </c>
      <c r="BM877" t="s">
        <v>16490</v>
      </c>
      <c r="BN877" t="s">
        <v>74</v>
      </c>
      <c r="BO877" t="s">
        <v>378</v>
      </c>
      <c r="BP877" t="s">
        <v>74</v>
      </c>
      <c r="BQ877" t="s">
        <v>74</v>
      </c>
      <c r="BR877" t="s">
        <v>105</v>
      </c>
      <c r="BS877" t="s">
        <v>16522</v>
      </c>
      <c r="BT877" t="str">
        <f>HYPERLINK("https%3A%2F%2Fwww.webofscience.com%2Fwos%2Fwoscc%2Ffull-record%2FWOS:000388960600016","View Full Record in Web of Science")</f>
        <v>View Full Record in Web of Science</v>
      </c>
    </row>
    <row r="878" spans="1:72" x14ac:dyDescent="0.15">
      <c r="A878" t="s">
        <v>72</v>
      </c>
      <c r="B878" t="s">
        <v>16523</v>
      </c>
      <c r="C878" t="s">
        <v>74</v>
      </c>
      <c r="D878" t="s">
        <v>74</v>
      </c>
      <c r="E878" t="s">
        <v>74</v>
      </c>
      <c r="F878" t="s">
        <v>16524</v>
      </c>
      <c r="G878" t="s">
        <v>74</v>
      </c>
      <c r="H878" t="s">
        <v>74</v>
      </c>
      <c r="I878" t="s">
        <v>16525</v>
      </c>
      <c r="J878" t="s">
        <v>769</v>
      </c>
      <c r="K878" t="s">
        <v>74</v>
      </c>
      <c r="L878" t="s">
        <v>74</v>
      </c>
      <c r="M878" t="s">
        <v>78</v>
      </c>
      <c r="N878" t="s">
        <v>7075</v>
      </c>
      <c r="O878" t="s">
        <v>74</v>
      </c>
      <c r="P878" t="s">
        <v>74</v>
      </c>
      <c r="Q878" t="s">
        <v>74</v>
      </c>
      <c r="R878" t="s">
        <v>74</v>
      </c>
      <c r="S878" t="s">
        <v>74</v>
      </c>
      <c r="T878" t="s">
        <v>74</v>
      </c>
      <c r="U878" t="s">
        <v>74</v>
      </c>
      <c r="V878" t="s">
        <v>74</v>
      </c>
      <c r="W878" t="s">
        <v>74</v>
      </c>
      <c r="X878" t="s">
        <v>74</v>
      </c>
      <c r="Y878" t="s">
        <v>74</v>
      </c>
      <c r="Z878" t="s">
        <v>74</v>
      </c>
      <c r="AA878" t="s">
        <v>16526</v>
      </c>
      <c r="AB878" t="s">
        <v>16527</v>
      </c>
      <c r="AC878" t="s">
        <v>74</v>
      </c>
      <c r="AD878" t="s">
        <v>74</v>
      </c>
      <c r="AE878" t="s">
        <v>74</v>
      </c>
      <c r="AF878" t="s">
        <v>74</v>
      </c>
      <c r="AG878">
        <v>1</v>
      </c>
      <c r="AH878">
        <v>1</v>
      </c>
      <c r="AI878">
        <v>1</v>
      </c>
      <c r="AJ878">
        <v>0</v>
      </c>
      <c r="AK878">
        <v>8</v>
      </c>
      <c r="AL878" t="s">
        <v>781</v>
      </c>
      <c r="AM878" t="s">
        <v>782</v>
      </c>
      <c r="AN878" t="s">
        <v>783</v>
      </c>
      <c r="AO878" t="s">
        <v>784</v>
      </c>
      <c r="AP878" t="s">
        <v>74</v>
      </c>
      <c r="AQ878" t="s">
        <v>74</v>
      </c>
      <c r="AR878" t="s">
        <v>769</v>
      </c>
      <c r="AS878" t="s">
        <v>785</v>
      </c>
      <c r="AT878" t="s">
        <v>16488</v>
      </c>
      <c r="AU878">
        <v>2016</v>
      </c>
      <c r="AV878">
        <v>11</v>
      </c>
      <c r="AW878">
        <v>11</v>
      </c>
      <c r="AX878" t="s">
        <v>74</v>
      </c>
      <c r="AY878" t="s">
        <v>74</v>
      </c>
      <c r="AZ878" t="s">
        <v>74</v>
      </c>
      <c r="BA878" t="s">
        <v>74</v>
      </c>
      <c r="BB878" t="s">
        <v>74</v>
      </c>
      <c r="BC878" t="s">
        <v>74</v>
      </c>
      <c r="BD878" t="s">
        <v>16528</v>
      </c>
      <c r="BE878" t="s">
        <v>16529</v>
      </c>
      <c r="BF878" t="str">
        <f>HYPERLINK("http://dx.doi.org/10.1371/journal.pone.0167011","http://dx.doi.org/10.1371/journal.pone.0167011")</f>
        <v>http://dx.doi.org/10.1371/journal.pone.0167011</v>
      </c>
      <c r="BG878" t="s">
        <v>74</v>
      </c>
      <c r="BH878" t="s">
        <v>74</v>
      </c>
      <c r="BI878">
        <v>1</v>
      </c>
      <c r="BJ878" t="s">
        <v>100</v>
      </c>
      <c r="BK878" t="s">
        <v>101</v>
      </c>
      <c r="BL878" t="s">
        <v>102</v>
      </c>
      <c r="BM878" t="s">
        <v>16530</v>
      </c>
      <c r="BN878">
        <v>27851818</v>
      </c>
      <c r="BO878" t="s">
        <v>591</v>
      </c>
      <c r="BP878" t="s">
        <v>74</v>
      </c>
      <c r="BQ878" t="s">
        <v>74</v>
      </c>
      <c r="BR878" t="s">
        <v>105</v>
      </c>
      <c r="BS878" t="s">
        <v>16531</v>
      </c>
      <c r="BT878" t="str">
        <f>HYPERLINK("https%3A%2F%2Fwww.webofscience.com%2Fwos%2Fwoscc%2Ffull-record%2FWOS:000387909300086","View Full Record in Web of Science")</f>
        <v>View Full Record in Web of Science</v>
      </c>
    </row>
    <row r="879" spans="1:72" x14ac:dyDescent="0.15">
      <c r="A879" t="s">
        <v>72</v>
      </c>
      <c r="B879" t="s">
        <v>16532</v>
      </c>
      <c r="C879" t="s">
        <v>74</v>
      </c>
      <c r="D879" t="s">
        <v>74</v>
      </c>
      <c r="E879" t="s">
        <v>74</v>
      </c>
      <c r="F879" t="s">
        <v>16533</v>
      </c>
      <c r="G879" t="s">
        <v>74</v>
      </c>
      <c r="H879" t="s">
        <v>74</v>
      </c>
      <c r="I879" t="s">
        <v>16534</v>
      </c>
      <c r="J879" t="s">
        <v>12348</v>
      </c>
      <c r="K879" t="s">
        <v>74</v>
      </c>
      <c r="L879" t="s">
        <v>74</v>
      </c>
      <c r="M879" t="s">
        <v>78</v>
      </c>
      <c r="N879" t="s">
        <v>79</v>
      </c>
      <c r="O879" t="s">
        <v>74</v>
      </c>
      <c r="P879" t="s">
        <v>74</v>
      </c>
      <c r="Q879" t="s">
        <v>74</v>
      </c>
      <c r="R879" t="s">
        <v>74</v>
      </c>
      <c r="S879" t="s">
        <v>74</v>
      </c>
      <c r="T879" t="s">
        <v>16535</v>
      </c>
      <c r="U879" t="s">
        <v>16536</v>
      </c>
      <c r="V879" t="s">
        <v>16537</v>
      </c>
      <c r="W879" t="s">
        <v>16538</v>
      </c>
      <c r="X879" t="s">
        <v>16539</v>
      </c>
      <c r="Y879" t="s">
        <v>16540</v>
      </c>
      <c r="Z879" t="s">
        <v>16541</v>
      </c>
      <c r="AA879" t="s">
        <v>16542</v>
      </c>
      <c r="AB879" t="s">
        <v>16543</v>
      </c>
      <c r="AC879" t="s">
        <v>16544</v>
      </c>
      <c r="AD879" t="s">
        <v>16544</v>
      </c>
      <c r="AE879" t="s">
        <v>16545</v>
      </c>
      <c r="AF879" t="s">
        <v>74</v>
      </c>
      <c r="AG879">
        <v>33</v>
      </c>
      <c r="AH879">
        <v>37</v>
      </c>
      <c r="AI879">
        <v>37</v>
      </c>
      <c r="AJ879">
        <v>0</v>
      </c>
      <c r="AK879">
        <v>1</v>
      </c>
      <c r="AL879" t="s">
        <v>1731</v>
      </c>
      <c r="AM879" t="s">
        <v>1732</v>
      </c>
      <c r="AN879" t="s">
        <v>1733</v>
      </c>
      <c r="AO879" t="s">
        <v>74</v>
      </c>
      <c r="AP879" t="s">
        <v>12361</v>
      </c>
      <c r="AQ879" t="s">
        <v>74</v>
      </c>
      <c r="AR879" t="s">
        <v>12362</v>
      </c>
      <c r="AS879" t="s">
        <v>12363</v>
      </c>
      <c r="AT879" t="s">
        <v>16488</v>
      </c>
      <c r="AU879">
        <v>2016</v>
      </c>
      <c r="AV879">
        <v>7</v>
      </c>
      <c r="AW879" t="s">
        <v>74</v>
      </c>
      <c r="AX879" t="s">
        <v>74</v>
      </c>
      <c r="AY879" t="s">
        <v>74</v>
      </c>
      <c r="AZ879" t="s">
        <v>74</v>
      </c>
      <c r="BA879" t="s">
        <v>74</v>
      </c>
      <c r="BB879" t="s">
        <v>74</v>
      </c>
      <c r="BC879" t="s">
        <v>74</v>
      </c>
      <c r="BD879">
        <v>1860</v>
      </c>
      <c r="BE879" t="s">
        <v>16546</v>
      </c>
      <c r="BF879" t="str">
        <f>HYPERLINK("http://dx.doi.org/10.3389/fmicb.2016.01860","http://dx.doi.org/10.3389/fmicb.2016.01860")</f>
        <v>http://dx.doi.org/10.3389/fmicb.2016.01860</v>
      </c>
      <c r="BG879" t="s">
        <v>74</v>
      </c>
      <c r="BH879" t="s">
        <v>74</v>
      </c>
      <c r="BI879">
        <v>5</v>
      </c>
      <c r="BJ879" t="s">
        <v>2026</v>
      </c>
      <c r="BK879" t="s">
        <v>101</v>
      </c>
      <c r="BL879" t="s">
        <v>2026</v>
      </c>
      <c r="BM879" t="s">
        <v>16547</v>
      </c>
      <c r="BN879">
        <v>27899924</v>
      </c>
      <c r="BO879" t="s">
        <v>591</v>
      </c>
      <c r="BP879" t="s">
        <v>74</v>
      </c>
      <c r="BQ879" t="s">
        <v>74</v>
      </c>
      <c r="BR879" t="s">
        <v>105</v>
      </c>
      <c r="BS879" t="s">
        <v>16548</v>
      </c>
      <c r="BT879" t="str">
        <f>HYPERLINK("https%3A%2F%2Fwww.webofscience.com%2Fwos%2Fwoscc%2Ffull-record%2FWOS:000388752100001","View Full Record in Web of Science")</f>
        <v>View Full Record in Web of Science</v>
      </c>
    </row>
    <row r="880" spans="1:72" x14ac:dyDescent="0.15">
      <c r="A880" t="s">
        <v>72</v>
      </c>
      <c r="B880" t="s">
        <v>16549</v>
      </c>
      <c r="C880" t="s">
        <v>74</v>
      </c>
      <c r="D880" t="s">
        <v>74</v>
      </c>
      <c r="E880" t="s">
        <v>74</v>
      </c>
      <c r="F880" t="s">
        <v>16550</v>
      </c>
      <c r="G880" t="s">
        <v>74</v>
      </c>
      <c r="H880" t="s">
        <v>74</v>
      </c>
      <c r="I880" t="s">
        <v>16551</v>
      </c>
      <c r="J880" t="s">
        <v>730</v>
      </c>
      <c r="K880" t="s">
        <v>74</v>
      </c>
      <c r="L880" t="s">
        <v>74</v>
      </c>
      <c r="M880" t="s">
        <v>78</v>
      </c>
      <c r="N880" t="s">
        <v>79</v>
      </c>
      <c r="O880" t="s">
        <v>74</v>
      </c>
      <c r="P880" t="s">
        <v>74</v>
      </c>
      <c r="Q880" t="s">
        <v>74</v>
      </c>
      <c r="R880" t="s">
        <v>74</v>
      </c>
      <c r="S880" t="s">
        <v>74</v>
      </c>
      <c r="T880" t="s">
        <v>74</v>
      </c>
      <c r="U880" t="s">
        <v>16552</v>
      </c>
      <c r="V880" t="s">
        <v>16553</v>
      </c>
      <c r="W880" t="s">
        <v>16554</v>
      </c>
      <c r="X880" t="s">
        <v>16555</v>
      </c>
      <c r="Y880" t="s">
        <v>16556</v>
      </c>
      <c r="Z880" t="s">
        <v>16557</v>
      </c>
      <c r="AA880" t="s">
        <v>16558</v>
      </c>
      <c r="AB880" t="s">
        <v>16559</v>
      </c>
      <c r="AC880" t="s">
        <v>16560</v>
      </c>
      <c r="AD880" t="s">
        <v>16561</v>
      </c>
      <c r="AE880" t="s">
        <v>16562</v>
      </c>
      <c r="AF880" t="s">
        <v>74</v>
      </c>
      <c r="AG880">
        <v>54</v>
      </c>
      <c r="AH880">
        <v>6</v>
      </c>
      <c r="AI880">
        <v>7</v>
      </c>
      <c r="AJ880">
        <v>1</v>
      </c>
      <c r="AK880">
        <v>15</v>
      </c>
      <c r="AL880" t="s">
        <v>661</v>
      </c>
      <c r="AM880" t="s">
        <v>142</v>
      </c>
      <c r="AN880" t="s">
        <v>662</v>
      </c>
      <c r="AO880" t="s">
        <v>742</v>
      </c>
      <c r="AP880" t="s">
        <v>743</v>
      </c>
      <c r="AQ880" t="s">
        <v>74</v>
      </c>
      <c r="AR880" t="s">
        <v>744</v>
      </c>
      <c r="AS880" t="s">
        <v>745</v>
      </c>
      <c r="AT880" t="s">
        <v>16488</v>
      </c>
      <c r="AU880">
        <v>2016</v>
      </c>
      <c r="AV880">
        <v>121</v>
      </c>
      <c r="AW880">
        <v>21</v>
      </c>
      <c r="AX880" t="s">
        <v>74</v>
      </c>
      <c r="AY880" t="s">
        <v>74</v>
      </c>
      <c r="AZ880" t="s">
        <v>74</v>
      </c>
      <c r="BA880" t="s">
        <v>74</v>
      </c>
      <c r="BB880">
        <v>13113</v>
      </c>
      <c r="BC880">
        <v>13128</v>
      </c>
      <c r="BD880" t="s">
        <v>74</v>
      </c>
      <c r="BE880" t="s">
        <v>16563</v>
      </c>
      <c r="BF880" t="str">
        <f>HYPERLINK("http://dx.doi.org/10.1002/2016JD025437","http://dx.doi.org/10.1002/2016JD025437")</f>
        <v>http://dx.doi.org/10.1002/2016JD025437</v>
      </c>
      <c r="BG880" t="s">
        <v>74</v>
      </c>
      <c r="BH880" t="s">
        <v>74</v>
      </c>
      <c r="BI880">
        <v>16</v>
      </c>
      <c r="BJ880" t="s">
        <v>747</v>
      </c>
      <c r="BK880" t="s">
        <v>101</v>
      </c>
      <c r="BL880" t="s">
        <v>747</v>
      </c>
      <c r="BM880" t="s">
        <v>16490</v>
      </c>
      <c r="BN880" t="s">
        <v>74</v>
      </c>
      <c r="BO880" t="s">
        <v>672</v>
      </c>
      <c r="BP880" t="s">
        <v>74</v>
      </c>
      <c r="BQ880" t="s">
        <v>74</v>
      </c>
      <c r="BR880" t="s">
        <v>105</v>
      </c>
      <c r="BS880" t="s">
        <v>16564</v>
      </c>
      <c r="BT880" t="str">
        <f>HYPERLINK("https%3A%2F%2Fwww.webofscience.com%2Fwos%2Fwoscc%2Ffull-record%2FWOS:000388960600030","View Full Record in Web of Science")</f>
        <v>View Full Record in Web of Science</v>
      </c>
    </row>
    <row r="881" spans="1:72" x14ac:dyDescent="0.15">
      <c r="A881" t="s">
        <v>72</v>
      </c>
      <c r="B881" t="s">
        <v>16565</v>
      </c>
      <c r="C881" t="s">
        <v>74</v>
      </c>
      <c r="D881" t="s">
        <v>74</v>
      </c>
      <c r="E881" t="s">
        <v>74</v>
      </c>
      <c r="F881" t="s">
        <v>16566</v>
      </c>
      <c r="G881" t="s">
        <v>74</v>
      </c>
      <c r="H881" t="s">
        <v>74</v>
      </c>
      <c r="I881" t="s">
        <v>16567</v>
      </c>
      <c r="J881" t="s">
        <v>769</v>
      </c>
      <c r="K881" t="s">
        <v>74</v>
      </c>
      <c r="L881" t="s">
        <v>74</v>
      </c>
      <c r="M881" t="s">
        <v>78</v>
      </c>
      <c r="N881" t="s">
        <v>79</v>
      </c>
      <c r="O881" t="s">
        <v>74</v>
      </c>
      <c r="P881" t="s">
        <v>74</v>
      </c>
      <c r="Q881" t="s">
        <v>74</v>
      </c>
      <c r="R881" t="s">
        <v>74</v>
      </c>
      <c r="S881" t="s">
        <v>74</v>
      </c>
      <c r="T881" t="s">
        <v>74</v>
      </c>
      <c r="U881" t="s">
        <v>16568</v>
      </c>
      <c r="V881" t="s">
        <v>16569</v>
      </c>
      <c r="W881" t="s">
        <v>16570</v>
      </c>
      <c r="X881" t="s">
        <v>16571</v>
      </c>
      <c r="Y881" t="s">
        <v>16572</v>
      </c>
      <c r="Z881" t="s">
        <v>16573</v>
      </c>
      <c r="AA881" t="s">
        <v>16574</v>
      </c>
      <c r="AB881" t="s">
        <v>16575</v>
      </c>
      <c r="AC881" t="s">
        <v>16576</v>
      </c>
      <c r="AD881" t="s">
        <v>16577</v>
      </c>
      <c r="AE881" t="s">
        <v>16578</v>
      </c>
      <c r="AF881" t="s">
        <v>74</v>
      </c>
      <c r="AG881">
        <v>32</v>
      </c>
      <c r="AH881">
        <v>14</v>
      </c>
      <c r="AI881">
        <v>14</v>
      </c>
      <c r="AJ881">
        <v>1</v>
      </c>
      <c r="AK881">
        <v>7</v>
      </c>
      <c r="AL881" t="s">
        <v>781</v>
      </c>
      <c r="AM881" t="s">
        <v>782</v>
      </c>
      <c r="AN881" t="s">
        <v>783</v>
      </c>
      <c r="AO881" t="s">
        <v>784</v>
      </c>
      <c r="AP881" t="s">
        <v>74</v>
      </c>
      <c r="AQ881" t="s">
        <v>74</v>
      </c>
      <c r="AR881" t="s">
        <v>769</v>
      </c>
      <c r="AS881" t="s">
        <v>785</v>
      </c>
      <c r="AT881" t="s">
        <v>16579</v>
      </c>
      <c r="AU881">
        <v>2016</v>
      </c>
      <c r="AV881">
        <v>11</v>
      </c>
      <c r="AW881">
        <v>11</v>
      </c>
      <c r="AX881" t="s">
        <v>74</v>
      </c>
      <c r="AY881" t="s">
        <v>74</v>
      </c>
      <c r="AZ881" t="s">
        <v>74</v>
      </c>
      <c r="BA881" t="s">
        <v>74</v>
      </c>
      <c r="BB881" t="s">
        <v>74</v>
      </c>
      <c r="BC881" t="s">
        <v>74</v>
      </c>
      <c r="BD881" t="s">
        <v>16580</v>
      </c>
      <c r="BE881" t="s">
        <v>16581</v>
      </c>
      <c r="BF881" t="str">
        <f>HYPERLINK("http://dx.doi.org/10.1371/journal.pone.0166343","http://dx.doi.org/10.1371/journal.pone.0166343")</f>
        <v>http://dx.doi.org/10.1371/journal.pone.0166343</v>
      </c>
      <c r="BG881" t="s">
        <v>74</v>
      </c>
      <c r="BH881" t="s">
        <v>74</v>
      </c>
      <c r="BI881">
        <v>15</v>
      </c>
      <c r="BJ881" t="s">
        <v>100</v>
      </c>
      <c r="BK881" t="s">
        <v>101</v>
      </c>
      <c r="BL881" t="s">
        <v>102</v>
      </c>
      <c r="BM881" t="s">
        <v>16582</v>
      </c>
      <c r="BN881">
        <v>27846289</v>
      </c>
      <c r="BO881" t="s">
        <v>104</v>
      </c>
      <c r="BP881" t="s">
        <v>74</v>
      </c>
      <c r="BQ881" t="s">
        <v>74</v>
      </c>
      <c r="BR881" t="s">
        <v>105</v>
      </c>
      <c r="BS881" t="s">
        <v>16583</v>
      </c>
      <c r="BT881" t="str">
        <f>HYPERLINK("https%3A%2F%2Fwww.webofscience.com%2Fwos%2Fwoscc%2Ffull-record%2FWOS:000387794600047","View Full Record in Web of Science")</f>
        <v>View Full Record in Web of Science</v>
      </c>
    </row>
    <row r="882" spans="1:72" x14ac:dyDescent="0.15">
      <c r="A882" t="s">
        <v>72</v>
      </c>
      <c r="B882" t="s">
        <v>16584</v>
      </c>
      <c r="C882" t="s">
        <v>74</v>
      </c>
      <c r="D882" t="s">
        <v>74</v>
      </c>
      <c r="E882" t="s">
        <v>74</v>
      </c>
      <c r="F882" t="s">
        <v>16585</v>
      </c>
      <c r="G882" t="s">
        <v>74</v>
      </c>
      <c r="H882" t="s">
        <v>74</v>
      </c>
      <c r="I882" t="s">
        <v>16586</v>
      </c>
      <c r="J882" t="s">
        <v>12921</v>
      </c>
      <c r="K882" t="s">
        <v>74</v>
      </c>
      <c r="L882" t="s">
        <v>74</v>
      </c>
      <c r="M882" t="s">
        <v>78</v>
      </c>
      <c r="N882" t="s">
        <v>79</v>
      </c>
      <c r="O882" t="s">
        <v>74</v>
      </c>
      <c r="P882" t="s">
        <v>74</v>
      </c>
      <c r="Q882" t="s">
        <v>74</v>
      </c>
      <c r="R882" t="s">
        <v>74</v>
      </c>
      <c r="S882" t="s">
        <v>74</v>
      </c>
      <c r="T882" t="s">
        <v>74</v>
      </c>
      <c r="U882" t="s">
        <v>16587</v>
      </c>
      <c r="V882" t="s">
        <v>16588</v>
      </c>
      <c r="W882" t="s">
        <v>16589</v>
      </c>
      <c r="X882" t="s">
        <v>16590</v>
      </c>
      <c r="Y882" t="s">
        <v>16591</v>
      </c>
      <c r="Z882" t="s">
        <v>16592</v>
      </c>
      <c r="AA882" t="s">
        <v>74</v>
      </c>
      <c r="AB882" t="s">
        <v>16593</v>
      </c>
      <c r="AC882" t="s">
        <v>16594</v>
      </c>
      <c r="AD882" t="s">
        <v>16595</v>
      </c>
      <c r="AE882" t="s">
        <v>16596</v>
      </c>
      <c r="AF882" t="s">
        <v>74</v>
      </c>
      <c r="AG882">
        <v>54</v>
      </c>
      <c r="AH882">
        <v>14</v>
      </c>
      <c r="AI882">
        <v>17</v>
      </c>
      <c r="AJ882">
        <v>1</v>
      </c>
      <c r="AK882">
        <v>30</v>
      </c>
      <c r="AL882" t="s">
        <v>1466</v>
      </c>
      <c r="AM882" t="s">
        <v>142</v>
      </c>
      <c r="AN882" t="s">
        <v>1467</v>
      </c>
      <c r="AO882" t="s">
        <v>12933</v>
      </c>
      <c r="AP882" t="s">
        <v>12934</v>
      </c>
      <c r="AQ882" t="s">
        <v>74</v>
      </c>
      <c r="AR882" t="s">
        <v>12935</v>
      </c>
      <c r="AS882" t="s">
        <v>12936</v>
      </c>
      <c r="AT882" t="s">
        <v>16579</v>
      </c>
      <c r="AU882">
        <v>2016</v>
      </c>
      <c r="AV882">
        <v>50</v>
      </c>
      <c r="AW882">
        <v>22</v>
      </c>
      <c r="AX882" t="s">
        <v>74</v>
      </c>
      <c r="AY882" t="s">
        <v>74</v>
      </c>
      <c r="AZ882" t="s">
        <v>74</v>
      </c>
      <c r="BA882" t="s">
        <v>74</v>
      </c>
      <c r="BB882">
        <v>12138</v>
      </c>
      <c r="BC882">
        <v>12145</v>
      </c>
      <c r="BD882" t="s">
        <v>74</v>
      </c>
      <c r="BE882" t="s">
        <v>16597</v>
      </c>
      <c r="BF882" t="str">
        <f>HYPERLINK("http://dx.doi.org/10.1021/acs.est.6b03209","http://dx.doi.org/10.1021/acs.est.6b03209")</f>
        <v>http://dx.doi.org/10.1021/acs.est.6b03209</v>
      </c>
      <c r="BG882" t="s">
        <v>74</v>
      </c>
      <c r="BH882" t="s">
        <v>74</v>
      </c>
      <c r="BI882">
        <v>8</v>
      </c>
      <c r="BJ882" t="s">
        <v>5098</v>
      </c>
      <c r="BK882" t="s">
        <v>101</v>
      </c>
      <c r="BL882" t="s">
        <v>5099</v>
      </c>
      <c r="BM882" t="s">
        <v>16598</v>
      </c>
      <c r="BN882">
        <v>27737543</v>
      </c>
      <c r="BO882" t="s">
        <v>74</v>
      </c>
      <c r="BP882" t="s">
        <v>74</v>
      </c>
      <c r="BQ882" t="s">
        <v>74</v>
      </c>
      <c r="BR882" t="s">
        <v>105</v>
      </c>
      <c r="BS882" t="s">
        <v>16599</v>
      </c>
      <c r="BT882" t="str">
        <f>HYPERLINK("https%3A%2F%2Fwww.webofscience.com%2Fwos%2Fwoscc%2Ffull-record%2FWOS:000388155000010","View Full Record in Web of Science")</f>
        <v>View Full Record in Web of Science</v>
      </c>
    </row>
    <row r="883" spans="1:72" x14ac:dyDescent="0.15">
      <c r="A883" t="s">
        <v>72</v>
      </c>
      <c r="B883" t="s">
        <v>16600</v>
      </c>
      <c r="C883" t="s">
        <v>74</v>
      </c>
      <c r="D883" t="s">
        <v>74</v>
      </c>
      <c r="E883" t="s">
        <v>74</v>
      </c>
      <c r="F883" t="s">
        <v>16601</v>
      </c>
      <c r="G883" t="s">
        <v>74</v>
      </c>
      <c r="H883" t="s">
        <v>74</v>
      </c>
      <c r="I883" t="s">
        <v>16602</v>
      </c>
      <c r="J883" t="s">
        <v>16603</v>
      </c>
      <c r="K883" t="s">
        <v>74</v>
      </c>
      <c r="L883" t="s">
        <v>74</v>
      </c>
      <c r="M883" t="s">
        <v>78</v>
      </c>
      <c r="N883" t="s">
        <v>79</v>
      </c>
      <c r="O883" t="s">
        <v>74</v>
      </c>
      <c r="P883" t="s">
        <v>74</v>
      </c>
      <c r="Q883" t="s">
        <v>74</v>
      </c>
      <c r="R883" t="s">
        <v>74</v>
      </c>
      <c r="S883" t="s">
        <v>74</v>
      </c>
      <c r="T883" t="s">
        <v>16604</v>
      </c>
      <c r="U883" t="s">
        <v>16605</v>
      </c>
      <c r="V883" t="s">
        <v>16606</v>
      </c>
      <c r="W883" t="s">
        <v>16607</v>
      </c>
      <c r="X883" t="s">
        <v>16608</v>
      </c>
      <c r="Y883" t="s">
        <v>16609</v>
      </c>
      <c r="Z883" t="s">
        <v>16610</v>
      </c>
      <c r="AA883" t="s">
        <v>74</v>
      </c>
      <c r="AB883" t="s">
        <v>74</v>
      </c>
      <c r="AC883" t="s">
        <v>74</v>
      </c>
      <c r="AD883" t="s">
        <v>74</v>
      </c>
      <c r="AE883" t="s">
        <v>74</v>
      </c>
      <c r="AF883" t="s">
        <v>74</v>
      </c>
      <c r="AG883">
        <v>49</v>
      </c>
      <c r="AH883">
        <v>0</v>
      </c>
      <c r="AI883">
        <v>1</v>
      </c>
      <c r="AJ883">
        <v>0</v>
      </c>
      <c r="AK883">
        <v>3</v>
      </c>
      <c r="AL883" t="s">
        <v>2325</v>
      </c>
      <c r="AM883" t="s">
        <v>292</v>
      </c>
      <c r="AN883" t="s">
        <v>2326</v>
      </c>
      <c r="AO883" t="s">
        <v>16611</v>
      </c>
      <c r="AP883" t="s">
        <v>16612</v>
      </c>
      <c r="AQ883" t="s">
        <v>74</v>
      </c>
      <c r="AR883" t="s">
        <v>16613</v>
      </c>
      <c r="AS883" t="s">
        <v>16614</v>
      </c>
      <c r="AT883" t="s">
        <v>16579</v>
      </c>
      <c r="AU883">
        <v>2016</v>
      </c>
      <c r="AV883">
        <v>58</v>
      </c>
      <c r="AW883">
        <v>10</v>
      </c>
      <c r="AX883" t="s">
        <v>74</v>
      </c>
      <c r="AY883" t="s">
        <v>74</v>
      </c>
      <c r="AZ883" t="s">
        <v>74</v>
      </c>
      <c r="BA883" t="s">
        <v>74</v>
      </c>
      <c r="BB883">
        <v>2026</v>
      </c>
      <c r="BC883">
        <v>2036</v>
      </c>
      <c r="BD883" t="s">
        <v>74</v>
      </c>
      <c r="BE883" t="s">
        <v>16615</v>
      </c>
      <c r="BF883" t="str">
        <f>HYPERLINK("http://dx.doi.org/10.1016/j.asr.2016.01.001","http://dx.doi.org/10.1016/j.asr.2016.01.001")</f>
        <v>http://dx.doi.org/10.1016/j.asr.2016.01.001</v>
      </c>
      <c r="BG883" t="s">
        <v>74</v>
      </c>
      <c r="BH883" t="s">
        <v>74</v>
      </c>
      <c r="BI883">
        <v>11</v>
      </c>
      <c r="BJ883" t="s">
        <v>16616</v>
      </c>
      <c r="BK883" t="s">
        <v>101</v>
      </c>
      <c r="BL883" t="s">
        <v>16617</v>
      </c>
      <c r="BM883" t="s">
        <v>16618</v>
      </c>
      <c r="BN883" t="s">
        <v>74</v>
      </c>
      <c r="BO883" t="s">
        <v>74</v>
      </c>
      <c r="BP883" t="s">
        <v>74</v>
      </c>
      <c r="BQ883" t="s">
        <v>74</v>
      </c>
      <c r="BR883" t="s">
        <v>105</v>
      </c>
      <c r="BS883" t="s">
        <v>16619</v>
      </c>
      <c r="BT883" t="str">
        <f>HYPERLINK("https%3A%2F%2Fwww.webofscience.com%2Fwos%2Fwoscc%2Ffull-record%2FWOS:000387521000012","View Full Record in Web of Science")</f>
        <v>View Full Record in Web of Science</v>
      </c>
    </row>
    <row r="884" spans="1:72" x14ac:dyDescent="0.15">
      <c r="A884" t="s">
        <v>72</v>
      </c>
      <c r="B884" t="s">
        <v>16620</v>
      </c>
      <c r="C884" t="s">
        <v>74</v>
      </c>
      <c r="D884" t="s">
        <v>74</v>
      </c>
      <c r="E884" t="s">
        <v>74</v>
      </c>
      <c r="F884" t="s">
        <v>16621</v>
      </c>
      <c r="G884" t="s">
        <v>74</v>
      </c>
      <c r="H884" t="s">
        <v>74</v>
      </c>
      <c r="I884" t="s">
        <v>16622</v>
      </c>
      <c r="J884" t="s">
        <v>9583</v>
      </c>
      <c r="K884" t="s">
        <v>74</v>
      </c>
      <c r="L884" t="s">
        <v>74</v>
      </c>
      <c r="M884" t="s">
        <v>78</v>
      </c>
      <c r="N884" t="s">
        <v>79</v>
      </c>
      <c r="O884" t="s">
        <v>74</v>
      </c>
      <c r="P884" t="s">
        <v>74</v>
      </c>
      <c r="Q884" t="s">
        <v>74</v>
      </c>
      <c r="R884" t="s">
        <v>74</v>
      </c>
      <c r="S884" t="s">
        <v>74</v>
      </c>
      <c r="T884" t="s">
        <v>16623</v>
      </c>
      <c r="U884" t="s">
        <v>16624</v>
      </c>
      <c r="V884" t="s">
        <v>16625</v>
      </c>
      <c r="W884" t="s">
        <v>16626</v>
      </c>
      <c r="X884" t="s">
        <v>16627</v>
      </c>
      <c r="Y884" t="s">
        <v>16628</v>
      </c>
      <c r="Z884" t="s">
        <v>16629</v>
      </c>
      <c r="AA884" t="s">
        <v>74</v>
      </c>
      <c r="AB884" t="s">
        <v>74</v>
      </c>
      <c r="AC884" t="s">
        <v>16630</v>
      </c>
      <c r="AD884" t="s">
        <v>16631</v>
      </c>
      <c r="AE884" t="s">
        <v>16632</v>
      </c>
      <c r="AF884" t="s">
        <v>74</v>
      </c>
      <c r="AG884">
        <v>79</v>
      </c>
      <c r="AH884">
        <v>86</v>
      </c>
      <c r="AI884">
        <v>95</v>
      </c>
      <c r="AJ884">
        <v>1</v>
      </c>
      <c r="AK884">
        <v>68</v>
      </c>
      <c r="AL884" t="s">
        <v>291</v>
      </c>
      <c r="AM884" t="s">
        <v>292</v>
      </c>
      <c r="AN884" t="s">
        <v>293</v>
      </c>
      <c r="AO884" t="s">
        <v>9595</v>
      </c>
      <c r="AP884" t="s">
        <v>74</v>
      </c>
      <c r="AQ884" t="s">
        <v>74</v>
      </c>
      <c r="AR884" t="s">
        <v>9596</v>
      </c>
      <c r="AS884" t="s">
        <v>9597</v>
      </c>
      <c r="AT884" t="s">
        <v>16579</v>
      </c>
      <c r="AU884">
        <v>2016</v>
      </c>
      <c r="AV884">
        <v>152</v>
      </c>
      <c r="AW884" t="s">
        <v>74</v>
      </c>
      <c r="AX884" t="s">
        <v>74</v>
      </c>
      <c r="AY884" t="s">
        <v>74</v>
      </c>
      <c r="AZ884" t="s">
        <v>74</v>
      </c>
      <c r="BA884" t="s">
        <v>74</v>
      </c>
      <c r="BB884">
        <v>49</v>
      </c>
      <c r="BC884">
        <v>59</v>
      </c>
      <c r="BD884" t="s">
        <v>74</v>
      </c>
      <c r="BE884" t="s">
        <v>16633</v>
      </c>
      <c r="BF884" t="str">
        <f>HYPERLINK("http://dx.doi.org/10.1016/j.quascirev.2016.09.014","http://dx.doi.org/10.1016/j.quascirev.2016.09.014")</f>
        <v>http://dx.doi.org/10.1016/j.quascirev.2016.09.014</v>
      </c>
      <c r="BG884" t="s">
        <v>74</v>
      </c>
      <c r="BH884" t="s">
        <v>74</v>
      </c>
      <c r="BI884">
        <v>11</v>
      </c>
      <c r="BJ884" t="s">
        <v>615</v>
      </c>
      <c r="BK884" t="s">
        <v>101</v>
      </c>
      <c r="BL884" t="s">
        <v>616</v>
      </c>
      <c r="BM884" t="s">
        <v>16634</v>
      </c>
      <c r="BN884" t="s">
        <v>74</v>
      </c>
      <c r="BO884" t="s">
        <v>301</v>
      </c>
      <c r="BP884" t="s">
        <v>74</v>
      </c>
      <c r="BQ884" t="s">
        <v>74</v>
      </c>
      <c r="BR884" t="s">
        <v>105</v>
      </c>
      <c r="BS884" t="s">
        <v>16635</v>
      </c>
      <c r="BT884" t="str">
        <f>HYPERLINK("https%3A%2F%2Fwww.webofscience.com%2Fwos%2Fwoscc%2Ffull-record%2FWOS:000387527000004","View Full Record in Web of Science")</f>
        <v>View Full Record in Web of Science</v>
      </c>
    </row>
    <row r="885" spans="1:72" x14ac:dyDescent="0.15">
      <c r="A885" t="s">
        <v>72</v>
      </c>
      <c r="B885" t="s">
        <v>16636</v>
      </c>
      <c r="C885" t="s">
        <v>74</v>
      </c>
      <c r="D885" t="s">
        <v>74</v>
      </c>
      <c r="E885" t="s">
        <v>74</v>
      </c>
      <c r="F885" t="s">
        <v>16637</v>
      </c>
      <c r="G885" t="s">
        <v>74</v>
      </c>
      <c r="H885" t="s">
        <v>74</v>
      </c>
      <c r="I885" t="s">
        <v>16638</v>
      </c>
      <c r="J885" t="s">
        <v>9583</v>
      </c>
      <c r="K885" t="s">
        <v>74</v>
      </c>
      <c r="L885" t="s">
        <v>74</v>
      </c>
      <c r="M885" t="s">
        <v>78</v>
      </c>
      <c r="N885" t="s">
        <v>79</v>
      </c>
      <c r="O885" t="s">
        <v>74</v>
      </c>
      <c r="P885" t="s">
        <v>74</v>
      </c>
      <c r="Q885" t="s">
        <v>74</v>
      </c>
      <c r="R885" t="s">
        <v>74</v>
      </c>
      <c r="S885" t="s">
        <v>74</v>
      </c>
      <c r="T885" t="s">
        <v>16639</v>
      </c>
      <c r="U885" t="s">
        <v>16640</v>
      </c>
      <c r="V885" t="s">
        <v>16641</v>
      </c>
      <c r="W885" t="s">
        <v>16642</v>
      </c>
      <c r="X885" t="s">
        <v>16643</v>
      </c>
      <c r="Y885" t="s">
        <v>16644</v>
      </c>
      <c r="Z885" t="s">
        <v>16645</v>
      </c>
      <c r="AA885" t="s">
        <v>74</v>
      </c>
      <c r="AB885" t="s">
        <v>16646</v>
      </c>
      <c r="AC885" t="s">
        <v>16647</v>
      </c>
      <c r="AD885" t="s">
        <v>16647</v>
      </c>
      <c r="AE885" t="s">
        <v>16648</v>
      </c>
      <c r="AF885" t="s">
        <v>74</v>
      </c>
      <c r="AG885">
        <v>113</v>
      </c>
      <c r="AH885">
        <v>12</v>
      </c>
      <c r="AI885">
        <v>12</v>
      </c>
      <c r="AJ885">
        <v>2</v>
      </c>
      <c r="AK885">
        <v>11</v>
      </c>
      <c r="AL885" t="s">
        <v>291</v>
      </c>
      <c r="AM885" t="s">
        <v>292</v>
      </c>
      <c r="AN885" t="s">
        <v>293</v>
      </c>
      <c r="AO885" t="s">
        <v>9595</v>
      </c>
      <c r="AP885" t="s">
        <v>74</v>
      </c>
      <c r="AQ885" t="s">
        <v>74</v>
      </c>
      <c r="AR885" t="s">
        <v>9596</v>
      </c>
      <c r="AS885" t="s">
        <v>9597</v>
      </c>
      <c r="AT885" t="s">
        <v>16579</v>
      </c>
      <c r="AU885">
        <v>2016</v>
      </c>
      <c r="AV885">
        <v>152</v>
      </c>
      <c r="AW885" t="s">
        <v>74</v>
      </c>
      <c r="AX885" t="s">
        <v>74</v>
      </c>
      <c r="AY885" t="s">
        <v>74</v>
      </c>
      <c r="AZ885" t="s">
        <v>74</v>
      </c>
      <c r="BA885" t="s">
        <v>74</v>
      </c>
      <c r="BB885">
        <v>169</v>
      </c>
      <c r="BC885">
        <v>196</v>
      </c>
      <c r="BD885" t="s">
        <v>74</v>
      </c>
      <c r="BE885" t="s">
        <v>16649</v>
      </c>
      <c r="BF885" t="str">
        <f>HYPERLINK("http://dx.doi.org/10.1016/j.quascirev.2016.09.013","http://dx.doi.org/10.1016/j.quascirev.2016.09.013")</f>
        <v>http://dx.doi.org/10.1016/j.quascirev.2016.09.013</v>
      </c>
      <c r="BG885" t="s">
        <v>74</v>
      </c>
      <c r="BH885" t="s">
        <v>74</v>
      </c>
      <c r="BI885">
        <v>28</v>
      </c>
      <c r="BJ885" t="s">
        <v>615</v>
      </c>
      <c r="BK885" t="s">
        <v>101</v>
      </c>
      <c r="BL885" t="s">
        <v>616</v>
      </c>
      <c r="BM885" t="s">
        <v>16634</v>
      </c>
      <c r="BN885" t="s">
        <v>74</v>
      </c>
      <c r="BO885" t="s">
        <v>378</v>
      </c>
      <c r="BP885" t="s">
        <v>74</v>
      </c>
      <c r="BQ885" t="s">
        <v>74</v>
      </c>
      <c r="BR885" t="s">
        <v>105</v>
      </c>
      <c r="BS885" t="s">
        <v>16650</v>
      </c>
      <c r="BT885" t="str">
        <f>HYPERLINK("https%3A%2F%2Fwww.webofscience.com%2Fwos%2Fwoscc%2Ffull-record%2FWOS:000387527000013","View Full Record in Web of Science")</f>
        <v>View Full Record in Web of Science</v>
      </c>
    </row>
    <row r="886" spans="1:72" x14ac:dyDescent="0.15">
      <c r="A886" t="s">
        <v>72</v>
      </c>
      <c r="B886" t="s">
        <v>16651</v>
      </c>
      <c r="C886" t="s">
        <v>74</v>
      </c>
      <c r="D886" t="s">
        <v>74</v>
      </c>
      <c r="E886" t="s">
        <v>74</v>
      </c>
      <c r="F886" t="s">
        <v>16652</v>
      </c>
      <c r="G886" t="s">
        <v>74</v>
      </c>
      <c r="H886" t="s">
        <v>74</v>
      </c>
      <c r="I886" t="s">
        <v>16653</v>
      </c>
      <c r="J886" t="s">
        <v>1187</v>
      </c>
      <c r="K886" t="s">
        <v>74</v>
      </c>
      <c r="L886" t="s">
        <v>74</v>
      </c>
      <c r="M886" t="s">
        <v>78</v>
      </c>
      <c r="N886" t="s">
        <v>79</v>
      </c>
      <c r="O886" t="s">
        <v>74</v>
      </c>
      <c r="P886" t="s">
        <v>74</v>
      </c>
      <c r="Q886" t="s">
        <v>74</v>
      </c>
      <c r="R886" t="s">
        <v>74</v>
      </c>
      <c r="S886" t="s">
        <v>74</v>
      </c>
      <c r="T886" t="s">
        <v>16654</v>
      </c>
      <c r="U886" t="s">
        <v>16655</v>
      </c>
      <c r="V886" t="s">
        <v>16656</v>
      </c>
      <c r="W886" t="s">
        <v>16657</v>
      </c>
      <c r="X886" t="s">
        <v>16658</v>
      </c>
      <c r="Y886" t="s">
        <v>16659</v>
      </c>
      <c r="Z886" t="s">
        <v>16660</v>
      </c>
      <c r="AA886" t="s">
        <v>16661</v>
      </c>
      <c r="AB886" t="s">
        <v>16662</v>
      </c>
      <c r="AC886" t="s">
        <v>16663</v>
      </c>
      <c r="AD886" t="s">
        <v>16664</v>
      </c>
      <c r="AE886" t="s">
        <v>16665</v>
      </c>
      <c r="AF886" t="s">
        <v>74</v>
      </c>
      <c r="AG886">
        <v>54</v>
      </c>
      <c r="AH886">
        <v>37</v>
      </c>
      <c r="AI886">
        <v>39</v>
      </c>
      <c r="AJ886">
        <v>0</v>
      </c>
      <c r="AK886">
        <v>13</v>
      </c>
      <c r="AL886" t="s">
        <v>264</v>
      </c>
      <c r="AM886" t="s">
        <v>169</v>
      </c>
      <c r="AN886" t="s">
        <v>265</v>
      </c>
      <c r="AO886" t="s">
        <v>1200</v>
      </c>
      <c r="AP886" t="s">
        <v>1201</v>
      </c>
      <c r="AQ886" t="s">
        <v>74</v>
      </c>
      <c r="AR886" t="s">
        <v>1202</v>
      </c>
      <c r="AS886" t="s">
        <v>1203</v>
      </c>
      <c r="AT886" t="s">
        <v>16579</v>
      </c>
      <c r="AU886">
        <v>2016</v>
      </c>
      <c r="AV886">
        <v>454</v>
      </c>
      <c r="AW886" t="s">
        <v>74</v>
      </c>
      <c r="AX886" t="s">
        <v>74</v>
      </c>
      <c r="AY886" t="s">
        <v>74</v>
      </c>
      <c r="AZ886" t="s">
        <v>74</v>
      </c>
      <c r="BA886" t="s">
        <v>74</v>
      </c>
      <c r="BB886">
        <v>203</v>
      </c>
      <c r="BC886">
        <v>212</v>
      </c>
      <c r="BD886" t="s">
        <v>74</v>
      </c>
      <c r="BE886" t="s">
        <v>16666</v>
      </c>
      <c r="BF886" t="str">
        <f>HYPERLINK("http://dx.doi.org/10.1016/j.epsl.2016.09.019","http://dx.doi.org/10.1016/j.epsl.2016.09.019")</f>
        <v>http://dx.doi.org/10.1016/j.epsl.2016.09.019</v>
      </c>
      <c r="BG886" t="s">
        <v>74</v>
      </c>
      <c r="BH886" t="s">
        <v>74</v>
      </c>
      <c r="BI886">
        <v>10</v>
      </c>
      <c r="BJ886" t="s">
        <v>299</v>
      </c>
      <c r="BK886" t="s">
        <v>101</v>
      </c>
      <c r="BL886" t="s">
        <v>299</v>
      </c>
      <c r="BM886" t="s">
        <v>16667</v>
      </c>
      <c r="BN886" t="s">
        <v>74</v>
      </c>
      <c r="BO886" t="s">
        <v>74</v>
      </c>
      <c r="BP886" t="s">
        <v>74</v>
      </c>
      <c r="BQ886" t="s">
        <v>74</v>
      </c>
      <c r="BR886" t="s">
        <v>105</v>
      </c>
      <c r="BS886" t="s">
        <v>16668</v>
      </c>
      <c r="BT886" t="str">
        <f>HYPERLINK("https%3A%2F%2Fwww.webofscience.com%2Fwos%2Fwoscc%2Ffull-record%2FWOS:000386645700021","View Full Record in Web of Science")</f>
        <v>View Full Record in Web of Science</v>
      </c>
    </row>
    <row r="887" spans="1:72" x14ac:dyDescent="0.15">
      <c r="A887" t="s">
        <v>72</v>
      </c>
      <c r="B887" t="s">
        <v>16669</v>
      </c>
      <c r="C887" t="s">
        <v>74</v>
      </c>
      <c r="D887" t="s">
        <v>74</v>
      </c>
      <c r="E887" t="s">
        <v>74</v>
      </c>
      <c r="F887" t="s">
        <v>16670</v>
      </c>
      <c r="G887" t="s">
        <v>74</v>
      </c>
      <c r="H887" t="s">
        <v>74</v>
      </c>
      <c r="I887" t="s">
        <v>16671</v>
      </c>
      <c r="J887" t="s">
        <v>1187</v>
      </c>
      <c r="K887" t="s">
        <v>74</v>
      </c>
      <c r="L887" t="s">
        <v>74</v>
      </c>
      <c r="M887" t="s">
        <v>78</v>
      </c>
      <c r="N887" t="s">
        <v>79</v>
      </c>
      <c r="O887" t="s">
        <v>74</v>
      </c>
      <c r="P887" t="s">
        <v>74</v>
      </c>
      <c r="Q887" t="s">
        <v>74</v>
      </c>
      <c r="R887" t="s">
        <v>74</v>
      </c>
      <c r="S887" t="s">
        <v>74</v>
      </c>
      <c r="T887" t="s">
        <v>16672</v>
      </c>
      <c r="U887" t="s">
        <v>16673</v>
      </c>
      <c r="V887" t="s">
        <v>16674</v>
      </c>
      <c r="W887" t="s">
        <v>16675</v>
      </c>
      <c r="X887" t="s">
        <v>16676</v>
      </c>
      <c r="Y887" t="s">
        <v>16677</v>
      </c>
      <c r="Z887" t="s">
        <v>16678</v>
      </c>
      <c r="AA887" t="s">
        <v>16679</v>
      </c>
      <c r="AB887" t="s">
        <v>16680</v>
      </c>
      <c r="AC887" t="s">
        <v>16681</v>
      </c>
      <c r="AD887" t="s">
        <v>16682</v>
      </c>
      <c r="AE887" t="s">
        <v>16683</v>
      </c>
      <c r="AF887" t="s">
        <v>74</v>
      </c>
      <c r="AG887">
        <v>65</v>
      </c>
      <c r="AH887">
        <v>16</v>
      </c>
      <c r="AI887">
        <v>17</v>
      </c>
      <c r="AJ887">
        <v>0</v>
      </c>
      <c r="AK887">
        <v>23</v>
      </c>
      <c r="AL887" t="s">
        <v>168</v>
      </c>
      <c r="AM887" t="s">
        <v>169</v>
      </c>
      <c r="AN887" t="s">
        <v>170</v>
      </c>
      <c r="AO887" t="s">
        <v>1200</v>
      </c>
      <c r="AP887" t="s">
        <v>1201</v>
      </c>
      <c r="AQ887" t="s">
        <v>74</v>
      </c>
      <c r="AR887" t="s">
        <v>1202</v>
      </c>
      <c r="AS887" t="s">
        <v>1203</v>
      </c>
      <c r="AT887" t="s">
        <v>16579</v>
      </c>
      <c r="AU887">
        <v>2016</v>
      </c>
      <c r="AV887">
        <v>454</v>
      </c>
      <c r="AW887" t="s">
        <v>74</v>
      </c>
      <c r="AX887" t="s">
        <v>74</v>
      </c>
      <c r="AY887" t="s">
        <v>74</v>
      </c>
      <c r="AZ887" t="s">
        <v>74</v>
      </c>
      <c r="BA887" t="s">
        <v>74</v>
      </c>
      <c r="BB887">
        <v>132</v>
      </c>
      <c r="BC887">
        <v>141</v>
      </c>
      <c r="BD887" t="s">
        <v>74</v>
      </c>
      <c r="BE887" t="s">
        <v>16684</v>
      </c>
      <c r="BF887" t="str">
        <f>HYPERLINK("http://dx.doi.org/10.1016/j.epsl.2016.08.037","http://dx.doi.org/10.1016/j.epsl.2016.08.037")</f>
        <v>http://dx.doi.org/10.1016/j.epsl.2016.08.037</v>
      </c>
      <c r="BG887" t="s">
        <v>74</v>
      </c>
      <c r="BH887" t="s">
        <v>74</v>
      </c>
      <c r="BI887">
        <v>10</v>
      </c>
      <c r="BJ887" t="s">
        <v>299</v>
      </c>
      <c r="BK887" t="s">
        <v>101</v>
      </c>
      <c r="BL887" t="s">
        <v>299</v>
      </c>
      <c r="BM887" t="s">
        <v>16667</v>
      </c>
      <c r="BN887" t="s">
        <v>74</v>
      </c>
      <c r="BO887" t="s">
        <v>11194</v>
      </c>
      <c r="BP887" t="s">
        <v>74</v>
      </c>
      <c r="BQ887" t="s">
        <v>74</v>
      </c>
      <c r="BR887" t="s">
        <v>105</v>
      </c>
      <c r="BS887" t="s">
        <v>16685</v>
      </c>
      <c r="BT887" t="str">
        <f>HYPERLINK("https%3A%2F%2Fwww.webofscience.com%2Fwos%2Fwoscc%2Ffull-record%2FWOS:000386645700015","View Full Record in Web of Science")</f>
        <v>View Full Record in Web of Science</v>
      </c>
    </row>
    <row r="888" spans="1:72" x14ac:dyDescent="0.15">
      <c r="A888" t="s">
        <v>72</v>
      </c>
      <c r="B888" t="s">
        <v>16686</v>
      </c>
      <c r="C888" t="s">
        <v>74</v>
      </c>
      <c r="D888" t="s">
        <v>74</v>
      </c>
      <c r="E888" t="s">
        <v>74</v>
      </c>
      <c r="F888" t="s">
        <v>16687</v>
      </c>
      <c r="G888" t="s">
        <v>74</v>
      </c>
      <c r="H888" t="s">
        <v>74</v>
      </c>
      <c r="I888" t="s">
        <v>16688</v>
      </c>
      <c r="J888" t="s">
        <v>278</v>
      </c>
      <c r="K888" t="s">
        <v>74</v>
      </c>
      <c r="L888" t="s">
        <v>74</v>
      </c>
      <c r="M888" t="s">
        <v>78</v>
      </c>
      <c r="N888" t="s">
        <v>79</v>
      </c>
      <c r="O888" t="s">
        <v>74</v>
      </c>
      <c r="P888" t="s">
        <v>74</v>
      </c>
      <c r="Q888" t="s">
        <v>74</v>
      </c>
      <c r="R888" t="s">
        <v>74</v>
      </c>
      <c r="S888" t="s">
        <v>74</v>
      </c>
      <c r="T888" t="s">
        <v>16689</v>
      </c>
      <c r="U888" t="s">
        <v>16690</v>
      </c>
      <c r="V888" t="s">
        <v>16691</v>
      </c>
      <c r="W888" t="s">
        <v>16692</v>
      </c>
      <c r="X888" t="s">
        <v>16693</v>
      </c>
      <c r="Y888" t="s">
        <v>16694</v>
      </c>
      <c r="Z888" t="s">
        <v>16695</v>
      </c>
      <c r="AA888" t="s">
        <v>16696</v>
      </c>
      <c r="AB888" t="s">
        <v>16697</v>
      </c>
      <c r="AC888" t="s">
        <v>16698</v>
      </c>
      <c r="AD888" t="s">
        <v>16699</v>
      </c>
      <c r="AE888" t="s">
        <v>16700</v>
      </c>
      <c r="AF888" t="s">
        <v>74</v>
      </c>
      <c r="AG888">
        <v>86</v>
      </c>
      <c r="AH888">
        <v>15</v>
      </c>
      <c r="AI888">
        <v>19</v>
      </c>
      <c r="AJ888">
        <v>3</v>
      </c>
      <c r="AK888">
        <v>38</v>
      </c>
      <c r="AL888" t="s">
        <v>291</v>
      </c>
      <c r="AM888" t="s">
        <v>292</v>
      </c>
      <c r="AN888" t="s">
        <v>293</v>
      </c>
      <c r="AO888" t="s">
        <v>294</v>
      </c>
      <c r="AP888" t="s">
        <v>295</v>
      </c>
      <c r="AQ888" t="s">
        <v>74</v>
      </c>
      <c r="AR888" t="s">
        <v>296</v>
      </c>
      <c r="AS888" t="s">
        <v>297</v>
      </c>
      <c r="AT888" t="s">
        <v>16579</v>
      </c>
      <c r="AU888">
        <v>2016</v>
      </c>
      <c r="AV888">
        <v>193</v>
      </c>
      <c r="AW888" t="s">
        <v>74</v>
      </c>
      <c r="AX888" t="s">
        <v>74</v>
      </c>
      <c r="AY888" t="s">
        <v>74</v>
      </c>
      <c r="AZ888" t="s">
        <v>74</v>
      </c>
      <c r="BA888" t="s">
        <v>74</v>
      </c>
      <c r="BB888">
        <v>75</v>
      </c>
      <c r="BC888">
        <v>99</v>
      </c>
      <c r="BD888" t="s">
        <v>74</v>
      </c>
      <c r="BE888" t="s">
        <v>16701</v>
      </c>
      <c r="BF888" t="str">
        <f>HYPERLINK("http://dx.doi.org/10.1016/j.gca.2016.07.033","http://dx.doi.org/10.1016/j.gca.2016.07.033")</f>
        <v>http://dx.doi.org/10.1016/j.gca.2016.07.033</v>
      </c>
      <c r="BG888" t="s">
        <v>74</v>
      </c>
      <c r="BH888" t="s">
        <v>74</v>
      </c>
      <c r="BI888">
        <v>25</v>
      </c>
      <c r="BJ888" t="s">
        <v>299</v>
      </c>
      <c r="BK888" t="s">
        <v>101</v>
      </c>
      <c r="BL888" t="s">
        <v>299</v>
      </c>
      <c r="BM888" t="s">
        <v>16702</v>
      </c>
      <c r="BN888" t="s">
        <v>74</v>
      </c>
      <c r="BO888" t="s">
        <v>74</v>
      </c>
      <c r="BP888" t="s">
        <v>74</v>
      </c>
      <c r="BQ888" t="s">
        <v>74</v>
      </c>
      <c r="BR888" t="s">
        <v>105</v>
      </c>
      <c r="BS888" t="s">
        <v>16703</v>
      </c>
      <c r="BT888" t="str">
        <f>HYPERLINK("https%3A%2F%2Fwww.webofscience.com%2Fwos%2Fwoscc%2Ffull-record%2FWOS:000385507900006","View Full Record in Web of Science")</f>
        <v>View Full Record in Web of Science</v>
      </c>
    </row>
    <row r="889" spans="1:72" x14ac:dyDescent="0.15">
      <c r="A889" t="s">
        <v>72</v>
      </c>
      <c r="B889" t="s">
        <v>16704</v>
      </c>
      <c r="C889" t="s">
        <v>74</v>
      </c>
      <c r="D889" t="s">
        <v>74</v>
      </c>
      <c r="E889" t="s">
        <v>74</v>
      </c>
      <c r="F889" t="s">
        <v>16705</v>
      </c>
      <c r="G889" t="s">
        <v>74</v>
      </c>
      <c r="H889" t="s">
        <v>74</v>
      </c>
      <c r="I889" t="s">
        <v>16706</v>
      </c>
      <c r="J889" t="s">
        <v>16707</v>
      </c>
      <c r="K889" t="s">
        <v>74</v>
      </c>
      <c r="L889" t="s">
        <v>74</v>
      </c>
      <c r="M889" t="s">
        <v>78</v>
      </c>
      <c r="N889" t="s">
        <v>79</v>
      </c>
      <c r="O889" t="s">
        <v>74</v>
      </c>
      <c r="P889" t="s">
        <v>74</v>
      </c>
      <c r="Q889" t="s">
        <v>74</v>
      </c>
      <c r="R889" t="s">
        <v>74</v>
      </c>
      <c r="S889" t="s">
        <v>74</v>
      </c>
      <c r="T889" t="s">
        <v>16708</v>
      </c>
      <c r="U889" t="s">
        <v>16709</v>
      </c>
      <c r="V889" t="s">
        <v>16710</v>
      </c>
      <c r="W889" t="s">
        <v>16711</v>
      </c>
      <c r="X889" t="s">
        <v>16712</v>
      </c>
      <c r="Y889" t="s">
        <v>16713</v>
      </c>
      <c r="Z889" t="s">
        <v>16714</v>
      </c>
      <c r="AA889" t="s">
        <v>5041</v>
      </c>
      <c r="AB889" t="s">
        <v>16715</v>
      </c>
      <c r="AC889" t="s">
        <v>16716</v>
      </c>
      <c r="AD889" t="s">
        <v>5039</v>
      </c>
      <c r="AE889" t="s">
        <v>16717</v>
      </c>
      <c r="AF889" t="s">
        <v>74</v>
      </c>
      <c r="AG889">
        <v>55</v>
      </c>
      <c r="AH889">
        <v>38</v>
      </c>
      <c r="AI889">
        <v>42</v>
      </c>
      <c r="AJ889">
        <v>4</v>
      </c>
      <c r="AK889">
        <v>106</v>
      </c>
      <c r="AL889" t="s">
        <v>291</v>
      </c>
      <c r="AM889" t="s">
        <v>292</v>
      </c>
      <c r="AN889" t="s">
        <v>293</v>
      </c>
      <c r="AO889" t="s">
        <v>16718</v>
      </c>
      <c r="AP889" t="s">
        <v>16719</v>
      </c>
      <c r="AQ889" t="s">
        <v>74</v>
      </c>
      <c r="AR889" t="s">
        <v>16720</v>
      </c>
      <c r="AS889" t="s">
        <v>16721</v>
      </c>
      <c r="AT889" t="s">
        <v>16579</v>
      </c>
      <c r="AU889">
        <v>2016</v>
      </c>
      <c r="AV889">
        <v>105</v>
      </c>
      <c r="AW889" t="s">
        <v>74</v>
      </c>
      <c r="AX889" t="s">
        <v>74</v>
      </c>
      <c r="AY889" t="s">
        <v>74</v>
      </c>
      <c r="AZ889" t="s">
        <v>74</v>
      </c>
      <c r="BA889" t="s">
        <v>74</v>
      </c>
      <c r="BB889">
        <v>602</v>
      </c>
      <c r="BC889">
        <v>614</v>
      </c>
      <c r="BD889" t="s">
        <v>74</v>
      </c>
      <c r="BE889" t="s">
        <v>16722</v>
      </c>
      <c r="BF889" t="str">
        <f>HYPERLINK("http://dx.doi.org/10.1016/j.watres.2016.09.026","http://dx.doi.org/10.1016/j.watres.2016.09.026")</f>
        <v>http://dx.doi.org/10.1016/j.watres.2016.09.026</v>
      </c>
      <c r="BG889" t="s">
        <v>74</v>
      </c>
      <c r="BH889" t="s">
        <v>74</v>
      </c>
      <c r="BI889">
        <v>13</v>
      </c>
      <c r="BJ889" t="s">
        <v>16723</v>
      </c>
      <c r="BK889" t="s">
        <v>101</v>
      </c>
      <c r="BL889" t="s">
        <v>16724</v>
      </c>
      <c r="BM889" t="s">
        <v>16725</v>
      </c>
      <c r="BN889">
        <v>27693972</v>
      </c>
      <c r="BO889" t="s">
        <v>74</v>
      </c>
      <c r="BP889" t="s">
        <v>74</v>
      </c>
      <c r="BQ889" t="s">
        <v>74</v>
      </c>
      <c r="BR889" t="s">
        <v>105</v>
      </c>
      <c r="BS889" t="s">
        <v>16726</v>
      </c>
      <c r="BT889" t="str">
        <f>HYPERLINK("https%3A%2F%2Fwww.webofscience.com%2Fwos%2Fwoscc%2Ffull-record%2FWOS:000385902000062","View Full Record in Web of Science")</f>
        <v>View Full Record in Web of Science</v>
      </c>
    </row>
    <row r="890" spans="1:72" x14ac:dyDescent="0.15">
      <c r="A890" t="s">
        <v>72</v>
      </c>
      <c r="B890" t="s">
        <v>16727</v>
      </c>
      <c r="C890" t="s">
        <v>74</v>
      </c>
      <c r="D890" t="s">
        <v>74</v>
      </c>
      <c r="E890" t="s">
        <v>74</v>
      </c>
      <c r="F890" t="s">
        <v>16728</v>
      </c>
      <c r="G890" t="s">
        <v>74</v>
      </c>
      <c r="H890" t="s">
        <v>74</v>
      </c>
      <c r="I890" t="s">
        <v>16729</v>
      </c>
      <c r="J890" t="s">
        <v>155</v>
      </c>
      <c r="K890" t="s">
        <v>74</v>
      </c>
      <c r="L890" t="s">
        <v>74</v>
      </c>
      <c r="M890" t="s">
        <v>78</v>
      </c>
      <c r="N890" t="s">
        <v>79</v>
      </c>
      <c r="O890" t="s">
        <v>74</v>
      </c>
      <c r="P890" t="s">
        <v>74</v>
      </c>
      <c r="Q890" t="s">
        <v>74</v>
      </c>
      <c r="R890" t="s">
        <v>74</v>
      </c>
      <c r="S890" t="s">
        <v>74</v>
      </c>
      <c r="T890" t="s">
        <v>16730</v>
      </c>
      <c r="U890" t="s">
        <v>16731</v>
      </c>
      <c r="V890" t="s">
        <v>16732</v>
      </c>
      <c r="W890" t="s">
        <v>16733</v>
      </c>
      <c r="X890" t="s">
        <v>5039</v>
      </c>
      <c r="Y890" t="s">
        <v>16734</v>
      </c>
      <c r="Z890" t="s">
        <v>16735</v>
      </c>
      <c r="AA890" t="s">
        <v>16736</v>
      </c>
      <c r="AB890" t="s">
        <v>16737</v>
      </c>
      <c r="AC890" t="s">
        <v>16738</v>
      </c>
      <c r="AD890" t="s">
        <v>16739</v>
      </c>
      <c r="AE890" t="s">
        <v>16740</v>
      </c>
      <c r="AF890" t="s">
        <v>74</v>
      </c>
      <c r="AG890">
        <v>46</v>
      </c>
      <c r="AH890">
        <v>43</v>
      </c>
      <c r="AI890">
        <v>46</v>
      </c>
      <c r="AJ890">
        <v>0</v>
      </c>
      <c r="AK890">
        <v>111</v>
      </c>
      <c r="AL890" t="s">
        <v>264</v>
      </c>
      <c r="AM890" t="s">
        <v>169</v>
      </c>
      <c r="AN890" t="s">
        <v>265</v>
      </c>
      <c r="AO890" t="s">
        <v>171</v>
      </c>
      <c r="AP890" t="s">
        <v>172</v>
      </c>
      <c r="AQ890" t="s">
        <v>74</v>
      </c>
      <c r="AR890" t="s">
        <v>173</v>
      </c>
      <c r="AS890" t="s">
        <v>174</v>
      </c>
      <c r="AT890" t="s">
        <v>16579</v>
      </c>
      <c r="AU890">
        <v>2016</v>
      </c>
      <c r="AV890">
        <v>571</v>
      </c>
      <c r="AW890" t="s">
        <v>74</v>
      </c>
      <c r="AX890" t="s">
        <v>74</v>
      </c>
      <c r="AY890" t="s">
        <v>74</v>
      </c>
      <c r="AZ890" t="s">
        <v>74</v>
      </c>
      <c r="BA890" t="s">
        <v>74</v>
      </c>
      <c r="BB890">
        <v>963</v>
      </c>
      <c r="BC890">
        <v>973</v>
      </c>
      <c r="BD890" t="s">
        <v>74</v>
      </c>
      <c r="BE890" t="s">
        <v>16741</v>
      </c>
      <c r="BF890" t="str">
        <f>HYPERLINK("http://dx.doi.org/10.1016/j.scitotenv.2016.07.084","http://dx.doi.org/10.1016/j.scitotenv.2016.07.084")</f>
        <v>http://dx.doi.org/10.1016/j.scitotenv.2016.07.084</v>
      </c>
      <c r="BG890" t="s">
        <v>74</v>
      </c>
      <c r="BH890" t="s">
        <v>74</v>
      </c>
      <c r="BI890">
        <v>11</v>
      </c>
      <c r="BJ890" t="s">
        <v>177</v>
      </c>
      <c r="BK890" t="s">
        <v>101</v>
      </c>
      <c r="BL890" t="s">
        <v>178</v>
      </c>
      <c r="BM890" t="s">
        <v>16742</v>
      </c>
      <c r="BN890">
        <v>27450263</v>
      </c>
      <c r="BO890" t="s">
        <v>74</v>
      </c>
      <c r="BP890" t="s">
        <v>74</v>
      </c>
      <c r="BQ890" t="s">
        <v>74</v>
      </c>
      <c r="BR890" t="s">
        <v>105</v>
      </c>
      <c r="BS890" t="s">
        <v>16743</v>
      </c>
      <c r="BT890" t="str">
        <f>HYPERLINK("https%3A%2F%2Fwww.webofscience.com%2Fwos%2Fwoscc%2Ffull-record%2FWOS:000383930400097","View Full Record in Web of Science")</f>
        <v>View Full Record in Web of Science</v>
      </c>
    </row>
    <row r="891" spans="1:72" x14ac:dyDescent="0.15">
      <c r="A891" t="s">
        <v>72</v>
      </c>
      <c r="B891" t="s">
        <v>16744</v>
      </c>
      <c r="C891" t="s">
        <v>74</v>
      </c>
      <c r="D891" t="s">
        <v>74</v>
      </c>
      <c r="E891" t="s">
        <v>74</v>
      </c>
      <c r="F891" t="s">
        <v>16745</v>
      </c>
      <c r="G891" t="s">
        <v>74</v>
      </c>
      <c r="H891" t="s">
        <v>74</v>
      </c>
      <c r="I891" t="s">
        <v>16746</v>
      </c>
      <c r="J891" t="s">
        <v>596</v>
      </c>
      <c r="K891" t="s">
        <v>74</v>
      </c>
      <c r="L891" t="s">
        <v>74</v>
      </c>
      <c r="M891" t="s">
        <v>78</v>
      </c>
      <c r="N891" t="s">
        <v>79</v>
      </c>
      <c r="O891" t="s">
        <v>74</v>
      </c>
      <c r="P891" t="s">
        <v>74</v>
      </c>
      <c r="Q891" t="s">
        <v>74</v>
      </c>
      <c r="R891" t="s">
        <v>74</v>
      </c>
      <c r="S891" t="s">
        <v>74</v>
      </c>
      <c r="T891" t="s">
        <v>74</v>
      </c>
      <c r="U891" t="s">
        <v>16747</v>
      </c>
      <c r="V891" t="s">
        <v>16748</v>
      </c>
      <c r="W891" t="s">
        <v>16749</v>
      </c>
      <c r="X891" t="s">
        <v>16750</v>
      </c>
      <c r="Y891" t="s">
        <v>16751</v>
      </c>
      <c r="Z891" t="s">
        <v>16752</v>
      </c>
      <c r="AA891" t="s">
        <v>16753</v>
      </c>
      <c r="AB891" t="s">
        <v>16754</v>
      </c>
      <c r="AC891" t="s">
        <v>16755</v>
      </c>
      <c r="AD891" t="s">
        <v>16756</v>
      </c>
      <c r="AE891" t="s">
        <v>16757</v>
      </c>
      <c r="AF891" t="s">
        <v>74</v>
      </c>
      <c r="AG891">
        <v>48</v>
      </c>
      <c r="AH891">
        <v>45</v>
      </c>
      <c r="AI891">
        <v>46</v>
      </c>
      <c r="AJ891">
        <v>1</v>
      </c>
      <c r="AK891">
        <v>13</v>
      </c>
      <c r="AL891" t="s">
        <v>608</v>
      </c>
      <c r="AM891" t="s">
        <v>609</v>
      </c>
      <c r="AN891" t="s">
        <v>610</v>
      </c>
      <c r="AO891" t="s">
        <v>611</v>
      </c>
      <c r="AP891" t="s">
        <v>612</v>
      </c>
      <c r="AQ891" t="s">
        <v>74</v>
      </c>
      <c r="AR891" t="s">
        <v>596</v>
      </c>
      <c r="AS891" t="s">
        <v>613</v>
      </c>
      <c r="AT891" t="s">
        <v>16758</v>
      </c>
      <c r="AU891">
        <v>2016</v>
      </c>
      <c r="AV891">
        <v>10</v>
      </c>
      <c r="AW891">
        <v>6</v>
      </c>
      <c r="AX891" t="s">
        <v>74</v>
      </c>
      <c r="AY891" t="s">
        <v>74</v>
      </c>
      <c r="AZ891" t="s">
        <v>74</v>
      </c>
      <c r="BA891" t="s">
        <v>74</v>
      </c>
      <c r="BB891">
        <v>2655</v>
      </c>
      <c r="BC891">
        <v>2672</v>
      </c>
      <c r="BD891" t="s">
        <v>74</v>
      </c>
      <c r="BE891" t="s">
        <v>16759</v>
      </c>
      <c r="BF891" t="str">
        <f>HYPERLINK("http://dx.doi.org/10.5194/tc-10-2655-2016","http://dx.doi.org/10.5194/tc-10-2655-2016")</f>
        <v>http://dx.doi.org/10.5194/tc-10-2655-2016</v>
      </c>
      <c r="BG891" t="s">
        <v>74</v>
      </c>
      <c r="BH891" t="s">
        <v>74</v>
      </c>
      <c r="BI891">
        <v>18</v>
      </c>
      <c r="BJ891" t="s">
        <v>615</v>
      </c>
      <c r="BK891" t="s">
        <v>101</v>
      </c>
      <c r="BL891" t="s">
        <v>616</v>
      </c>
      <c r="BM891" t="s">
        <v>16760</v>
      </c>
      <c r="BN891" t="s">
        <v>74</v>
      </c>
      <c r="BO891" t="s">
        <v>7707</v>
      </c>
      <c r="BP891" t="s">
        <v>74</v>
      </c>
      <c r="BQ891" t="s">
        <v>74</v>
      </c>
      <c r="BR891" t="s">
        <v>105</v>
      </c>
      <c r="BS891" t="s">
        <v>16761</v>
      </c>
      <c r="BT891" t="str">
        <f>HYPERLINK("https%3A%2F%2Fwww.webofscience.com%2Fwos%2Fwoscc%2Ffull-record%2FWOS:000387870100001","View Full Record in Web of Science")</f>
        <v>View Full Record in Web of Science</v>
      </c>
    </row>
    <row r="892" spans="1:72" x14ac:dyDescent="0.15">
      <c r="A892" t="s">
        <v>72</v>
      </c>
      <c r="B892" t="s">
        <v>16762</v>
      </c>
      <c r="C892" t="s">
        <v>74</v>
      </c>
      <c r="D892" t="s">
        <v>74</v>
      </c>
      <c r="E892" t="s">
        <v>74</v>
      </c>
      <c r="F892" t="s">
        <v>16763</v>
      </c>
      <c r="G892" t="s">
        <v>74</v>
      </c>
      <c r="H892" t="s">
        <v>74</v>
      </c>
      <c r="I892" t="s">
        <v>16764</v>
      </c>
      <c r="J892" t="s">
        <v>16765</v>
      </c>
      <c r="K892" t="s">
        <v>74</v>
      </c>
      <c r="L892" t="s">
        <v>74</v>
      </c>
      <c r="M892" t="s">
        <v>78</v>
      </c>
      <c r="N892" t="s">
        <v>79</v>
      </c>
      <c r="O892" t="s">
        <v>74</v>
      </c>
      <c r="P892" t="s">
        <v>74</v>
      </c>
      <c r="Q892" t="s">
        <v>74</v>
      </c>
      <c r="R892" t="s">
        <v>74</v>
      </c>
      <c r="S892" t="s">
        <v>74</v>
      </c>
      <c r="T892" t="s">
        <v>74</v>
      </c>
      <c r="U892" t="s">
        <v>16766</v>
      </c>
      <c r="V892" t="s">
        <v>16767</v>
      </c>
      <c r="W892" t="s">
        <v>16768</v>
      </c>
      <c r="X892" t="s">
        <v>16769</v>
      </c>
      <c r="Y892" t="s">
        <v>16770</v>
      </c>
      <c r="Z892" t="s">
        <v>16771</v>
      </c>
      <c r="AA892" t="s">
        <v>74</v>
      </c>
      <c r="AB892" t="s">
        <v>16772</v>
      </c>
      <c r="AC892" t="s">
        <v>16773</v>
      </c>
      <c r="AD892" t="s">
        <v>16774</v>
      </c>
      <c r="AE892" t="s">
        <v>16775</v>
      </c>
      <c r="AF892" t="s">
        <v>74</v>
      </c>
      <c r="AG892">
        <v>115</v>
      </c>
      <c r="AH892">
        <v>3</v>
      </c>
      <c r="AI892">
        <v>3</v>
      </c>
      <c r="AJ892">
        <v>0</v>
      </c>
      <c r="AK892">
        <v>14</v>
      </c>
      <c r="AL892" t="s">
        <v>608</v>
      </c>
      <c r="AM892" t="s">
        <v>609</v>
      </c>
      <c r="AN892" t="s">
        <v>610</v>
      </c>
      <c r="AO892" t="s">
        <v>16776</v>
      </c>
      <c r="AP892" t="s">
        <v>16777</v>
      </c>
      <c r="AQ892" t="s">
        <v>74</v>
      </c>
      <c r="AR892" t="s">
        <v>16778</v>
      </c>
      <c r="AS892" t="s">
        <v>16779</v>
      </c>
      <c r="AT892" t="s">
        <v>16758</v>
      </c>
      <c r="AU892">
        <v>2016</v>
      </c>
      <c r="AV892">
        <v>9</v>
      </c>
      <c r="AW892">
        <v>11</v>
      </c>
      <c r="AX892" t="s">
        <v>74</v>
      </c>
      <c r="AY892" t="s">
        <v>74</v>
      </c>
      <c r="AZ892" t="s">
        <v>74</v>
      </c>
      <c r="BA892" t="s">
        <v>74</v>
      </c>
      <c r="BB892">
        <v>5461</v>
      </c>
      <c r="BC892">
        <v>5485</v>
      </c>
      <c r="BD892" t="s">
        <v>74</v>
      </c>
      <c r="BE892" t="s">
        <v>16780</v>
      </c>
      <c r="BF892" t="str">
        <f>HYPERLINK("http://dx.doi.org/10.5194/amt-9-5461-2016","http://dx.doi.org/10.5194/amt-9-5461-2016")</f>
        <v>http://dx.doi.org/10.5194/amt-9-5461-2016</v>
      </c>
      <c r="BG892" t="s">
        <v>74</v>
      </c>
      <c r="BH892" t="s">
        <v>74</v>
      </c>
      <c r="BI892">
        <v>25</v>
      </c>
      <c r="BJ892" t="s">
        <v>747</v>
      </c>
      <c r="BK892" t="s">
        <v>101</v>
      </c>
      <c r="BL892" t="s">
        <v>747</v>
      </c>
      <c r="BM892" t="s">
        <v>16781</v>
      </c>
      <c r="BN892" t="s">
        <v>74</v>
      </c>
      <c r="BO892" t="s">
        <v>708</v>
      </c>
      <c r="BP892" t="s">
        <v>74</v>
      </c>
      <c r="BQ892" t="s">
        <v>74</v>
      </c>
      <c r="BR892" t="s">
        <v>105</v>
      </c>
      <c r="BS892" t="s">
        <v>16782</v>
      </c>
      <c r="BT892" t="str">
        <f>HYPERLINK("https%3A%2F%2Fwww.webofscience.com%2Fwos%2Fwoscc%2Ffull-record%2FWOS:000387981100002","View Full Record in Web of Science")</f>
        <v>View Full Record in Web of Science</v>
      </c>
    </row>
    <row r="893" spans="1:72" x14ac:dyDescent="0.15">
      <c r="A893" t="s">
        <v>72</v>
      </c>
      <c r="B893" t="s">
        <v>16783</v>
      </c>
      <c r="C893" t="s">
        <v>74</v>
      </c>
      <c r="D893" t="s">
        <v>74</v>
      </c>
      <c r="E893" t="s">
        <v>74</v>
      </c>
      <c r="F893" t="s">
        <v>16784</v>
      </c>
      <c r="G893" t="s">
        <v>74</v>
      </c>
      <c r="H893" t="s">
        <v>74</v>
      </c>
      <c r="I893" t="s">
        <v>16785</v>
      </c>
      <c r="J893" t="s">
        <v>12232</v>
      </c>
      <c r="K893" t="s">
        <v>74</v>
      </c>
      <c r="L893" t="s">
        <v>74</v>
      </c>
      <c r="M893" t="s">
        <v>78</v>
      </c>
      <c r="N893" t="s">
        <v>79</v>
      </c>
      <c r="O893" t="s">
        <v>74</v>
      </c>
      <c r="P893" t="s">
        <v>74</v>
      </c>
      <c r="Q893" t="s">
        <v>74</v>
      </c>
      <c r="R893" t="s">
        <v>74</v>
      </c>
      <c r="S893" t="s">
        <v>74</v>
      </c>
      <c r="T893" t="s">
        <v>74</v>
      </c>
      <c r="U893" t="s">
        <v>16786</v>
      </c>
      <c r="V893" t="s">
        <v>16787</v>
      </c>
      <c r="W893" t="s">
        <v>16788</v>
      </c>
      <c r="X893" t="s">
        <v>16789</v>
      </c>
      <c r="Y893" t="s">
        <v>16790</v>
      </c>
      <c r="Z893" t="s">
        <v>16791</v>
      </c>
      <c r="AA893" t="s">
        <v>16792</v>
      </c>
      <c r="AB893" t="s">
        <v>16793</v>
      </c>
      <c r="AC893" t="s">
        <v>16794</v>
      </c>
      <c r="AD893" t="s">
        <v>16795</v>
      </c>
      <c r="AE893" t="s">
        <v>16796</v>
      </c>
      <c r="AF893" t="s">
        <v>74</v>
      </c>
      <c r="AG893">
        <v>67</v>
      </c>
      <c r="AH893">
        <v>60</v>
      </c>
      <c r="AI893">
        <v>60</v>
      </c>
      <c r="AJ893">
        <v>0</v>
      </c>
      <c r="AK893">
        <v>19</v>
      </c>
      <c r="AL893" t="s">
        <v>608</v>
      </c>
      <c r="AM893" t="s">
        <v>609</v>
      </c>
      <c r="AN893" t="s">
        <v>610</v>
      </c>
      <c r="AO893" t="s">
        <v>12244</v>
      </c>
      <c r="AP893" t="s">
        <v>12245</v>
      </c>
      <c r="AQ893" t="s">
        <v>74</v>
      </c>
      <c r="AR893" t="s">
        <v>12246</v>
      </c>
      <c r="AS893" t="s">
        <v>12247</v>
      </c>
      <c r="AT893" t="s">
        <v>16797</v>
      </c>
      <c r="AU893">
        <v>2016</v>
      </c>
      <c r="AV893">
        <v>9</v>
      </c>
      <c r="AW893">
        <v>11</v>
      </c>
      <c r="AX893" t="s">
        <v>74</v>
      </c>
      <c r="AY893" t="s">
        <v>74</v>
      </c>
      <c r="AZ893" t="s">
        <v>74</v>
      </c>
      <c r="BA893" t="s">
        <v>74</v>
      </c>
      <c r="BB893">
        <v>4049</v>
      </c>
      <c r="BC893">
        <v>4070</v>
      </c>
      <c r="BD893" t="s">
        <v>74</v>
      </c>
      <c r="BE893" t="s">
        <v>16798</v>
      </c>
      <c r="BF893" t="str">
        <f>HYPERLINK("http://dx.doi.org/10.5194/gmd-9-4049-2016","http://dx.doi.org/10.5194/gmd-9-4049-2016")</f>
        <v>http://dx.doi.org/10.5194/gmd-9-4049-2016</v>
      </c>
      <c r="BG893" t="s">
        <v>74</v>
      </c>
      <c r="BH893" t="s">
        <v>74</v>
      </c>
      <c r="BI893">
        <v>22</v>
      </c>
      <c r="BJ893" t="s">
        <v>669</v>
      </c>
      <c r="BK893" t="s">
        <v>101</v>
      </c>
      <c r="BL893" t="s">
        <v>670</v>
      </c>
      <c r="BM893" t="s">
        <v>16799</v>
      </c>
      <c r="BN893" t="s">
        <v>74</v>
      </c>
      <c r="BO893" t="s">
        <v>16370</v>
      </c>
      <c r="BP893" t="s">
        <v>74</v>
      </c>
      <c r="BQ893" t="s">
        <v>74</v>
      </c>
      <c r="BR893" t="s">
        <v>105</v>
      </c>
      <c r="BS893" t="s">
        <v>16800</v>
      </c>
      <c r="BT893" t="str">
        <f>HYPERLINK("https%3A%2F%2Fwww.webofscience.com%2Fwos%2Fwoscc%2Ffull-record%2FWOS:000387988200002","View Full Record in Web of Science")</f>
        <v>View Full Record in Web of Science</v>
      </c>
    </row>
    <row r="894" spans="1:72" x14ac:dyDescent="0.15">
      <c r="A894" t="s">
        <v>72</v>
      </c>
      <c r="B894" t="s">
        <v>16801</v>
      </c>
      <c r="C894" t="s">
        <v>74</v>
      </c>
      <c r="D894" t="s">
        <v>74</v>
      </c>
      <c r="E894" t="s">
        <v>74</v>
      </c>
      <c r="F894" t="s">
        <v>16802</v>
      </c>
      <c r="G894" t="s">
        <v>74</v>
      </c>
      <c r="H894" t="s">
        <v>74</v>
      </c>
      <c r="I894" t="s">
        <v>16803</v>
      </c>
      <c r="J894" t="s">
        <v>572</v>
      </c>
      <c r="K894" t="s">
        <v>74</v>
      </c>
      <c r="L894" t="s">
        <v>74</v>
      </c>
      <c r="M894" t="s">
        <v>78</v>
      </c>
      <c r="N894" t="s">
        <v>79</v>
      </c>
      <c r="O894" t="s">
        <v>74</v>
      </c>
      <c r="P894" t="s">
        <v>74</v>
      </c>
      <c r="Q894" t="s">
        <v>74</v>
      </c>
      <c r="R894" t="s">
        <v>74</v>
      </c>
      <c r="S894" t="s">
        <v>74</v>
      </c>
      <c r="T894" t="s">
        <v>74</v>
      </c>
      <c r="U894" t="s">
        <v>16804</v>
      </c>
      <c r="V894" t="s">
        <v>16805</v>
      </c>
      <c r="W894" t="s">
        <v>16806</v>
      </c>
      <c r="X894" t="s">
        <v>16807</v>
      </c>
      <c r="Y894" t="s">
        <v>16808</v>
      </c>
      <c r="Z894" t="s">
        <v>16809</v>
      </c>
      <c r="AA894" t="s">
        <v>16810</v>
      </c>
      <c r="AB894" t="s">
        <v>16811</v>
      </c>
      <c r="AC894" t="s">
        <v>16812</v>
      </c>
      <c r="AD894" t="s">
        <v>16813</v>
      </c>
      <c r="AE894" t="s">
        <v>16814</v>
      </c>
      <c r="AF894" t="s">
        <v>74</v>
      </c>
      <c r="AG894">
        <v>58</v>
      </c>
      <c r="AH894">
        <v>16</v>
      </c>
      <c r="AI894">
        <v>16</v>
      </c>
      <c r="AJ894">
        <v>0</v>
      </c>
      <c r="AK894">
        <v>26</v>
      </c>
      <c r="AL894" t="s">
        <v>582</v>
      </c>
      <c r="AM894" t="s">
        <v>583</v>
      </c>
      <c r="AN894" t="s">
        <v>584</v>
      </c>
      <c r="AO894" t="s">
        <v>585</v>
      </c>
      <c r="AP894" t="s">
        <v>74</v>
      </c>
      <c r="AQ894" t="s">
        <v>74</v>
      </c>
      <c r="AR894" t="s">
        <v>586</v>
      </c>
      <c r="AS894" t="s">
        <v>587</v>
      </c>
      <c r="AT894" t="s">
        <v>16797</v>
      </c>
      <c r="AU894">
        <v>2016</v>
      </c>
      <c r="AV894">
        <v>6</v>
      </c>
      <c r="AW894" t="s">
        <v>74</v>
      </c>
      <c r="AX894" t="s">
        <v>74</v>
      </c>
      <c r="AY894" t="s">
        <v>74</v>
      </c>
      <c r="AZ894" t="s">
        <v>74</v>
      </c>
      <c r="BA894" t="s">
        <v>74</v>
      </c>
      <c r="BB894" t="s">
        <v>74</v>
      </c>
      <c r="BC894" t="s">
        <v>74</v>
      </c>
      <c r="BD894">
        <v>36978</v>
      </c>
      <c r="BE894" t="s">
        <v>16815</v>
      </c>
      <c r="BF894" t="str">
        <f>HYPERLINK("http://dx.doi.org/10.1038/srep36978","http://dx.doi.org/10.1038/srep36978")</f>
        <v>http://dx.doi.org/10.1038/srep36978</v>
      </c>
      <c r="BG894" t="s">
        <v>74</v>
      </c>
      <c r="BH894" t="s">
        <v>74</v>
      </c>
      <c r="BI894">
        <v>13</v>
      </c>
      <c r="BJ894" t="s">
        <v>100</v>
      </c>
      <c r="BK894" t="s">
        <v>101</v>
      </c>
      <c r="BL894" t="s">
        <v>102</v>
      </c>
      <c r="BM894" t="s">
        <v>16816</v>
      </c>
      <c r="BN894">
        <v>27833129</v>
      </c>
      <c r="BO894" t="s">
        <v>10901</v>
      </c>
      <c r="BP894" t="s">
        <v>74</v>
      </c>
      <c r="BQ894" t="s">
        <v>74</v>
      </c>
      <c r="BR894" t="s">
        <v>105</v>
      </c>
      <c r="BS894" t="s">
        <v>16817</v>
      </c>
      <c r="BT894" t="str">
        <f>HYPERLINK("https%3A%2F%2Fwww.webofscience.com%2Fwos%2Fwoscc%2Ffull-record%2FWOS:000387551400001","View Full Record in Web of Science")</f>
        <v>View Full Record in Web of Science</v>
      </c>
    </row>
    <row r="895" spans="1:72" x14ac:dyDescent="0.15">
      <c r="A895" t="s">
        <v>72</v>
      </c>
      <c r="B895" t="s">
        <v>16818</v>
      </c>
      <c r="C895" t="s">
        <v>74</v>
      </c>
      <c r="D895" t="s">
        <v>74</v>
      </c>
      <c r="E895" t="s">
        <v>74</v>
      </c>
      <c r="F895" t="s">
        <v>16819</v>
      </c>
      <c r="G895" t="s">
        <v>74</v>
      </c>
      <c r="H895" t="s">
        <v>74</v>
      </c>
      <c r="I895" t="s">
        <v>16820</v>
      </c>
      <c r="J895" t="s">
        <v>795</v>
      </c>
      <c r="K895" t="s">
        <v>74</v>
      </c>
      <c r="L895" t="s">
        <v>74</v>
      </c>
      <c r="M895" t="s">
        <v>78</v>
      </c>
      <c r="N895" t="s">
        <v>185</v>
      </c>
      <c r="O895" t="s">
        <v>74</v>
      </c>
      <c r="P895" t="s">
        <v>74</v>
      </c>
      <c r="Q895" t="s">
        <v>74</v>
      </c>
      <c r="R895" t="s">
        <v>74</v>
      </c>
      <c r="S895" t="s">
        <v>74</v>
      </c>
      <c r="T895" t="s">
        <v>74</v>
      </c>
      <c r="U895" t="s">
        <v>74</v>
      </c>
      <c r="V895" t="s">
        <v>74</v>
      </c>
      <c r="W895" t="s">
        <v>16821</v>
      </c>
      <c r="X895" t="s">
        <v>16822</v>
      </c>
      <c r="Y895" t="s">
        <v>16823</v>
      </c>
      <c r="Z895" t="s">
        <v>16824</v>
      </c>
      <c r="AA895" t="s">
        <v>16145</v>
      </c>
      <c r="AB895" t="s">
        <v>16825</v>
      </c>
      <c r="AC895" t="s">
        <v>74</v>
      </c>
      <c r="AD895" t="s">
        <v>74</v>
      </c>
      <c r="AE895" t="s">
        <v>74</v>
      </c>
      <c r="AF895" t="s">
        <v>74</v>
      </c>
      <c r="AG895">
        <v>9</v>
      </c>
      <c r="AH895">
        <v>4</v>
      </c>
      <c r="AI895">
        <v>4</v>
      </c>
      <c r="AJ895">
        <v>0</v>
      </c>
      <c r="AK895">
        <v>9</v>
      </c>
      <c r="AL895" t="s">
        <v>186</v>
      </c>
      <c r="AM895" t="s">
        <v>93</v>
      </c>
      <c r="AN895" t="s">
        <v>1675</v>
      </c>
      <c r="AO895" t="s">
        <v>807</v>
      </c>
      <c r="AP895" t="s">
        <v>808</v>
      </c>
      <c r="AQ895" t="s">
        <v>74</v>
      </c>
      <c r="AR895" t="s">
        <v>795</v>
      </c>
      <c r="AS895" t="s">
        <v>809</v>
      </c>
      <c r="AT895" t="s">
        <v>16826</v>
      </c>
      <c r="AU895">
        <v>2016</v>
      </c>
      <c r="AV895">
        <v>539</v>
      </c>
      <c r="AW895">
        <v>7628</v>
      </c>
      <c r="AX895" t="s">
        <v>74</v>
      </c>
      <c r="AY895" t="s">
        <v>74</v>
      </c>
      <c r="AZ895" t="s">
        <v>74</v>
      </c>
      <c r="BA895" t="s">
        <v>74</v>
      </c>
      <c r="BB895">
        <v>162</v>
      </c>
      <c r="BC895">
        <v>163</v>
      </c>
      <c r="BD895" t="s">
        <v>74</v>
      </c>
      <c r="BE895" t="s">
        <v>16827</v>
      </c>
      <c r="BF895" t="str">
        <f>HYPERLINK("http://dx.doi.org/10.1038/539162a","http://dx.doi.org/10.1038/539162a")</f>
        <v>http://dx.doi.org/10.1038/539162a</v>
      </c>
      <c r="BG895" t="s">
        <v>74</v>
      </c>
      <c r="BH895" t="s">
        <v>74</v>
      </c>
      <c r="BI895">
        <v>2</v>
      </c>
      <c r="BJ895" t="s">
        <v>100</v>
      </c>
      <c r="BK895" t="s">
        <v>245</v>
      </c>
      <c r="BL895" t="s">
        <v>102</v>
      </c>
      <c r="BM895" t="s">
        <v>16828</v>
      </c>
      <c r="BN895">
        <v>27830825</v>
      </c>
      <c r="BO895" t="s">
        <v>16829</v>
      </c>
      <c r="BP895" t="s">
        <v>74</v>
      </c>
      <c r="BQ895" t="s">
        <v>74</v>
      </c>
      <c r="BR895" t="s">
        <v>105</v>
      </c>
      <c r="BS895" t="s">
        <v>16830</v>
      </c>
      <c r="BT895" t="str">
        <f>HYPERLINK("https%3A%2F%2Fwww.webofscience.com%2Fwos%2Fwoscc%2Ffull-record%2FWOS:000387318500013","View Full Record in Web of Science")</f>
        <v>View Full Record in Web of Science</v>
      </c>
    </row>
    <row r="896" spans="1:72" x14ac:dyDescent="0.15">
      <c r="A896" t="s">
        <v>72</v>
      </c>
      <c r="B896" t="s">
        <v>16831</v>
      </c>
      <c r="C896" t="s">
        <v>74</v>
      </c>
      <c r="D896" t="s">
        <v>74</v>
      </c>
      <c r="E896" t="s">
        <v>74</v>
      </c>
      <c r="F896" t="s">
        <v>16832</v>
      </c>
      <c r="G896" t="s">
        <v>74</v>
      </c>
      <c r="H896" t="s">
        <v>74</v>
      </c>
      <c r="I896" t="s">
        <v>16833</v>
      </c>
      <c r="J896" t="s">
        <v>769</v>
      </c>
      <c r="K896" t="s">
        <v>74</v>
      </c>
      <c r="L896" t="s">
        <v>74</v>
      </c>
      <c r="M896" t="s">
        <v>78</v>
      </c>
      <c r="N896" t="s">
        <v>79</v>
      </c>
      <c r="O896" t="s">
        <v>74</v>
      </c>
      <c r="P896" t="s">
        <v>74</v>
      </c>
      <c r="Q896" t="s">
        <v>74</v>
      </c>
      <c r="R896" t="s">
        <v>74</v>
      </c>
      <c r="S896" t="s">
        <v>74</v>
      </c>
      <c r="T896" t="s">
        <v>74</v>
      </c>
      <c r="U896" t="s">
        <v>16834</v>
      </c>
      <c r="V896" t="s">
        <v>16835</v>
      </c>
      <c r="W896" t="s">
        <v>16836</v>
      </c>
      <c r="X896" t="s">
        <v>16837</v>
      </c>
      <c r="Y896" t="s">
        <v>16838</v>
      </c>
      <c r="Z896" t="s">
        <v>16839</v>
      </c>
      <c r="AA896" t="s">
        <v>16840</v>
      </c>
      <c r="AB896" t="s">
        <v>16841</v>
      </c>
      <c r="AC896" t="s">
        <v>11790</v>
      </c>
      <c r="AD896" t="s">
        <v>11791</v>
      </c>
      <c r="AE896" t="s">
        <v>74</v>
      </c>
      <c r="AF896" t="s">
        <v>74</v>
      </c>
      <c r="AG896">
        <v>39</v>
      </c>
      <c r="AH896">
        <v>5</v>
      </c>
      <c r="AI896">
        <v>6</v>
      </c>
      <c r="AJ896">
        <v>2</v>
      </c>
      <c r="AK896">
        <v>13</v>
      </c>
      <c r="AL896" t="s">
        <v>781</v>
      </c>
      <c r="AM896" t="s">
        <v>782</v>
      </c>
      <c r="AN896" t="s">
        <v>783</v>
      </c>
      <c r="AO896" t="s">
        <v>784</v>
      </c>
      <c r="AP896" t="s">
        <v>74</v>
      </c>
      <c r="AQ896" t="s">
        <v>74</v>
      </c>
      <c r="AR896" t="s">
        <v>769</v>
      </c>
      <c r="AS896" t="s">
        <v>785</v>
      </c>
      <c r="AT896" t="s">
        <v>16826</v>
      </c>
      <c r="AU896">
        <v>2016</v>
      </c>
      <c r="AV896">
        <v>11</v>
      </c>
      <c r="AW896">
        <v>11</v>
      </c>
      <c r="AX896" t="s">
        <v>74</v>
      </c>
      <c r="AY896" t="s">
        <v>74</v>
      </c>
      <c r="AZ896" t="s">
        <v>74</v>
      </c>
      <c r="BA896" t="s">
        <v>74</v>
      </c>
      <c r="BB896" t="s">
        <v>74</v>
      </c>
      <c r="BC896" t="s">
        <v>74</v>
      </c>
      <c r="BD896" t="s">
        <v>16842</v>
      </c>
      <c r="BE896" t="s">
        <v>16843</v>
      </c>
      <c r="BF896" t="str">
        <f>HYPERLINK("http://dx.doi.org/10.1371/journal.pone.0166228","http://dx.doi.org/10.1371/journal.pone.0166228")</f>
        <v>http://dx.doi.org/10.1371/journal.pone.0166228</v>
      </c>
      <c r="BG896" t="s">
        <v>74</v>
      </c>
      <c r="BH896" t="s">
        <v>74</v>
      </c>
      <c r="BI896">
        <v>18</v>
      </c>
      <c r="BJ896" t="s">
        <v>100</v>
      </c>
      <c r="BK896" t="s">
        <v>101</v>
      </c>
      <c r="BL896" t="s">
        <v>102</v>
      </c>
      <c r="BM896" t="s">
        <v>16844</v>
      </c>
      <c r="BN896">
        <v>27832164</v>
      </c>
      <c r="BO896" t="s">
        <v>16845</v>
      </c>
      <c r="BP896" t="s">
        <v>74</v>
      </c>
      <c r="BQ896" t="s">
        <v>74</v>
      </c>
      <c r="BR896" t="s">
        <v>105</v>
      </c>
      <c r="BS896" t="s">
        <v>16846</v>
      </c>
      <c r="BT896" t="str">
        <f>HYPERLINK("https%3A%2F%2Fwww.webofscience.com%2Fwos%2Fwoscc%2Ffull-record%2FWOS:000387725000079","View Full Record in Web of Science")</f>
        <v>View Full Record in Web of Science</v>
      </c>
    </row>
    <row r="897" spans="1:72" x14ac:dyDescent="0.15">
      <c r="A897" t="s">
        <v>72</v>
      </c>
      <c r="B897" t="s">
        <v>16847</v>
      </c>
      <c r="C897" t="s">
        <v>74</v>
      </c>
      <c r="D897" t="s">
        <v>74</v>
      </c>
      <c r="E897" t="s">
        <v>74</v>
      </c>
      <c r="F897" t="s">
        <v>16848</v>
      </c>
      <c r="G897" t="s">
        <v>74</v>
      </c>
      <c r="H897" t="s">
        <v>74</v>
      </c>
      <c r="I897" t="s">
        <v>16849</v>
      </c>
      <c r="J897" t="s">
        <v>12097</v>
      </c>
      <c r="K897" t="s">
        <v>74</v>
      </c>
      <c r="L897" t="s">
        <v>74</v>
      </c>
      <c r="M897" t="s">
        <v>78</v>
      </c>
      <c r="N897" t="s">
        <v>79</v>
      </c>
      <c r="O897" t="s">
        <v>74</v>
      </c>
      <c r="P897" t="s">
        <v>74</v>
      </c>
      <c r="Q897" t="s">
        <v>74</v>
      </c>
      <c r="R897" t="s">
        <v>74</v>
      </c>
      <c r="S897" t="s">
        <v>74</v>
      </c>
      <c r="T897" t="s">
        <v>16850</v>
      </c>
      <c r="U897" t="s">
        <v>16851</v>
      </c>
      <c r="V897" t="s">
        <v>16852</v>
      </c>
      <c r="W897" t="s">
        <v>16853</v>
      </c>
      <c r="X897" t="s">
        <v>16854</v>
      </c>
      <c r="Y897" t="s">
        <v>16855</v>
      </c>
      <c r="Z897" t="s">
        <v>16856</v>
      </c>
      <c r="AA897" t="s">
        <v>16857</v>
      </c>
      <c r="AB897" t="s">
        <v>16858</v>
      </c>
      <c r="AC897" t="s">
        <v>16859</v>
      </c>
      <c r="AD897" t="s">
        <v>16859</v>
      </c>
      <c r="AE897" t="s">
        <v>16860</v>
      </c>
      <c r="AF897" t="s">
        <v>74</v>
      </c>
      <c r="AG897">
        <v>42</v>
      </c>
      <c r="AH897">
        <v>20</v>
      </c>
      <c r="AI897">
        <v>23</v>
      </c>
      <c r="AJ897">
        <v>0</v>
      </c>
      <c r="AK897">
        <v>19</v>
      </c>
      <c r="AL897" t="s">
        <v>5554</v>
      </c>
      <c r="AM897" t="s">
        <v>5555</v>
      </c>
      <c r="AN897" t="s">
        <v>5556</v>
      </c>
      <c r="AO897" t="s">
        <v>12109</v>
      </c>
      <c r="AP897" t="s">
        <v>12110</v>
      </c>
      <c r="AQ897" t="s">
        <v>74</v>
      </c>
      <c r="AR897" t="s">
        <v>12111</v>
      </c>
      <c r="AS897" t="s">
        <v>12112</v>
      </c>
      <c r="AT897" t="s">
        <v>16861</v>
      </c>
      <c r="AU897">
        <v>2016</v>
      </c>
      <c r="AV897">
        <v>559</v>
      </c>
      <c r="AW897" t="s">
        <v>74</v>
      </c>
      <c r="AX897" t="s">
        <v>74</v>
      </c>
      <c r="AY897" t="s">
        <v>74</v>
      </c>
      <c r="AZ897" t="s">
        <v>74</v>
      </c>
      <c r="BA897" t="s">
        <v>74</v>
      </c>
      <c r="BB897">
        <v>243</v>
      </c>
      <c r="BC897">
        <v>255</v>
      </c>
      <c r="BD897" t="s">
        <v>74</v>
      </c>
      <c r="BE897" t="s">
        <v>16862</v>
      </c>
      <c r="BF897" t="str">
        <f>HYPERLINK("http://dx.doi.org/10.3354/meps11899","http://dx.doi.org/10.3354/meps11899")</f>
        <v>http://dx.doi.org/10.3354/meps11899</v>
      </c>
      <c r="BG897" t="s">
        <v>74</v>
      </c>
      <c r="BH897" t="s">
        <v>74</v>
      </c>
      <c r="BI897">
        <v>13</v>
      </c>
      <c r="BJ897" t="s">
        <v>12115</v>
      </c>
      <c r="BK897" t="s">
        <v>101</v>
      </c>
      <c r="BL897" t="s">
        <v>12116</v>
      </c>
      <c r="BM897" t="s">
        <v>16863</v>
      </c>
      <c r="BN897" t="s">
        <v>74</v>
      </c>
      <c r="BO897" t="s">
        <v>378</v>
      </c>
      <c r="BP897" t="s">
        <v>74</v>
      </c>
      <c r="BQ897" t="s">
        <v>74</v>
      </c>
      <c r="BR897" t="s">
        <v>105</v>
      </c>
      <c r="BS897" t="s">
        <v>16864</v>
      </c>
      <c r="BT897" t="str">
        <f>HYPERLINK("https%3A%2F%2Fwww.webofscience.com%2Fwos%2Fwoscc%2Ffull-record%2FWOS:000388225000019","View Full Record in Web of Science")</f>
        <v>View Full Record in Web of Science</v>
      </c>
    </row>
    <row r="898" spans="1:72" x14ac:dyDescent="0.15">
      <c r="A898" t="s">
        <v>72</v>
      </c>
      <c r="B898" t="s">
        <v>16865</v>
      </c>
      <c r="C898" t="s">
        <v>74</v>
      </c>
      <c r="D898" t="s">
        <v>74</v>
      </c>
      <c r="E898" t="s">
        <v>74</v>
      </c>
      <c r="F898" t="s">
        <v>16866</v>
      </c>
      <c r="G898" t="s">
        <v>74</v>
      </c>
      <c r="H898" t="s">
        <v>74</v>
      </c>
      <c r="I898" t="s">
        <v>16867</v>
      </c>
      <c r="J898" t="s">
        <v>769</v>
      </c>
      <c r="K898" t="s">
        <v>74</v>
      </c>
      <c r="L898" t="s">
        <v>74</v>
      </c>
      <c r="M898" t="s">
        <v>78</v>
      </c>
      <c r="N898" t="s">
        <v>79</v>
      </c>
      <c r="O898" t="s">
        <v>74</v>
      </c>
      <c r="P898" t="s">
        <v>74</v>
      </c>
      <c r="Q898" t="s">
        <v>74</v>
      </c>
      <c r="R898" t="s">
        <v>74</v>
      </c>
      <c r="S898" t="s">
        <v>74</v>
      </c>
      <c r="T898" t="s">
        <v>74</v>
      </c>
      <c r="U898" t="s">
        <v>16868</v>
      </c>
      <c r="V898" t="s">
        <v>16869</v>
      </c>
      <c r="W898" t="s">
        <v>16870</v>
      </c>
      <c r="X898" t="s">
        <v>16871</v>
      </c>
      <c r="Y898" t="s">
        <v>16872</v>
      </c>
      <c r="Z898" t="s">
        <v>16873</v>
      </c>
      <c r="AA898" t="s">
        <v>16874</v>
      </c>
      <c r="AB898" t="s">
        <v>16875</v>
      </c>
      <c r="AC898" t="s">
        <v>16876</v>
      </c>
      <c r="AD898" t="s">
        <v>16877</v>
      </c>
      <c r="AE898" t="s">
        <v>16878</v>
      </c>
      <c r="AF898" t="s">
        <v>74</v>
      </c>
      <c r="AG898">
        <v>58</v>
      </c>
      <c r="AH898">
        <v>40</v>
      </c>
      <c r="AI898">
        <v>45</v>
      </c>
      <c r="AJ898">
        <v>1</v>
      </c>
      <c r="AK898">
        <v>30</v>
      </c>
      <c r="AL898" t="s">
        <v>781</v>
      </c>
      <c r="AM898" t="s">
        <v>782</v>
      </c>
      <c r="AN898" t="s">
        <v>783</v>
      </c>
      <c r="AO898" t="s">
        <v>784</v>
      </c>
      <c r="AP898" t="s">
        <v>74</v>
      </c>
      <c r="AQ898" t="s">
        <v>74</v>
      </c>
      <c r="AR898" t="s">
        <v>769</v>
      </c>
      <c r="AS898" t="s">
        <v>785</v>
      </c>
      <c r="AT898" t="s">
        <v>16861</v>
      </c>
      <c r="AU898">
        <v>2016</v>
      </c>
      <c r="AV898">
        <v>11</v>
      </c>
      <c r="AW898">
        <v>11</v>
      </c>
      <c r="AX898" t="s">
        <v>74</v>
      </c>
      <c r="AY898" t="s">
        <v>74</v>
      </c>
      <c r="AZ898" t="s">
        <v>74</v>
      </c>
      <c r="BA898" t="s">
        <v>74</v>
      </c>
      <c r="BB898" t="s">
        <v>74</v>
      </c>
      <c r="BC898" t="s">
        <v>74</v>
      </c>
      <c r="BD898" t="s">
        <v>16879</v>
      </c>
      <c r="BE898" t="s">
        <v>16880</v>
      </c>
      <c r="BF898" t="str">
        <f>HYPERLINK("http://dx.doi.org/10.1371/journal.pone.0163587","http://dx.doi.org/10.1371/journal.pone.0163587")</f>
        <v>http://dx.doi.org/10.1371/journal.pone.0163587</v>
      </c>
      <c r="BG898" t="s">
        <v>74</v>
      </c>
      <c r="BH898" t="s">
        <v>74</v>
      </c>
      <c r="BI898">
        <v>20</v>
      </c>
      <c r="BJ898" t="s">
        <v>100</v>
      </c>
      <c r="BK898" t="s">
        <v>101</v>
      </c>
      <c r="BL898" t="s">
        <v>102</v>
      </c>
      <c r="BM898" t="s">
        <v>16881</v>
      </c>
      <c r="BN898">
        <v>27828976</v>
      </c>
      <c r="BO898" t="s">
        <v>591</v>
      </c>
      <c r="BP898" t="s">
        <v>74</v>
      </c>
      <c r="BQ898" t="s">
        <v>74</v>
      </c>
      <c r="BR898" t="s">
        <v>105</v>
      </c>
      <c r="BS898" t="s">
        <v>16882</v>
      </c>
      <c r="BT898" t="str">
        <f>HYPERLINK("https%3A%2F%2Fwww.webofscience.com%2Fwos%2Fwoscc%2Ffull-record%2FWOS:000387724300008","View Full Record in Web of Science")</f>
        <v>View Full Record in Web of Science</v>
      </c>
    </row>
    <row r="899" spans="1:72" x14ac:dyDescent="0.15">
      <c r="A899" t="s">
        <v>72</v>
      </c>
      <c r="B899" t="s">
        <v>16883</v>
      </c>
      <c r="C899" t="s">
        <v>74</v>
      </c>
      <c r="D899" t="s">
        <v>74</v>
      </c>
      <c r="E899" t="s">
        <v>74</v>
      </c>
      <c r="F899" t="s">
        <v>16884</v>
      </c>
      <c r="G899" t="s">
        <v>74</v>
      </c>
      <c r="H899" t="s">
        <v>74</v>
      </c>
      <c r="I899" t="s">
        <v>16885</v>
      </c>
      <c r="J899" t="s">
        <v>964</v>
      </c>
      <c r="K899" t="s">
        <v>74</v>
      </c>
      <c r="L899" t="s">
        <v>74</v>
      </c>
      <c r="M899" t="s">
        <v>78</v>
      </c>
      <c r="N899" t="s">
        <v>79</v>
      </c>
      <c r="O899" t="s">
        <v>74</v>
      </c>
      <c r="P899" t="s">
        <v>74</v>
      </c>
      <c r="Q899" t="s">
        <v>74</v>
      </c>
      <c r="R899" t="s">
        <v>74</v>
      </c>
      <c r="S899" t="s">
        <v>74</v>
      </c>
      <c r="T899" t="s">
        <v>74</v>
      </c>
      <c r="U899" t="s">
        <v>16886</v>
      </c>
      <c r="V899" t="s">
        <v>16887</v>
      </c>
      <c r="W899" t="s">
        <v>16888</v>
      </c>
      <c r="X899" t="s">
        <v>16889</v>
      </c>
      <c r="Y899" t="s">
        <v>16890</v>
      </c>
      <c r="Z899" t="s">
        <v>16891</v>
      </c>
      <c r="AA899" t="s">
        <v>16892</v>
      </c>
      <c r="AB899" t="s">
        <v>16893</v>
      </c>
      <c r="AC899" t="s">
        <v>16894</v>
      </c>
      <c r="AD899" t="s">
        <v>16895</v>
      </c>
      <c r="AE899" t="s">
        <v>16896</v>
      </c>
      <c r="AF899" t="s">
        <v>74</v>
      </c>
      <c r="AG899">
        <v>61</v>
      </c>
      <c r="AH899">
        <v>31</v>
      </c>
      <c r="AI899">
        <v>33</v>
      </c>
      <c r="AJ899">
        <v>3</v>
      </c>
      <c r="AK899">
        <v>55</v>
      </c>
      <c r="AL899" t="s">
        <v>608</v>
      </c>
      <c r="AM899" t="s">
        <v>609</v>
      </c>
      <c r="AN899" t="s">
        <v>610</v>
      </c>
      <c r="AO899" t="s">
        <v>975</v>
      </c>
      <c r="AP899" t="s">
        <v>976</v>
      </c>
      <c r="AQ899" t="s">
        <v>74</v>
      </c>
      <c r="AR899" t="s">
        <v>977</v>
      </c>
      <c r="AS899" t="s">
        <v>978</v>
      </c>
      <c r="AT899" t="s">
        <v>16861</v>
      </c>
      <c r="AU899">
        <v>2016</v>
      </c>
      <c r="AV899">
        <v>16</v>
      </c>
      <c r="AW899">
        <v>21</v>
      </c>
      <c r="AX899" t="s">
        <v>74</v>
      </c>
      <c r="AY899" t="s">
        <v>74</v>
      </c>
      <c r="AZ899" t="s">
        <v>74</v>
      </c>
      <c r="BA899" t="s">
        <v>74</v>
      </c>
      <c r="BB899">
        <v>13823</v>
      </c>
      <c r="BC899">
        <v>13836</v>
      </c>
      <c r="BD899" t="s">
        <v>74</v>
      </c>
      <c r="BE899" t="s">
        <v>16897</v>
      </c>
      <c r="BF899" t="str">
        <f>HYPERLINK("http://dx.doi.org/10.5194/acp-16-13823-2016","http://dx.doi.org/10.5194/acp-16-13823-2016")</f>
        <v>http://dx.doi.org/10.5194/acp-16-13823-2016</v>
      </c>
      <c r="BG899" t="s">
        <v>74</v>
      </c>
      <c r="BH899" t="s">
        <v>74</v>
      </c>
      <c r="BI899">
        <v>14</v>
      </c>
      <c r="BJ899" t="s">
        <v>981</v>
      </c>
      <c r="BK899" t="s">
        <v>101</v>
      </c>
      <c r="BL899" t="s">
        <v>982</v>
      </c>
      <c r="BM899" t="s">
        <v>16898</v>
      </c>
      <c r="BN899" t="s">
        <v>74</v>
      </c>
      <c r="BO899" t="s">
        <v>892</v>
      </c>
      <c r="BP899" t="s">
        <v>74</v>
      </c>
      <c r="BQ899" t="s">
        <v>74</v>
      </c>
      <c r="BR899" t="s">
        <v>105</v>
      </c>
      <c r="BS899" t="s">
        <v>16899</v>
      </c>
      <c r="BT899" t="str">
        <f>HYPERLINK("https%3A%2F%2Fwww.webofscience.com%2Fwos%2Fwoscc%2Ffull-record%2FWOS:000387453600001","View Full Record in Web of Science")</f>
        <v>View Full Record in Web of Science</v>
      </c>
    </row>
    <row r="900" spans="1:72" x14ac:dyDescent="0.15">
      <c r="A900" t="s">
        <v>72</v>
      </c>
      <c r="B900" t="s">
        <v>16900</v>
      </c>
      <c r="C900" t="s">
        <v>74</v>
      </c>
      <c r="D900" t="s">
        <v>74</v>
      </c>
      <c r="E900" t="s">
        <v>74</v>
      </c>
      <c r="F900" t="s">
        <v>16901</v>
      </c>
      <c r="G900" t="s">
        <v>74</v>
      </c>
      <c r="H900" t="s">
        <v>74</v>
      </c>
      <c r="I900" t="s">
        <v>16902</v>
      </c>
      <c r="J900" t="s">
        <v>572</v>
      </c>
      <c r="K900" t="s">
        <v>74</v>
      </c>
      <c r="L900" t="s">
        <v>74</v>
      </c>
      <c r="M900" t="s">
        <v>78</v>
      </c>
      <c r="N900" t="s">
        <v>79</v>
      </c>
      <c r="O900" t="s">
        <v>74</v>
      </c>
      <c r="P900" t="s">
        <v>74</v>
      </c>
      <c r="Q900" t="s">
        <v>74</v>
      </c>
      <c r="R900" t="s">
        <v>74</v>
      </c>
      <c r="S900" t="s">
        <v>74</v>
      </c>
      <c r="T900" t="s">
        <v>74</v>
      </c>
      <c r="U900" t="s">
        <v>16903</v>
      </c>
      <c r="V900" t="s">
        <v>16904</v>
      </c>
      <c r="W900" t="s">
        <v>16905</v>
      </c>
      <c r="X900" t="s">
        <v>1484</v>
      </c>
      <c r="Y900" t="s">
        <v>16906</v>
      </c>
      <c r="Z900" t="s">
        <v>16907</v>
      </c>
      <c r="AA900" t="s">
        <v>16908</v>
      </c>
      <c r="AB900" t="s">
        <v>16909</v>
      </c>
      <c r="AC900" t="s">
        <v>74</v>
      </c>
      <c r="AD900" t="s">
        <v>74</v>
      </c>
      <c r="AE900" t="s">
        <v>74</v>
      </c>
      <c r="AF900" t="s">
        <v>74</v>
      </c>
      <c r="AG900">
        <v>49</v>
      </c>
      <c r="AH900">
        <v>22</v>
      </c>
      <c r="AI900">
        <v>23</v>
      </c>
      <c r="AJ900">
        <v>0</v>
      </c>
      <c r="AK900">
        <v>25</v>
      </c>
      <c r="AL900" t="s">
        <v>582</v>
      </c>
      <c r="AM900" t="s">
        <v>583</v>
      </c>
      <c r="AN900" t="s">
        <v>584</v>
      </c>
      <c r="AO900" t="s">
        <v>585</v>
      </c>
      <c r="AP900" t="s">
        <v>74</v>
      </c>
      <c r="AQ900" t="s">
        <v>74</v>
      </c>
      <c r="AR900" t="s">
        <v>586</v>
      </c>
      <c r="AS900" t="s">
        <v>587</v>
      </c>
      <c r="AT900" t="s">
        <v>16861</v>
      </c>
      <c r="AU900">
        <v>2016</v>
      </c>
      <c r="AV900">
        <v>6</v>
      </c>
      <c r="AW900" t="s">
        <v>74</v>
      </c>
      <c r="AX900" t="s">
        <v>74</v>
      </c>
      <c r="AY900" t="s">
        <v>74</v>
      </c>
      <c r="AZ900" t="s">
        <v>74</v>
      </c>
      <c r="BA900" t="s">
        <v>74</v>
      </c>
      <c r="BB900" t="s">
        <v>74</v>
      </c>
      <c r="BC900" t="s">
        <v>74</v>
      </c>
      <c r="BD900">
        <v>36724</v>
      </c>
      <c r="BE900" t="s">
        <v>16910</v>
      </c>
      <c r="BF900" t="str">
        <f>HYPERLINK("http://dx.doi.org/10.1038/srep36724","http://dx.doi.org/10.1038/srep36724")</f>
        <v>http://dx.doi.org/10.1038/srep36724</v>
      </c>
      <c r="BG900" t="s">
        <v>74</v>
      </c>
      <c r="BH900" t="s">
        <v>74</v>
      </c>
      <c r="BI900">
        <v>13</v>
      </c>
      <c r="BJ900" t="s">
        <v>100</v>
      </c>
      <c r="BK900" t="s">
        <v>101</v>
      </c>
      <c r="BL900" t="s">
        <v>102</v>
      </c>
      <c r="BM900" t="s">
        <v>16911</v>
      </c>
      <c r="BN900">
        <v>27827405</v>
      </c>
      <c r="BO900" t="s">
        <v>918</v>
      </c>
      <c r="BP900" t="s">
        <v>74</v>
      </c>
      <c r="BQ900" t="s">
        <v>74</v>
      </c>
      <c r="BR900" t="s">
        <v>105</v>
      </c>
      <c r="BS900" t="s">
        <v>16912</v>
      </c>
      <c r="BT900" t="str">
        <f>HYPERLINK("https%3A%2F%2Fwww.webofscience.com%2Fwos%2Fwoscc%2Ffull-record%2FWOS:000387540300001","View Full Record in Web of Science")</f>
        <v>View Full Record in Web of Science</v>
      </c>
    </row>
    <row r="901" spans="1:72" x14ac:dyDescent="0.15">
      <c r="A901" t="s">
        <v>72</v>
      </c>
      <c r="B901" t="s">
        <v>16913</v>
      </c>
      <c r="C901" t="s">
        <v>74</v>
      </c>
      <c r="D901" t="s">
        <v>74</v>
      </c>
      <c r="E901" t="s">
        <v>74</v>
      </c>
      <c r="F901" t="s">
        <v>16914</v>
      </c>
      <c r="G901" t="s">
        <v>74</v>
      </c>
      <c r="H901" t="s">
        <v>74</v>
      </c>
      <c r="I901" t="s">
        <v>16915</v>
      </c>
      <c r="J901" t="s">
        <v>964</v>
      </c>
      <c r="K901" t="s">
        <v>74</v>
      </c>
      <c r="L901" t="s">
        <v>74</v>
      </c>
      <c r="M901" t="s">
        <v>78</v>
      </c>
      <c r="N901" t="s">
        <v>79</v>
      </c>
      <c r="O901" t="s">
        <v>74</v>
      </c>
      <c r="P901" t="s">
        <v>74</v>
      </c>
      <c r="Q901" t="s">
        <v>74</v>
      </c>
      <c r="R901" t="s">
        <v>74</v>
      </c>
      <c r="S901" t="s">
        <v>74</v>
      </c>
      <c r="T901" t="s">
        <v>74</v>
      </c>
      <c r="U901" t="s">
        <v>16916</v>
      </c>
      <c r="V901" t="s">
        <v>16917</v>
      </c>
      <c r="W901" t="s">
        <v>16918</v>
      </c>
      <c r="X901" t="s">
        <v>16919</v>
      </c>
      <c r="Y901" t="s">
        <v>16920</v>
      </c>
      <c r="Z901" t="s">
        <v>16921</v>
      </c>
      <c r="AA901" t="s">
        <v>16922</v>
      </c>
      <c r="AB901" t="s">
        <v>16923</v>
      </c>
      <c r="AC901" t="s">
        <v>16924</v>
      </c>
      <c r="AD901" t="s">
        <v>16925</v>
      </c>
      <c r="AE901" t="s">
        <v>16926</v>
      </c>
      <c r="AF901" t="s">
        <v>74</v>
      </c>
      <c r="AG901">
        <v>66</v>
      </c>
      <c r="AH901">
        <v>7</v>
      </c>
      <c r="AI901">
        <v>8</v>
      </c>
      <c r="AJ901">
        <v>1</v>
      </c>
      <c r="AK901">
        <v>30</v>
      </c>
      <c r="AL901" t="s">
        <v>608</v>
      </c>
      <c r="AM901" t="s">
        <v>609</v>
      </c>
      <c r="AN901" t="s">
        <v>610</v>
      </c>
      <c r="AO901" t="s">
        <v>975</v>
      </c>
      <c r="AP901" t="s">
        <v>976</v>
      </c>
      <c r="AQ901" t="s">
        <v>74</v>
      </c>
      <c r="AR901" t="s">
        <v>977</v>
      </c>
      <c r="AS901" t="s">
        <v>978</v>
      </c>
      <c r="AT901" t="s">
        <v>16861</v>
      </c>
      <c r="AU901">
        <v>2016</v>
      </c>
      <c r="AV901">
        <v>16</v>
      </c>
      <c r="AW901">
        <v>21</v>
      </c>
      <c r="AX901" t="s">
        <v>74</v>
      </c>
      <c r="AY901" t="s">
        <v>74</v>
      </c>
      <c r="AZ901" t="s">
        <v>74</v>
      </c>
      <c r="BA901" t="s">
        <v>74</v>
      </c>
      <c r="BB901">
        <v>13837</v>
      </c>
      <c r="BC901">
        <v>13851</v>
      </c>
      <c r="BD901" t="s">
        <v>74</v>
      </c>
      <c r="BE901" t="s">
        <v>16927</v>
      </c>
      <c r="BF901" t="str">
        <f>HYPERLINK("http://dx.doi.org/10.5194/acp-16-13837-2016","http://dx.doi.org/10.5194/acp-16-13837-2016")</f>
        <v>http://dx.doi.org/10.5194/acp-16-13837-2016</v>
      </c>
      <c r="BG901" t="s">
        <v>74</v>
      </c>
      <c r="BH901" t="s">
        <v>74</v>
      </c>
      <c r="BI901">
        <v>15</v>
      </c>
      <c r="BJ901" t="s">
        <v>981</v>
      </c>
      <c r="BK901" t="s">
        <v>101</v>
      </c>
      <c r="BL901" t="s">
        <v>982</v>
      </c>
      <c r="BM901" t="s">
        <v>16898</v>
      </c>
      <c r="BN901" t="s">
        <v>74</v>
      </c>
      <c r="BO901" t="s">
        <v>725</v>
      </c>
      <c r="BP901" t="s">
        <v>74</v>
      </c>
      <c r="BQ901" t="s">
        <v>74</v>
      </c>
      <c r="BR901" t="s">
        <v>105</v>
      </c>
      <c r="BS901" t="s">
        <v>16928</v>
      </c>
      <c r="BT901" t="str">
        <f>HYPERLINK("https%3A%2F%2Fwww.webofscience.com%2Fwos%2Fwoscc%2Ffull-record%2FWOS:000387453600002","View Full Record in Web of Science")</f>
        <v>View Full Record in Web of Science</v>
      </c>
    </row>
    <row r="902" spans="1:72" x14ac:dyDescent="0.15">
      <c r="A902" t="s">
        <v>72</v>
      </c>
      <c r="B902" t="s">
        <v>16929</v>
      </c>
      <c r="C902" t="s">
        <v>74</v>
      </c>
      <c r="D902" t="s">
        <v>74</v>
      </c>
      <c r="E902" t="s">
        <v>74</v>
      </c>
      <c r="F902" t="s">
        <v>16930</v>
      </c>
      <c r="G902" t="s">
        <v>74</v>
      </c>
      <c r="H902" t="s">
        <v>74</v>
      </c>
      <c r="I902" t="s">
        <v>16931</v>
      </c>
      <c r="J902" t="s">
        <v>596</v>
      </c>
      <c r="K902" t="s">
        <v>74</v>
      </c>
      <c r="L902" t="s">
        <v>74</v>
      </c>
      <c r="M902" t="s">
        <v>78</v>
      </c>
      <c r="N902" t="s">
        <v>79</v>
      </c>
      <c r="O902" t="s">
        <v>74</v>
      </c>
      <c r="P902" t="s">
        <v>74</v>
      </c>
      <c r="Q902" t="s">
        <v>74</v>
      </c>
      <c r="R902" t="s">
        <v>74</v>
      </c>
      <c r="S902" t="s">
        <v>74</v>
      </c>
      <c r="T902" t="s">
        <v>74</v>
      </c>
      <c r="U902" t="s">
        <v>16932</v>
      </c>
      <c r="V902" t="s">
        <v>16933</v>
      </c>
      <c r="W902" t="s">
        <v>16934</v>
      </c>
      <c r="X902" t="s">
        <v>11542</v>
      </c>
      <c r="Y902" t="s">
        <v>16935</v>
      </c>
      <c r="Z902" t="s">
        <v>16936</v>
      </c>
      <c r="AA902" t="s">
        <v>16937</v>
      </c>
      <c r="AB902" t="s">
        <v>16938</v>
      </c>
      <c r="AC902" t="s">
        <v>16939</v>
      </c>
      <c r="AD902" t="s">
        <v>16940</v>
      </c>
      <c r="AE902" t="s">
        <v>16941</v>
      </c>
      <c r="AF902" t="s">
        <v>74</v>
      </c>
      <c r="AG902">
        <v>48</v>
      </c>
      <c r="AH902">
        <v>47</v>
      </c>
      <c r="AI902">
        <v>51</v>
      </c>
      <c r="AJ902">
        <v>2</v>
      </c>
      <c r="AK902">
        <v>20</v>
      </c>
      <c r="AL902" t="s">
        <v>608</v>
      </c>
      <c r="AM902" t="s">
        <v>609</v>
      </c>
      <c r="AN902" t="s">
        <v>610</v>
      </c>
      <c r="AO902" t="s">
        <v>611</v>
      </c>
      <c r="AP902" t="s">
        <v>612</v>
      </c>
      <c r="AQ902" t="s">
        <v>74</v>
      </c>
      <c r="AR902" t="s">
        <v>596</v>
      </c>
      <c r="AS902" t="s">
        <v>613</v>
      </c>
      <c r="AT902" t="s">
        <v>16861</v>
      </c>
      <c r="AU902">
        <v>2016</v>
      </c>
      <c r="AV902">
        <v>10</v>
      </c>
      <c r="AW902">
        <v>6</v>
      </c>
      <c r="AX902" t="s">
        <v>74</v>
      </c>
      <c r="AY902" t="s">
        <v>74</v>
      </c>
      <c r="AZ902" t="s">
        <v>74</v>
      </c>
      <c r="BA902" t="s">
        <v>74</v>
      </c>
      <c r="BB902">
        <v>2623</v>
      </c>
      <c r="BC902">
        <v>2635</v>
      </c>
      <c r="BD902" t="s">
        <v>74</v>
      </c>
      <c r="BE902" t="s">
        <v>16942</v>
      </c>
      <c r="BF902" t="str">
        <f>HYPERLINK("http://dx.doi.org/10.5194/tc-10-2623-2016","http://dx.doi.org/10.5194/tc-10-2623-2016")</f>
        <v>http://dx.doi.org/10.5194/tc-10-2623-2016</v>
      </c>
      <c r="BG902" t="s">
        <v>74</v>
      </c>
      <c r="BH902" t="s">
        <v>74</v>
      </c>
      <c r="BI902">
        <v>13</v>
      </c>
      <c r="BJ902" t="s">
        <v>615</v>
      </c>
      <c r="BK902" t="s">
        <v>101</v>
      </c>
      <c r="BL902" t="s">
        <v>616</v>
      </c>
      <c r="BM902" t="s">
        <v>16943</v>
      </c>
      <c r="BN902" t="s">
        <v>74</v>
      </c>
      <c r="BO902" t="s">
        <v>3181</v>
      </c>
      <c r="BP902" t="s">
        <v>74</v>
      </c>
      <c r="BQ902" t="s">
        <v>74</v>
      </c>
      <c r="BR902" t="s">
        <v>105</v>
      </c>
      <c r="BS902" t="s">
        <v>16944</v>
      </c>
      <c r="BT902" t="str">
        <f>HYPERLINK("https%3A%2F%2Fwww.webofscience.com%2Fwos%2Fwoscc%2Ffull-record%2FWOS:000387869600001","View Full Record in Web of Science")</f>
        <v>View Full Record in Web of Science</v>
      </c>
    </row>
    <row r="903" spans="1:72" x14ac:dyDescent="0.15">
      <c r="A903" t="s">
        <v>72</v>
      </c>
      <c r="B903" t="s">
        <v>16945</v>
      </c>
      <c r="C903" t="s">
        <v>74</v>
      </c>
      <c r="D903" t="s">
        <v>74</v>
      </c>
      <c r="E903" t="s">
        <v>74</v>
      </c>
      <c r="F903" t="s">
        <v>16946</v>
      </c>
      <c r="G903" t="s">
        <v>74</v>
      </c>
      <c r="H903" t="s">
        <v>74</v>
      </c>
      <c r="I903" t="s">
        <v>16947</v>
      </c>
      <c r="J903" t="s">
        <v>12232</v>
      </c>
      <c r="K903" t="s">
        <v>74</v>
      </c>
      <c r="L903" t="s">
        <v>74</v>
      </c>
      <c r="M903" t="s">
        <v>78</v>
      </c>
      <c r="N903" t="s">
        <v>79</v>
      </c>
      <c r="O903" t="s">
        <v>74</v>
      </c>
      <c r="P903" t="s">
        <v>74</v>
      </c>
      <c r="Q903" t="s">
        <v>74</v>
      </c>
      <c r="R903" t="s">
        <v>74</v>
      </c>
      <c r="S903" t="s">
        <v>74</v>
      </c>
      <c r="T903" t="s">
        <v>74</v>
      </c>
      <c r="U903" t="s">
        <v>16948</v>
      </c>
      <c r="V903" t="s">
        <v>16949</v>
      </c>
      <c r="W903" t="s">
        <v>16950</v>
      </c>
      <c r="X903" t="s">
        <v>16951</v>
      </c>
      <c r="Y903" t="s">
        <v>16952</v>
      </c>
      <c r="Z903" t="s">
        <v>16953</v>
      </c>
      <c r="AA903" t="s">
        <v>16954</v>
      </c>
      <c r="AB903" t="s">
        <v>16955</v>
      </c>
      <c r="AC903" t="s">
        <v>16956</v>
      </c>
      <c r="AD903" t="s">
        <v>16957</v>
      </c>
      <c r="AE903" t="s">
        <v>74</v>
      </c>
      <c r="AF903" t="s">
        <v>74</v>
      </c>
      <c r="AG903">
        <v>93</v>
      </c>
      <c r="AH903">
        <v>116</v>
      </c>
      <c r="AI903">
        <v>119</v>
      </c>
      <c r="AJ903">
        <v>1</v>
      </c>
      <c r="AK903">
        <v>22</v>
      </c>
      <c r="AL903" t="s">
        <v>608</v>
      </c>
      <c r="AM903" t="s">
        <v>609</v>
      </c>
      <c r="AN903" t="s">
        <v>610</v>
      </c>
      <c r="AO903" t="s">
        <v>12244</v>
      </c>
      <c r="AP903" t="s">
        <v>12245</v>
      </c>
      <c r="AQ903" t="s">
        <v>74</v>
      </c>
      <c r="AR903" t="s">
        <v>12246</v>
      </c>
      <c r="AS903" t="s">
        <v>12247</v>
      </c>
      <c r="AT903" t="s">
        <v>16861</v>
      </c>
      <c r="AU903">
        <v>2016</v>
      </c>
      <c r="AV903">
        <v>9</v>
      </c>
      <c r="AW903">
        <v>11</v>
      </c>
      <c r="AX903" t="s">
        <v>74</v>
      </c>
      <c r="AY903" t="s">
        <v>74</v>
      </c>
      <c r="AZ903" t="s">
        <v>74</v>
      </c>
      <c r="BA903" t="s">
        <v>74</v>
      </c>
      <c r="BB903">
        <v>3993</v>
      </c>
      <c r="BC903">
        <v>4017</v>
      </c>
      <c r="BD903" t="s">
        <v>74</v>
      </c>
      <c r="BE903" t="s">
        <v>16958</v>
      </c>
      <c r="BF903" t="str">
        <f>HYPERLINK("http://dx.doi.org/10.5194/gmd-9-3993-2016","http://dx.doi.org/10.5194/gmd-9-3993-2016")</f>
        <v>http://dx.doi.org/10.5194/gmd-9-3993-2016</v>
      </c>
      <c r="BG903" t="s">
        <v>74</v>
      </c>
      <c r="BH903" t="s">
        <v>74</v>
      </c>
      <c r="BI903">
        <v>25</v>
      </c>
      <c r="BJ903" t="s">
        <v>669</v>
      </c>
      <c r="BK903" t="s">
        <v>101</v>
      </c>
      <c r="BL903" t="s">
        <v>670</v>
      </c>
      <c r="BM903" t="s">
        <v>16959</v>
      </c>
      <c r="BN903" t="s">
        <v>74</v>
      </c>
      <c r="BO903" t="s">
        <v>16370</v>
      </c>
      <c r="BP903" t="s">
        <v>74</v>
      </c>
      <c r="BQ903" t="s">
        <v>74</v>
      </c>
      <c r="BR903" t="s">
        <v>105</v>
      </c>
      <c r="BS903" t="s">
        <v>16960</v>
      </c>
      <c r="BT903" t="str">
        <f>HYPERLINK("https%3A%2F%2Fwww.webofscience.com%2Fwos%2Fwoscc%2Ffull-record%2FWOS:000387988500001","View Full Record in Web of Science")</f>
        <v>View Full Record in Web of Science</v>
      </c>
    </row>
    <row r="904" spans="1:72" x14ac:dyDescent="0.15">
      <c r="A904" t="s">
        <v>72</v>
      </c>
      <c r="B904" t="s">
        <v>16961</v>
      </c>
      <c r="C904" t="s">
        <v>74</v>
      </c>
      <c r="D904" t="s">
        <v>74</v>
      </c>
      <c r="E904" t="s">
        <v>74</v>
      </c>
      <c r="F904" t="s">
        <v>16962</v>
      </c>
      <c r="G904" t="s">
        <v>74</v>
      </c>
      <c r="H904" t="s">
        <v>74</v>
      </c>
      <c r="I904" t="s">
        <v>16963</v>
      </c>
      <c r="J904" t="s">
        <v>12097</v>
      </c>
      <c r="K904" t="s">
        <v>74</v>
      </c>
      <c r="L904" t="s">
        <v>74</v>
      </c>
      <c r="M904" t="s">
        <v>78</v>
      </c>
      <c r="N904" t="s">
        <v>79</v>
      </c>
      <c r="O904" t="s">
        <v>74</v>
      </c>
      <c r="P904" t="s">
        <v>74</v>
      </c>
      <c r="Q904" t="s">
        <v>74</v>
      </c>
      <c r="R904" t="s">
        <v>74</v>
      </c>
      <c r="S904" t="s">
        <v>74</v>
      </c>
      <c r="T904" t="s">
        <v>16964</v>
      </c>
      <c r="U904" t="s">
        <v>16965</v>
      </c>
      <c r="V904" t="s">
        <v>16966</v>
      </c>
      <c r="W904" t="s">
        <v>16967</v>
      </c>
      <c r="X904" t="s">
        <v>16968</v>
      </c>
      <c r="Y904" t="s">
        <v>16969</v>
      </c>
      <c r="Z904" t="s">
        <v>16970</v>
      </c>
      <c r="AA904" t="s">
        <v>16971</v>
      </c>
      <c r="AB904" t="s">
        <v>16972</v>
      </c>
      <c r="AC904" t="s">
        <v>16973</v>
      </c>
      <c r="AD904" t="s">
        <v>16974</v>
      </c>
      <c r="AE904" t="s">
        <v>16975</v>
      </c>
      <c r="AF904" t="s">
        <v>74</v>
      </c>
      <c r="AG904">
        <v>76</v>
      </c>
      <c r="AH904">
        <v>21</v>
      </c>
      <c r="AI904">
        <v>24</v>
      </c>
      <c r="AJ904">
        <v>0</v>
      </c>
      <c r="AK904">
        <v>63</v>
      </c>
      <c r="AL904" t="s">
        <v>5554</v>
      </c>
      <c r="AM904" t="s">
        <v>5555</v>
      </c>
      <c r="AN904" t="s">
        <v>5556</v>
      </c>
      <c r="AO904" t="s">
        <v>12109</v>
      </c>
      <c r="AP904" t="s">
        <v>12110</v>
      </c>
      <c r="AQ904" t="s">
        <v>74</v>
      </c>
      <c r="AR904" t="s">
        <v>12111</v>
      </c>
      <c r="AS904" t="s">
        <v>12112</v>
      </c>
      <c r="AT904" t="s">
        <v>16861</v>
      </c>
      <c r="AU904">
        <v>2016</v>
      </c>
      <c r="AV904">
        <v>559</v>
      </c>
      <c r="AW904" t="s">
        <v>74</v>
      </c>
      <c r="AX904" t="s">
        <v>74</v>
      </c>
      <c r="AY904" t="s">
        <v>74</v>
      </c>
      <c r="AZ904" t="s">
        <v>74</v>
      </c>
      <c r="BA904" t="s">
        <v>74</v>
      </c>
      <c r="BB904">
        <v>231</v>
      </c>
      <c r="BC904">
        <v>242</v>
      </c>
      <c r="BD904" t="s">
        <v>74</v>
      </c>
      <c r="BE904" t="s">
        <v>16976</v>
      </c>
      <c r="BF904" t="str">
        <f>HYPERLINK("http://dx.doi.org/10.3354/meps11875","http://dx.doi.org/10.3354/meps11875")</f>
        <v>http://dx.doi.org/10.3354/meps11875</v>
      </c>
      <c r="BG904" t="s">
        <v>74</v>
      </c>
      <c r="BH904" t="s">
        <v>74</v>
      </c>
      <c r="BI904">
        <v>12</v>
      </c>
      <c r="BJ904" t="s">
        <v>12115</v>
      </c>
      <c r="BK904" t="s">
        <v>101</v>
      </c>
      <c r="BL904" t="s">
        <v>12116</v>
      </c>
      <c r="BM904" t="s">
        <v>16863</v>
      </c>
      <c r="BN904" t="s">
        <v>74</v>
      </c>
      <c r="BO904" t="s">
        <v>16977</v>
      </c>
      <c r="BP904" t="s">
        <v>74</v>
      </c>
      <c r="BQ904" t="s">
        <v>74</v>
      </c>
      <c r="BR904" t="s">
        <v>105</v>
      </c>
      <c r="BS904" t="s">
        <v>16978</v>
      </c>
      <c r="BT904" t="str">
        <f>HYPERLINK("https%3A%2F%2Fwww.webofscience.com%2Fwos%2Fwoscc%2Ffull-record%2FWOS:000388225000018","View Full Record in Web of Science")</f>
        <v>View Full Record in Web of Science</v>
      </c>
    </row>
    <row r="905" spans="1:72" x14ac:dyDescent="0.15">
      <c r="A905" t="s">
        <v>72</v>
      </c>
      <c r="B905" t="s">
        <v>16979</v>
      </c>
      <c r="C905" t="s">
        <v>74</v>
      </c>
      <c r="D905" t="s">
        <v>74</v>
      </c>
      <c r="E905" t="s">
        <v>74</v>
      </c>
      <c r="F905" t="s">
        <v>16980</v>
      </c>
      <c r="G905" t="s">
        <v>74</v>
      </c>
      <c r="H905" t="s">
        <v>74</v>
      </c>
      <c r="I905" t="s">
        <v>16981</v>
      </c>
      <c r="J905" t="s">
        <v>572</v>
      </c>
      <c r="K905" t="s">
        <v>74</v>
      </c>
      <c r="L905" t="s">
        <v>74</v>
      </c>
      <c r="M905" t="s">
        <v>78</v>
      </c>
      <c r="N905" t="s">
        <v>79</v>
      </c>
      <c r="O905" t="s">
        <v>74</v>
      </c>
      <c r="P905" t="s">
        <v>74</v>
      </c>
      <c r="Q905" t="s">
        <v>74</v>
      </c>
      <c r="R905" t="s">
        <v>74</v>
      </c>
      <c r="S905" t="s">
        <v>74</v>
      </c>
      <c r="T905" t="s">
        <v>74</v>
      </c>
      <c r="U905" t="s">
        <v>16982</v>
      </c>
      <c r="V905" t="s">
        <v>16983</v>
      </c>
      <c r="W905" t="s">
        <v>16984</v>
      </c>
      <c r="X905" t="s">
        <v>16985</v>
      </c>
      <c r="Y905" t="s">
        <v>16986</v>
      </c>
      <c r="Z905" t="s">
        <v>16987</v>
      </c>
      <c r="AA905" t="s">
        <v>16988</v>
      </c>
      <c r="AB905" t="s">
        <v>16989</v>
      </c>
      <c r="AC905" t="s">
        <v>16990</v>
      </c>
      <c r="AD905" t="s">
        <v>16990</v>
      </c>
      <c r="AE905" t="s">
        <v>16991</v>
      </c>
      <c r="AF905" t="s">
        <v>74</v>
      </c>
      <c r="AG905">
        <v>46</v>
      </c>
      <c r="AH905">
        <v>35</v>
      </c>
      <c r="AI905">
        <v>39</v>
      </c>
      <c r="AJ905">
        <v>0</v>
      </c>
      <c r="AK905">
        <v>6</v>
      </c>
      <c r="AL905" t="s">
        <v>582</v>
      </c>
      <c r="AM905" t="s">
        <v>583</v>
      </c>
      <c r="AN905" t="s">
        <v>584</v>
      </c>
      <c r="AO905" t="s">
        <v>585</v>
      </c>
      <c r="AP905" t="s">
        <v>74</v>
      </c>
      <c r="AQ905" t="s">
        <v>74</v>
      </c>
      <c r="AR905" t="s">
        <v>586</v>
      </c>
      <c r="AS905" t="s">
        <v>587</v>
      </c>
      <c r="AT905" t="s">
        <v>16861</v>
      </c>
      <c r="AU905">
        <v>2016</v>
      </c>
      <c r="AV905">
        <v>6</v>
      </c>
      <c r="AW905" t="s">
        <v>74</v>
      </c>
      <c r="AX905" t="s">
        <v>74</v>
      </c>
      <c r="AY905" t="s">
        <v>74</v>
      </c>
      <c r="AZ905" t="s">
        <v>74</v>
      </c>
      <c r="BA905" t="s">
        <v>74</v>
      </c>
      <c r="BB905" t="s">
        <v>74</v>
      </c>
      <c r="BC905" t="s">
        <v>74</v>
      </c>
      <c r="BD905">
        <v>36192</v>
      </c>
      <c r="BE905" t="s">
        <v>16992</v>
      </c>
      <c r="BF905" t="str">
        <f>HYPERLINK("http://dx.doi.org/10.1038/srep36192","http://dx.doi.org/10.1038/srep36192")</f>
        <v>http://dx.doi.org/10.1038/srep36192</v>
      </c>
      <c r="BG905" t="s">
        <v>74</v>
      </c>
      <c r="BH905" t="s">
        <v>74</v>
      </c>
      <c r="BI905">
        <v>9</v>
      </c>
      <c r="BJ905" t="s">
        <v>100</v>
      </c>
      <c r="BK905" t="s">
        <v>101</v>
      </c>
      <c r="BL905" t="s">
        <v>102</v>
      </c>
      <c r="BM905" t="s">
        <v>16993</v>
      </c>
      <c r="BN905">
        <v>27827457</v>
      </c>
      <c r="BO905" t="s">
        <v>591</v>
      </c>
      <c r="BP905" t="s">
        <v>74</v>
      </c>
      <c r="BQ905" t="s">
        <v>74</v>
      </c>
      <c r="BR905" t="s">
        <v>105</v>
      </c>
      <c r="BS905" t="s">
        <v>16994</v>
      </c>
      <c r="BT905" t="str">
        <f>HYPERLINK("https%3A%2F%2Fwww.webofscience.com%2Fwos%2Fwoscc%2Ffull-record%2FWOS:000387279400001","View Full Record in Web of Science")</f>
        <v>View Full Record in Web of Science</v>
      </c>
    </row>
    <row r="906" spans="1:72" x14ac:dyDescent="0.15">
      <c r="A906" t="s">
        <v>72</v>
      </c>
      <c r="B906" t="s">
        <v>16995</v>
      </c>
      <c r="C906" t="s">
        <v>74</v>
      </c>
      <c r="D906" t="s">
        <v>74</v>
      </c>
      <c r="E906" t="s">
        <v>74</v>
      </c>
      <c r="F906" t="s">
        <v>16996</v>
      </c>
      <c r="G906" t="s">
        <v>74</v>
      </c>
      <c r="H906" t="s">
        <v>74</v>
      </c>
      <c r="I906" t="s">
        <v>16997</v>
      </c>
      <c r="J906" t="s">
        <v>1044</v>
      </c>
      <c r="K906" t="s">
        <v>74</v>
      </c>
      <c r="L906" t="s">
        <v>74</v>
      </c>
      <c r="M906" t="s">
        <v>78</v>
      </c>
      <c r="N906" t="s">
        <v>79</v>
      </c>
      <c r="O906" t="s">
        <v>74</v>
      </c>
      <c r="P906" t="s">
        <v>74</v>
      </c>
      <c r="Q906" t="s">
        <v>74</v>
      </c>
      <c r="R906" t="s">
        <v>74</v>
      </c>
      <c r="S906" t="s">
        <v>74</v>
      </c>
      <c r="T906" t="s">
        <v>74</v>
      </c>
      <c r="U906" t="s">
        <v>16998</v>
      </c>
      <c r="V906" t="s">
        <v>16999</v>
      </c>
      <c r="W906" t="s">
        <v>17000</v>
      </c>
      <c r="X906" t="s">
        <v>17001</v>
      </c>
      <c r="Y906" t="s">
        <v>17002</v>
      </c>
      <c r="Z906" t="s">
        <v>17003</v>
      </c>
      <c r="AA906" t="s">
        <v>17004</v>
      </c>
      <c r="AB906" t="s">
        <v>17005</v>
      </c>
      <c r="AC906" t="s">
        <v>17006</v>
      </c>
      <c r="AD906" t="s">
        <v>17007</v>
      </c>
      <c r="AE906" t="s">
        <v>17008</v>
      </c>
      <c r="AF906" t="s">
        <v>74</v>
      </c>
      <c r="AG906">
        <v>61</v>
      </c>
      <c r="AH906">
        <v>22</v>
      </c>
      <c r="AI906">
        <v>26</v>
      </c>
      <c r="AJ906">
        <v>1</v>
      </c>
      <c r="AK906">
        <v>19</v>
      </c>
      <c r="AL906" t="s">
        <v>608</v>
      </c>
      <c r="AM906" t="s">
        <v>609</v>
      </c>
      <c r="AN906" t="s">
        <v>610</v>
      </c>
      <c r="AO906" t="s">
        <v>1056</v>
      </c>
      <c r="AP906" t="s">
        <v>1057</v>
      </c>
      <c r="AQ906" t="s">
        <v>74</v>
      </c>
      <c r="AR906" t="s">
        <v>1058</v>
      </c>
      <c r="AS906" t="s">
        <v>1059</v>
      </c>
      <c r="AT906" t="s">
        <v>17009</v>
      </c>
      <c r="AU906">
        <v>2016</v>
      </c>
      <c r="AV906">
        <v>12</v>
      </c>
      <c r="AW906">
        <v>11</v>
      </c>
      <c r="AX906" t="s">
        <v>74</v>
      </c>
      <c r="AY906" t="s">
        <v>74</v>
      </c>
      <c r="AZ906" t="s">
        <v>74</v>
      </c>
      <c r="BA906" t="s">
        <v>74</v>
      </c>
      <c r="BB906">
        <v>2061</v>
      </c>
      <c r="BC906">
        <v>2075</v>
      </c>
      <c r="BD906" t="s">
        <v>74</v>
      </c>
      <c r="BE906" t="s">
        <v>17010</v>
      </c>
      <c r="BF906" t="str">
        <f>HYPERLINK("http://dx.doi.org/10.5194/cp-12-2061-2016","http://dx.doi.org/10.5194/cp-12-2061-2016")</f>
        <v>http://dx.doi.org/10.5194/cp-12-2061-2016</v>
      </c>
      <c r="BG906" t="s">
        <v>74</v>
      </c>
      <c r="BH906" t="s">
        <v>74</v>
      </c>
      <c r="BI906">
        <v>15</v>
      </c>
      <c r="BJ906" t="s">
        <v>938</v>
      </c>
      <c r="BK906" t="s">
        <v>101</v>
      </c>
      <c r="BL906" t="s">
        <v>939</v>
      </c>
      <c r="BM906" t="s">
        <v>17011</v>
      </c>
      <c r="BN906" t="s">
        <v>74</v>
      </c>
      <c r="BO906" t="s">
        <v>3339</v>
      </c>
      <c r="BP906" t="s">
        <v>74</v>
      </c>
      <c r="BQ906" t="s">
        <v>74</v>
      </c>
      <c r="BR906" t="s">
        <v>105</v>
      </c>
      <c r="BS906" t="s">
        <v>17012</v>
      </c>
      <c r="BT906" t="str">
        <f>HYPERLINK("https%3A%2F%2Fwww.webofscience.com%2Fwos%2Fwoscc%2Ffull-record%2FWOS:000387984000001","View Full Record in Web of Science")</f>
        <v>View Full Record in Web of Science</v>
      </c>
    </row>
    <row r="907" spans="1:72" x14ac:dyDescent="0.15">
      <c r="A907" t="s">
        <v>72</v>
      </c>
      <c r="B907" t="s">
        <v>17013</v>
      </c>
      <c r="C907" t="s">
        <v>74</v>
      </c>
      <c r="D907" t="s">
        <v>74</v>
      </c>
      <c r="E907" t="s">
        <v>74</v>
      </c>
      <c r="F907" t="s">
        <v>17014</v>
      </c>
      <c r="G907" t="s">
        <v>74</v>
      </c>
      <c r="H907" t="s">
        <v>74</v>
      </c>
      <c r="I907" t="s">
        <v>17015</v>
      </c>
      <c r="J907" t="s">
        <v>1623</v>
      </c>
      <c r="K907" t="s">
        <v>74</v>
      </c>
      <c r="L907" t="s">
        <v>74</v>
      </c>
      <c r="M907" t="s">
        <v>78</v>
      </c>
      <c r="N907" t="s">
        <v>79</v>
      </c>
      <c r="O907" t="s">
        <v>74</v>
      </c>
      <c r="P907" t="s">
        <v>74</v>
      </c>
      <c r="Q907" t="s">
        <v>74</v>
      </c>
      <c r="R907" t="s">
        <v>74</v>
      </c>
      <c r="S907" t="s">
        <v>74</v>
      </c>
      <c r="T907" t="s">
        <v>17016</v>
      </c>
      <c r="U907" t="s">
        <v>17017</v>
      </c>
      <c r="V907" t="s">
        <v>17018</v>
      </c>
      <c r="W907" t="s">
        <v>17019</v>
      </c>
      <c r="X907" t="s">
        <v>17020</v>
      </c>
      <c r="Y907" t="s">
        <v>17021</v>
      </c>
      <c r="Z907" t="s">
        <v>17022</v>
      </c>
      <c r="AA907" t="s">
        <v>17023</v>
      </c>
      <c r="AB907" t="s">
        <v>17024</v>
      </c>
      <c r="AC907" t="s">
        <v>17025</v>
      </c>
      <c r="AD907" t="s">
        <v>1608</v>
      </c>
      <c r="AE907" t="s">
        <v>17026</v>
      </c>
      <c r="AF907" t="s">
        <v>74</v>
      </c>
      <c r="AG907">
        <v>44</v>
      </c>
      <c r="AH907">
        <v>27</v>
      </c>
      <c r="AI907">
        <v>31</v>
      </c>
      <c r="AJ907">
        <v>0</v>
      </c>
      <c r="AK907">
        <v>26</v>
      </c>
      <c r="AL907" t="s">
        <v>541</v>
      </c>
      <c r="AM907" t="s">
        <v>93</v>
      </c>
      <c r="AN907" t="s">
        <v>542</v>
      </c>
      <c r="AO907" t="s">
        <v>1635</v>
      </c>
      <c r="AP907" t="s">
        <v>1636</v>
      </c>
      <c r="AQ907" t="s">
        <v>74</v>
      </c>
      <c r="AR907" t="s">
        <v>1637</v>
      </c>
      <c r="AS907" t="s">
        <v>1638</v>
      </c>
      <c r="AT907" t="s">
        <v>17027</v>
      </c>
      <c r="AU907">
        <v>2016</v>
      </c>
      <c r="AV907">
        <v>181</v>
      </c>
      <c r="AW907" t="s">
        <v>74</v>
      </c>
      <c r="AX907" t="s">
        <v>74</v>
      </c>
      <c r="AY907" t="s">
        <v>74</v>
      </c>
      <c r="AZ907" t="s">
        <v>74</v>
      </c>
      <c r="BA907" t="s">
        <v>74</v>
      </c>
      <c r="BB907">
        <v>123</v>
      </c>
      <c r="BC907">
        <v>133</v>
      </c>
      <c r="BD907" t="s">
        <v>74</v>
      </c>
      <c r="BE907" t="s">
        <v>17028</v>
      </c>
      <c r="BF907" t="str">
        <f>HYPERLINK("http://dx.doi.org/10.1016/j.ecss.2016.08.004","http://dx.doi.org/10.1016/j.ecss.2016.08.004")</f>
        <v>http://dx.doi.org/10.1016/j.ecss.2016.08.004</v>
      </c>
      <c r="BG907" t="s">
        <v>74</v>
      </c>
      <c r="BH907" t="s">
        <v>74</v>
      </c>
      <c r="BI907">
        <v>11</v>
      </c>
      <c r="BJ907" t="s">
        <v>1641</v>
      </c>
      <c r="BK907" t="s">
        <v>101</v>
      </c>
      <c r="BL907" t="s">
        <v>1641</v>
      </c>
      <c r="BM907" t="s">
        <v>17029</v>
      </c>
      <c r="BN907" t="s">
        <v>74</v>
      </c>
      <c r="BO907" t="s">
        <v>74</v>
      </c>
      <c r="BP907" t="s">
        <v>74</v>
      </c>
      <c r="BQ907" t="s">
        <v>74</v>
      </c>
      <c r="BR907" t="s">
        <v>105</v>
      </c>
      <c r="BS907" t="s">
        <v>17030</v>
      </c>
      <c r="BT907" t="str">
        <f>HYPERLINK("https%3A%2F%2Fwww.webofscience.com%2Fwos%2Fwoscc%2Ffull-record%2FWOS:000386406500012","View Full Record in Web of Science")</f>
        <v>View Full Record in Web of Science</v>
      </c>
    </row>
    <row r="908" spans="1:72" x14ac:dyDescent="0.15">
      <c r="A908" t="s">
        <v>72</v>
      </c>
      <c r="B908" t="s">
        <v>17031</v>
      </c>
      <c r="C908" t="s">
        <v>74</v>
      </c>
      <c r="D908" t="s">
        <v>74</v>
      </c>
      <c r="E908" t="s">
        <v>74</v>
      </c>
      <c r="F908" t="s">
        <v>17032</v>
      </c>
      <c r="G908" t="s">
        <v>74</v>
      </c>
      <c r="H908" t="s">
        <v>74</v>
      </c>
      <c r="I908" t="s">
        <v>17033</v>
      </c>
      <c r="J908" t="s">
        <v>17034</v>
      </c>
      <c r="K908" t="s">
        <v>74</v>
      </c>
      <c r="L908" t="s">
        <v>74</v>
      </c>
      <c r="M908" t="s">
        <v>78</v>
      </c>
      <c r="N908" t="s">
        <v>79</v>
      </c>
      <c r="O908" t="s">
        <v>74</v>
      </c>
      <c r="P908" t="s">
        <v>74</v>
      </c>
      <c r="Q908" t="s">
        <v>74</v>
      </c>
      <c r="R908" t="s">
        <v>74</v>
      </c>
      <c r="S908" t="s">
        <v>74</v>
      </c>
      <c r="T908" t="s">
        <v>17035</v>
      </c>
      <c r="U908" t="s">
        <v>17036</v>
      </c>
      <c r="V908" t="s">
        <v>17037</v>
      </c>
      <c r="W908" t="s">
        <v>17038</v>
      </c>
      <c r="X908" t="s">
        <v>17039</v>
      </c>
      <c r="Y908" t="s">
        <v>17040</v>
      </c>
      <c r="Z908" t="s">
        <v>17041</v>
      </c>
      <c r="AA908" t="s">
        <v>17042</v>
      </c>
      <c r="AB908" t="s">
        <v>17043</v>
      </c>
      <c r="AC908" t="s">
        <v>17044</v>
      </c>
      <c r="AD908" t="s">
        <v>17045</v>
      </c>
      <c r="AE908" t="s">
        <v>17046</v>
      </c>
      <c r="AF908" t="s">
        <v>74</v>
      </c>
      <c r="AG908">
        <v>52</v>
      </c>
      <c r="AH908">
        <v>15</v>
      </c>
      <c r="AI908">
        <v>16</v>
      </c>
      <c r="AJ908">
        <v>4</v>
      </c>
      <c r="AK908">
        <v>51</v>
      </c>
      <c r="AL908" t="s">
        <v>264</v>
      </c>
      <c r="AM908" t="s">
        <v>169</v>
      </c>
      <c r="AN908" t="s">
        <v>265</v>
      </c>
      <c r="AO908" t="s">
        <v>17047</v>
      </c>
      <c r="AP908" t="s">
        <v>17048</v>
      </c>
      <c r="AQ908" t="s">
        <v>74</v>
      </c>
      <c r="AR908" t="s">
        <v>17049</v>
      </c>
      <c r="AS908" t="s">
        <v>17050</v>
      </c>
      <c r="AT908" t="s">
        <v>17027</v>
      </c>
      <c r="AU908">
        <v>2016</v>
      </c>
      <c r="AV908">
        <v>317</v>
      </c>
      <c r="AW908" t="s">
        <v>74</v>
      </c>
      <c r="AX908" t="s">
        <v>74</v>
      </c>
      <c r="AY908" t="s">
        <v>74</v>
      </c>
      <c r="AZ908" t="s">
        <v>74</v>
      </c>
      <c r="BA908" t="s">
        <v>74</v>
      </c>
      <c r="BB908">
        <v>362</v>
      </c>
      <c r="BC908">
        <v>372</v>
      </c>
      <c r="BD908" t="s">
        <v>74</v>
      </c>
      <c r="BE908" t="s">
        <v>17051</v>
      </c>
      <c r="BF908" t="str">
        <f>HYPERLINK("http://dx.doi.org/10.1016/j.jhazmat.2016.05.068","http://dx.doi.org/10.1016/j.jhazmat.2016.05.068")</f>
        <v>http://dx.doi.org/10.1016/j.jhazmat.2016.05.068</v>
      </c>
      <c r="BG908" t="s">
        <v>74</v>
      </c>
      <c r="BH908" t="s">
        <v>74</v>
      </c>
      <c r="BI908">
        <v>11</v>
      </c>
      <c r="BJ908" t="s">
        <v>5098</v>
      </c>
      <c r="BK908" t="s">
        <v>101</v>
      </c>
      <c r="BL908" t="s">
        <v>5099</v>
      </c>
      <c r="BM908" t="s">
        <v>17052</v>
      </c>
      <c r="BN908">
        <v>27318733</v>
      </c>
      <c r="BO908" t="s">
        <v>74</v>
      </c>
      <c r="BP908" t="s">
        <v>74</v>
      </c>
      <c r="BQ908" t="s">
        <v>74</v>
      </c>
      <c r="BR908" t="s">
        <v>105</v>
      </c>
      <c r="BS908" t="s">
        <v>17053</v>
      </c>
      <c r="BT908" t="str">
        <f>HYPERLINK("https%3A%2F%2Fwww.webofscience.com%2Fwos%2Fwoscc%2Ffull-record%2FWOS:000381533400040","View Full Record in Web of Science")</f>
        <v>View Full Record in Web of Science</v>
      </c>
    </row>
    <row r="909" spans="1:72" x14ac:dyDescent="0.15">
      <c r="A909" t="s">
        <v>72</v>
      </c>
      <c r="B909" t="s">
        <v>17054</v>
      </c>
      <c r="C909" t="s">
        <v>74</v>
      </c>
      <c r="D909" t="s">
        <v>74</v>
      </c>
      <c r="E909" t="s">
        <v>74</v>
      </c>
      <c r="F909" t="s">
        <v>17055</v>
      </c>
      <c r="G909" t="s">
        <v>74</v>
      </c>
      <c r="H909" t="s">
        <v>74</v>
      </c>
      <c r="I909" t="s">
        <v>17056</v>
      </c>
      <c r="J909" t="s">
        <v>572</v>
      </c>
      <c r="K909" t="s">
        <v>74</v>
      </c>
      <c r="L909" t="s">
        <v>74</v>
      </c>
      <c r="M909" t="s">
        <v>78</v>
      </c>
      <c r="N909" t="s">
        <v>79</v>
      </c>
      <c r="O909" t="s">
        <v>74</v>
      </c>
      <c r="P909" t="s">
        <v>74</v>
      </c>
      <c r="Q909" t="s">
        <v>74</v>
      </c>
      <c r="R909" t="s">
        <v>74</v>
      </c>
      <c r="S909" t="s">
        <v>74</v>
      </c>
      <c r="T909" t="s">
        <v>74</v>
      </c>
      <c r="U909" t="s">
        <v>17057</v>
      </c>
      <c r="V909" t="s">
        <v>17058</v>
      </c>
      <c r="W909" t="s">
        <v>17059</v>
      </c>
      <c r="X909" t="s">
        <v>17060</v>
      </c>
      <c r="Y909" t="s">
        <v>17061</v>
      </c>
      <c r="Z909" t="s">
        <v>17062</v>
      </c>
      <c r="AA909" t="s">
        <v>17063</v>
      </c>
      <c r="AB909" t="s">
        <v>74</v>
      </c>
      <c r="AC909" t="s">
        <v>17064</v>
      </c>
      <c r="AD909" t="s">
        <v>17065</v>
      </c>
      <c r="AE909" t="s">
        <v>17066</v>
      </c>
      <c r="AF909" t="s">
        <v>74</v>
      </c>
      <c r="AG909">
        <v>36</v>
      </c>
      <c r="AH909">
        <v>16</v>
      </c>
      <c r="AI909">
        <v>18</v>
      </c>
      <c r="AJ909">
        <v>0</v>
      </c>
      <c r="AK909">
        <v>36</v>
      </c>
      <c r="AL909" t="s">
        <v>582</v>
      </c>
      <c r="AM909" t="s">
        <v>583</v>
      </c>
      <c r="AN909" t="s">
        <v>584</v>
      </c>
      <c r="AO909" t="s">
        <v>585</v>
      </c>
      <c r="AP909" t="s">
        <v>74</v>
      </c>
      <c r="AQ909" t="s">
        <v>74</v>
      </c>
      <c r="AR909" t="s">
        <v>586</v>
      </c>
      <c r="AS909" t="s">
        <v>587</v>
      </c>
      <c r="AT909" t="s">
        <v>17067</v>
      </c>
      <c r="AU909">
        <v>2016</v>
      </c>
      <c r="AV909">
        <v>6</v>
      </c>
      <c r="AW909" t="s">
        <v>74</v>
      </c>
      <c r="AX909" t="s">
        <v>74</v>
      </c>
      <c r="AY909" t="s">
        <v>74</v>
      </c>
      <c r="AZ909" t="s">
        <v>74</v>
      </c>
      <c r="BA909" t="s">
        <v>74</v>
      </c>
      <c r="BB909" t="s">
        <v>74</v>
      </c>
      <c r="BC909" t="s">
        <v>74</v>
      </c>
      <c r="BD909">
        <v>36496</v>
      </c>
      <c r="BE909" t="s">
        <v>17068</v>
      </c>
      <c r="BF909" t="str">
        <f>HYPERLINK("http://dx.doi.org/10.1038/srep36496","http://dx.doi.org/10.1038/srep36496")</f>
        <v>http://dx.doi.org/10.1038/srep36496</v>
      </c>
      <c r="BG909" t="s">
        <v>74</v>
      </c>
      <c r="BH909" t="s">
        <v>74</v>
      </c>
      <c r="BI909">
        <v>17</v>
      </c>
      <c r="BJ909" t="s">
        <v>100</v>
      </c>
      <c r="BK909" t="s">
        <v>101</v>
      </c>
      <c r="BL909" t="s">
        <v>102</v>
      </c>
      <c r="BM909" t="s">
        <v>17069</v>
      </c>
      <c r="BN909">
        <v>27812046</v>
      </c>
      <c r="BO909" t="s">
        <v>591</v>
      </c>
      <c r="BP909" t="s">
        <v>74</v>
      </c>
      <c r="BQ909" t="s">
        <v>74</v>
      </c>
      <c r="BR909" t="s">
        <v>105</v>
      </c>
      <c r="BS909" t="s">
        <v>17070</v>
      </c>
      <c r="BT909" t="str">
        <f>HYPERLINK("https%3A%2F%2Fwww.webofscience.com%2Fwos%2Fwoscc%2Ffull-record%2FWOS:000387023600001","View Full Record in Web of Science")</f>
        <v>View Full Record in Web of Science</v>
      </c>
    </row>
    <row r="910" spans="1:72" x14ac:dyDescent="0.15">
      <c r="A910" t="s">
        <v>72</v>
      </c>
      <c r="B910" t="s">
        <v>17071</v>
      </c>
      <c r="C910" t="s">
        <v>74</v>
      </c>
      <c r="D910" t="s">
        <v>74</v>
      </c>
      <c r="E910" t="s">
        <v>74</v>
      </c>
      <c r="F910" t="s">
        <v>17072</v>
      </c>
      <c r="G910" t="s">
        <v>74</v>
      </c>
      <c r="H910" t="s">
        <v>74</v>
      </c>
      <c r="I910" t="s">
        <v>17073</v>
      </c>
      <c r="J910" t="s">
        <v>596</v>
      </c>
      <c r="K910" t="s">
        <v>74</v>
      </c>
      <c r="L910" t="s">
        <v>74</v>
      </c>
      <c r="M910" t="s">
        <v>78</v>
      </c>
      <c r="N910" t="s">
        <v>79</v>
      </c>
      <c r="O910" t="s">
        <v>74</v>
      </c>
      <c r="P910" t="s">
        <v>74</v>
      </c>
      <c r="Q910" t="s">
        <v>74</v>
      </c>
      <c r="R910" t="s">
        <v>74</v>
      </c>
      <c r="S910" t="s">
        <v>74</v>
      </c>
      <c r="T910" t="s">
        <v>74</v>
      </c>
      <c r="U910" t="s">
        <v>17074</v>
      </c>
      <c r="V910" t="s">
        <v>17075</v>
      </c>
      <c r="W910" t="s">
        <v>17076</v>
      </c>
      <c r="X910" t="s">
        <v>17077</v>
      </c>
      <c r="Y910" t="s">
        <v>17078</v>
      </c>
      <c r="Z910" t="s">
        <v>1705</v>
      </c>
      <c r="AA910" t="s">
        <v>17079</v>
      </c>
      <c r="AB910" t="s">
        <v>17080</v>
      </c>
      <c r="AC910" t="s">
        <v>17081</v>
      </c>
      <c r="AD910" t="s">
        <v>17082</v>
      </c>
      <c r="AE910" t="s">
        <v>17083</v>
      </c>
      <c r="AF910" t="s">
        <v>74</v>
      </c>
      <c r="AG910">
        <v>19</v>
      </c>
      <c r="AH910">
        <v>12</v>
      </c>
      <c r="AI910">
        <v>12</v>
      </c>
      <c r="AJ910">
        <v>0</v>
      </c>
      <c r="AK910">
        <v>10</v>
      </c>
      <c r="AL910" t="s">
        <v>608</v>
      </c>
      <c r="AM910" t="s">
        <v>609</v>
      </c>
      <c r="AN910" t="s">
        <v>610</v>
      </c>
      <c r="AO910" t="s">
        <v>611</v>
      </c>
      <c r="AP910" t="s">
        <v>612</v>
      </c>
      <c r="AQ910" t="s">
        <v>74</v>
      </c>
      <c r="AR910" t="s">
        <v>596</v>
      </c>
      <c r="AS910" t="s">
        <v>613</v>
      </c>
      <c r="AT910" t="s">
        <v>17067</v>
      </c>
      <c r="AU910">
        <v>2016</v>
      </c>
      <c r="AV910">
        <v>10</v>
      </c>
      <c r="AW910">
        <v>6</v>
      </c>
      <c r="AX910" t="s">
        <v>74</v>
      </c>
      <c r="AY910" t="s">
        <v>74</v>
      </c>
      <c r="AZ910" t="s">
        <v>74</v>
      </c>
      <c r="BA910" t="s">
        <v>74</v>
      </c>
      <c r="BB910">
        <v>2603</v>
      </c>
      <c r="BC910">
        <v>2609</v>
      </c>
      <c r="BD910" t="s">
        <v>74</v>
      </c>
      <c r="BE910" t="s">
        <v>17084</v>
      </c>
      <c r="BF910" t="str">
        <f>HYPERLINK("http://dx.doi.org/10.5194/tc-10-2603-2016","http://dx.doi.org/10.5194/tc-10-2603-2016")</f>
        <v>http://dx.doi.org/10.5194/tc-10-2603-2016</v>
      </c>
      <c r="BG910" t="s">
        <v>74</v>
      </c>
      <c r="BH910" t="s">
        <v>74</v>
      </c>
      <c r="BI910">
        <v>7</v>
      </c>
      <c r="BJ910" t="s">
        <v>615</v>
      </c>
      <c r="BK910" t="s">
        <v>101</v>
      </c>
      <c r="BL910" t="s">
        <v>616</v>
      </c>
      <c r="BM910" t="s">
        <v>17085</v>
      </c>
      <c r="BN910" t="s">
        <v>74</v>
      </c>
      <c r="BO910" t="s">
        <v>1298</v>
      </c>
      <c r="BP910" t="s">
        <v>74</v>
      </c>
      <c r="BQ910" t="s">
        <v>74</v>
      </c>
      <c r="BR910" t="s">
        <v>105</v>
      </c>
      <c r="BS910" t="s">
        <v>17086</v>
      </c>
      <c r="BT910" t="str">
        <f>HYPERLINK("https%3A%2F%2Fwww.webofscience.com%2Fwos%2Fwoscc%2Ffull-record%2FWOS:000387128300001","View Full Record in Web of Science")</f>
        <v>View Full Record in Web of Science</v>
      </c>
    </row>
    <row r="911" spans="1:72" x14ac:dyDescent="0.15">
      <c r="A911" t="s">
        <v>72</v>
      </c>
      <c r="B911" t="s">
        <v>17087</v>
      </c>
      <c r="C911" t="s">
        <v>74</v>
      </c>
      <c r="D911" t="s">
        <v>74</v>
      </c>
      <c r="E911" t="s">
        <v>74</v>
      </c>
      <c r="F911" t="s">
        <v>17088</v>
      </c>
      <c r="G911" t="s">
        <v>74</v>
      </c>
      <c r="H911" t="s">
        <v>74</v>
      </c>
      <c r="I911" t="s">
        <v>17089</v>
      </c>
      <c r="J911" t="s">
        <v>17090</v>
      </c>
      <c r="K911" t="s">
        <v>74</v>
      </c>
      <c r="L911" t="s">
        <v>74</v>
      </c>
      <c r="M911" t="s">
        <v>78</v>
      </c>
      <c r="N911" t="s">
        <v>79</v>
      </c>
      <c r="O911" t="s">
        <v>74</v>
      </c>
      <c r="P911" t="s">
        <v>74</v>
      </c>
      <c r="Q911" t="s">
        <v>74</v>
      </c>
      <c r="R911" t="s">
        <v>74</v>
      </c>
      <c r="S911" t="s">
        <v>74</v>
      </c>
      <c r="T911" t="s">
        <v>17091</v>
      </c>
      <c r="U911" t="s">
        <v>17092</v>
      </c>
      <c r="V911" t="s">
        <v>17093</v>
      </c>
      <c r="W911" t="s">
        <v>17094</v>
      </c>
      <c r="X911" t="s">
        <v>17095</v>
      </c>
      <c r="Y911" t="s">
        <v>17096</v>
      </c>
      <c r="Z911" t="s">
        <v>17097</v>
      </c>
      <c r="AA911" t="s">
        <v>74</v>
      </c>
      <c r="AB911" t="s">
        <v>17098</v>
      </c>
      <c r="AC911" t="s">
        <v>17099</v>
      </c>
      <c r="AD911" t="s">
        <v>17100</v>
      </c>
      <c r="AE911" t="s">
        <v>17101</v>
      </c>
      <c r="AF911" t="s">
        <v>74</v>
      </c>
      <c r="AG911">
        <v>25</v>
      </c>
      <c r="AH911">
        <v>2</v>
      </c>
      <c r="AI911">
        <v>2</v>
      </c>
      <c r="AJ911">
        <v>0</v>
      </c>
      <c r="AK911">
        <v>4</v>
      </c>
      <c r="AL911" t="s">
        <v>909</v>
      </c>
      <c r="AM911" t="s">
        <v>93</v>
      </c>
      <c r="AN911" t="s">
        <v>910</v>
      </c>
      <c r="AO911" t="s">
        <v>74</v>
      </c>
      <c r="AP911" t="s">
        <v>17102</v>
      </c>
      <c r="AQ911" t="s">
        <v>74</v>
      </c>
      <c r="AR911" t="s">
        <v>17103</v>
      </c>
      <c r="AS911" t="s">
        <v>17104</v>
      </c>
      <c r="AT911" t="s">
        <v>17105</v>
      </c>
      <c r="AU911">
        <v>2016</v>
      </c>
      <c r="AV911">
        <v>16</v>
      </c>
      <c r="AW911" t="s">
        <v>74</v>
      </c>
      <c r="AX911" t="s">
        <v>74</v>
      </c>
      <c r="AY911" t="s">
        <v>74</v>
      </c>
      <c r="AZ911" t="s">
        <v>74</v>
      </c>
      <c r="BA911" t="s">
        <v>74</v>
      </c>
      <c r="BB911" t="s">
        <v>74</v>
      </c>
      <c r="BC911" t="s">
        <v>74</v>
      </c>
      <c r="BD911">
        <v>19</v>
      </c>
      <c r="BE911" t="s">
        <v>17106</v>
      </c>
      <c r="BF911" t="str">
        <f>HYPERLINK("http://dx.doi.org/10.1186/s12900-016-0069-1","http://dx.doi.org/10.1186/s12900-016-0069-1")</f>
        <v>http://dx.doi.org/10.1186/s12900-016-0069-1</v>
      </c>
      <c r="BG911" t="s">
        <v>74</v>
      </c>
      <c r="BH911" t="s">
        <v>74</v>
      </c>
      <c r="BI911">
        <v>6</v>
      </c>
      <c r="BJ911" t="s">
        <v>17107</v>
      </c>
      <c r="BK911" t="s">
        <v>101</v>
      </c>
      <c r="BL911" t="s">
        <v>17107</v>
      </c>
      <c r="BM911" t="s">
        <v>17108</v>
      </c>
      <c r="BN911">
        <v>27809904</v>
      </c>
      <c r="BO911" t="s">
        <v>2028</v>
      </c>
      <c r="BP911" t="s">
        <v>74</v>
      </c>
      <c r="BQ911" t="s">
        <v>74</v>
      </c>
      <c r="BR911" t="s">
        <v>105</v>
      </c>
      <c r="BS911" t="s">
        <v>17109</v>
      </c>
      <c r="BT911" t="str">
        <f>HYPERLINK("https%3A%2F%2Fwww.webofscience.com%2Fwos%2Fwoscc%2Ffull-record%2FWOS:000386961200001","View Full Record in Web of Science")</f>
        <v>View Full Record in Web of Science</v>
      </c>
    </row>
    <row r="912" spans="1:72" x14ac:dyDescent="0.15">
      <c r="A912" t="s">
        <v>72</v>
      </c>
      <c r="B912" t="s">
        <v>17110</v>
      </c>
      <c r="C912" t="s">
        <v>74</v>
      </c>
      <c r="D912" t="s">
        <v>74</v>
      </c>
      <c r="E912" t="s">
        <v>74</v>
      </c>
      <c r="F912" t="s">
        <v>17111</v>
      </c>
      <c r="G912" t="s">
        <v>74</v>
      </c>
      <c r="H912" t="s">
        <v>74</v>
      </c>
      <c r="I912" t="s">
        <v>17112</v>
      </c>
      <c r="J912" t="s">
        <v>12348</v>
      </c>
      <c r="K912" t="s">
        <v>74</v>
      </c>
      <c r="L912" t="s">
        <v>74</v>
      </c>
      <c r="M912" t="s">
        <v>78</v>
      </c>
      <c r="N912" t="s">
        <v>79</v>
      </c>
      <c r="O912" t="s">
        <v>74</v>
      </c>
      <c r="P912" t="s">
        <v>74</v>
      </c>
      <c r="Q912" t="s">
        <v>74</v>
      </c>
      <c r="R912" t="s">
        <v>74</v>
      </c>
      <c r="S912" t="s">
        <v>74</v>
      </c>
      <c r="T912" t="s">
        <v>17113</v>
      </c>
      <c r="U912" t="s">
        <v>17114</v>
      </c>
      <c r="V912" t="s">
        <v>17115</v>
      </c>
      <c r="W912" t="s">
        <v>17116</v>
      </c>
      <c r="X912" t="s">
        <v>17117</v>
      </c>
      <c r="Y912" t="s">
        <v>17118</v>
      </c>
      <c r="Z912" t="s">
        <v>17119</v>
      </c>
      <c r="AA912" t="s">
        <v>74</v>
      </c>
      <c r="AB912" t="s">
        <v>17120</v>
      </c>
      <c r="AC912" t="s">
        <v>17121</v>
      </c>
      <c r="AD912" t="s">
        <v>17122</v>
      </c>
      <c r="AE912" t="s">
        <v>17123</v>
      </c>
      <c r="AF912" t="s">
        <v>74</v>
      </c>
      <c r="AG912">
        <v>103</v>
      </c>
      <c r="AH912">
        <v>43</v>
      </c>
      <c r="AI912">
        <v>50</v>
      </c>
      <c r="AJ912">
        <v>4</v>
      </c>
      <c r="AK912">
        <v>40</v>
      </c>
      <c r="AL912" t="s">
        <v>1731</v>
      </c>
      <c r="AM912" t="s">
        <v>1732</v>
      </c>
      <c r="AN912" t="s">
        <v>1733</v>
      </c>
      <c r="AO912" t="s">
        <v>74</v>
      </c>
      <c r="AP912" t="s">
        <v>12361</v>
      </c>
      <c r="AQ912" t="s">
        <v>74</v>
      </c>
      <c r="AR912" t="s">
        <v>12362</v>
      </c>
      <c r="AS912" t="s">
        <v>12363</v>
      </c>
      <c r="AT912" t="s">
        <v>17105</v>
      </c>
      <c r="AU912">
        <v>2016</v>
      </c>
      <c r="AV912">
        <v>7</v>
      </c>
      <c r="AW912" t="s">
        <v>74</v>
      </c>
      <c r="AX912" t="s">
        <v>74</v>
      </c>
      <c r="AY912" t="s">
        <v>74</v>
      </c>
      <c r="AZ912" t="s">
        <v>74</v>
      </c>
      <c r="BA912" t="s">
        <v>74</v>
      </c>
      <c r="BB912" t="s">
        <v>74</v>
      </c>
      <c r="BC912" t="s">
        <v>74</v>
      </c>
      <c r="BD912">
        <v>1731</v>
      </c>
      <c r="BE912" t="s">
        <v>17124</v>
      </c>
      <c r="BF912" t="str">
        <f>HYPERLINK("http://dx.doi.org/10.3389/fmicb.2016.01731","http://dx.doi.org/10.3389/fmicb.2016.01731")</f>
        <v>http://dx.doi.org/10.3389/fmicb.2016.01731</v>
      </c>
      <c r="BG912" t="s">
        <v>74</v>
      </c>
      <c r="BH912" t="s">
        <v>74</v>
      </c>
      <c r="BI912">
        <v>13</v>
      </c>
      <c r="BJ912" t="s">
        <v>2026</v>
      </c>
      <c r="BK912" t="s">
        <v>101</v>
      </c>
      <c r="BL912" t="s">
        <v>2026</v>
      </c>
      <c r="BM912" t="s">
        <v>17125</v>
      </c>
      <c r="BN912">
        <v>27857708</v>
      </c>
      <c r="BO912" t="s">
        <v>918</v>
      </c>
      <c r="BP912" t="s">
        <v>74</v>
      </c>
      <c r="BQ912" t="s">
        <v>74</v>
      </c>
      <c r="BR912" t="s">
        <v>105</v>
      </c>
      <c r="BS912" t="s">
        <v>17126</v>
      </c>
      <c r="BT912" t="str">
        <f>HYPERLINK("https%3A%2F%2Fwww.webofscience.com%2Fwos%2Fwoscc%2Ffull-record%2FWOS:000388683600001","View Full Record in Web of Science")</f>
        <v>View Full Record in Web of Science</v>
      </c>
    </row>
    <row r="913" spans="1:72" x14ac:dyDescent="0.15">
      <c r="A913" t="s">
        <v>72</v>
      </c>
      <c r="B913" t="s">
        <v>17127</v>
      </c>
      <c r="C913" t="s">
        <v>74</v>
      </c>
      <c r="D913" t="s">
        <v>74</v>
      </c>
      <c r="E913" t="s">
        <v>74</v>
      </c>
      <c r="F913" t="s">
        <v>17128</v>
      </c>
      <c r="G913" t="s">
        <v>74</v>
      </c>
      <c r="H913" t="s">
        <v>17129</v>
      </c>
      <c r="I913" t="s">
        <v>17130</v>
      </c>
      <c r="J913" t="s">
        <v>17131</v>
      </c>
      <c r="K913" t="s">
        <v>74</v>
      </c>
      <c r="L913" t="s">
        <v>74</v>
      </c>
      <c r="M913" t="s">
        <v>78</v>
      </c>
      <c r="N913" t="s">
        <v>1980</v>
      </c>
      <c r="O913" t="s">
        <v>17132</v>
      </c>
      <c r="P913" t="s">
        <v>17133</v>
      </c>
      <c r="Q913" t="s">
        <v>17134</v>
      </c>
      <c r="R913" t="s">
        <v>74</v>
      </c>
      <c r="S913" t="s">
        <v>74</v>
      </c>
      <c r="T913" t="s">
        <v>17135</v>
      </c>
      <c r="U913" t="s">
        <v>17136</v>
      </c>
      <c r="V913" t="s">
        <v>17137</v>
      </c>
      <c r="W913" t="s">
        <v>17138</v>
      </c>
      <c r="X913" t="s">
        <v>17139</v>
      </c>
      <c r="Y913" t="s">
        <v>17140</v>
      </c>
      <c r="Z913" t="s">
        <v>17141</v>
      </c>
      <c r="AA913" t="s">
        <v>17142</v>
      </c>
      <c r="AB913" t="s">
        <v>17143</v>
      </c>
      <c r="AC913" t="s">
        <v>17144</v>
      </c>
      <c r="AD913" t="s">
        <v>17145</v>
      </c>
      <c r="AE913" t="s">
        <v>17146</v>
      </c>
      <c r="AF913" t="s">
        <v>74</v>
      </c>
      <c r="AG913">
        <v>127</v>
      </c>
      <c r="AH913">
        <v>26</v>
      </c>
      <c r="AI913">
        <v>26</v>
      </c>
      <c r="AJ913">
        <v>0</v>
      </c>
      <c r="AK913">
        <v>19</v>
      </c>
      <c r="AL913" t="s">
        <v>1610</v>
      </c>
      <c r="AM913" t="s">
        <v>292</v>
      </c>
      <c r="AN913" t="s">
        <v>1611</v>
      </c>
      <c r="AO913" t="s">
        <v>17147</v>
      </c>
      <c r="AP913" t="s">
        <v>17148</v>
      </c>
      <c r="AQ913" t="s">
        <v>74</v>
      </c>
      <c r="AR913" t="s">
        <v>17149</v>
      </c>
      <c r="AS913" t="s">
        <v>17150</v>
      </c>
      <c r="AT913" t="s">
        <v>17151</v>
      </c>
      <c r="AU913">
        <v>2016</v>
      </c>
      <c r="AV913">
        <v>462</v>
      </c>
      <c r="AW913" t="s">
        <v>74</v>
      </c>
      <c r="AX913" t="s">
        <v>74</v>
      </c>
      <c r="AY913">
        <v>1</v>
      </c>
      <c r="AZ913" t="s">
        <v>74</v>
      </c>
      <c r="BA913" t="s">
        <v>74</v>
      </c>
      <c r="BB913" t="s">
        <v>17152</v>
      </c>
      <c r="BC913" t="s">
        <v>17153</v>
      </c>
      <c r="BD913" t="s">
        <v>74</v>
      </c>
      <c r="BE913" t="s">
        <v>17154</v>
      </c>
      <c r="BF913" t="str">
        <f>HYPERLINK("http://dx.doi.org/10.1093/mnras/stw2844","http://dx.doi.org/10.1093/mnras/stw2844")</f>
        <v>http://dx.doi.org/10.1093/mnras/stw2844</v>
      </c>
      <c r="BG913" t="s">
        <v>74</v>
      </c>
      <c r="BH913" t="s">
        <v>74</v>
      </c>
      <c r="BI913">
        <v>8</v>
      </c>
      <c r="BJ913" t="s">
        <v>2635</v>
      </c>
      <c r="BK913" t="s">
        <v>2004</v>
      </c>
      <c r="BL913" t="s">
        <v>2635</v>
      </c>
      <c r="BM913" t="s">
        <v>17155</v>
      </c>
      <c r="BN913" t="s">
        <v>74</v>
      </c>
      <c r="BO913" t="s">
        <v>1803</v>
      </c>
      <c r="BP913" t="s">
        <v>74</v>
      </c>
      <c r="BQ913" t="s">
        <v>74</v>
      </c>
      <c r="BR913" t="s">
        <v>105</v>
      </c>
      <c r="BS913" t="s">
        <v>17156</v>
      </c>
      <c r="BT913" t="str">
        <f>HYPERLINK("https%3A%2F%2Fwww.webofscience.com%2Fwos%2Fwoscc%2Ffull-record%2FWOS:000403172000030","View Full Record in Web of Science")</f>
        <v>View Full Record in Web of Science</v>
      </c>
    </row>
    <row r="914" spans="1:72" x14ac:dyDescent="0.15">
      <c r="A914" t="s">
        <v>72</v>
      </c>
      <c r="B914" t="s">
        <v>17157</v>
      </c>
      <c r="C914" t="s">
        <v>74</v>
      </c>
      <c r="D914" t="s">
        <v>74</v>
      </c>
      <c r="E914" t="s">
        <v>74</v>
      </c>
      <c r="F914" t="s">
        <v>17158</v>
      </c>
      <c r="G914" t="s">
        <v>74</v>
      </c>
      <c r="H914" t="s">
        <v>74</v>
      </c>
      <c r="I914" t="s">
        <v>17159</v>
      </c>
      <c r="J914" t="s">
        <v>17160</v>
      </c>
      <c r="K914" t="s">
        <v>74</v>
      </c>
      <c r="L914" t="s">
        <v>74</v>
      </c>
      <c r="M914" t="s">
        <v>78</v>
      </c>
      <c r="N914" t="s">
        <v>79</v>
      </c>
      <c r="O914" t="s">
        <v>74</v>
      </c>
      <c r="P914" t="s">
        <v>74</v>
      </c>
      <c r="Q914" t="s">
        <v>74</v>
      </c>
      <c r="R914" t="s">
        <v>74</v>
      </c>
      <c r="S914" t="s">
        <v>74</v>
      </c>
      <c r="T914" t="s">
        <v>17161</v>
      </c>
      <c r="U914" t="s">
        <v>17162</v>
      </c>
      <c r="V914" t="s">
        <v>17163</v>
      </c>
      <c r="W914" t="s">
        <v>17164</v>
      </c>
      <c r="X914" t="s">
        <v>17165</v>
      </c>
      <c r="Y914" t="s">
        <v>17166</v>
      </c>
      <c r="Z914" t="s">
        <v>17167</v>
      </c>
      <c r="AA914" t="s">
        <v>17168</v>
      </c>
      <c r="AB914" t="s">
        <v>17169</v>
      </c>
      <c r="AC914" t="s">
        <v>74</v>
      </c>
      <c r="AD914" t="s">
        <v>74</v>
      </c>
      <c r="AE914" t="s">
        <v>74</v>
      </c>
      <c r="AF914" t="s">
        <v>74</v>
      </c>
      <c r="AG914">
        <v>39</v>
      </c>
      <c r="AH914">
        <v>7</v>
      </c>
      <c r="AI914">
        <v>7</v>
      </c>
      <c r="AJ914">
        <v>1</v>
      </c>
      <c r="AK914">
        <v>10</v>
      </c>
      <c r="AL914" t="s">
        <v>1610</v>
      </c>
      <c r="AM914" t="s">
        <v>292</v>
      </c>
      <c r="AN914" t="s">
        <v>1611</v>
      </c>
      <c r="AO914" t="s">
        <v>17170</v>
      </c>
      <c r="AP914" t="s">
        <v>17171</v>
      </c>
      <c r="AQ914" t="s">
        <v>74</v>
      </c>
      <c r="AR914" t="s">
        <v>17172</v>
      </c>
      <c r="AS914" t="s">
        <v>17173</v>
      </c>
      <c r="AT914" t="s">
        <v>17151</v>
      </c>
      <c r="AU914">
        <v>2016</v>
      </c>
      <c r="AV914">
        <v>73</v>
      </c>
      <c r="AW914">
        <v>10</v>
      </c>
      <c r="AX914" t="s">
        <v>74</v>
      </c>
      <c r="AY914" t="s">
        <v>74</v>
      </c>
      <c r="AZ914" t="s">
        <v>74</v>
      </c>
      <c r="BA914" t="s">
        <v>74</v>
      </c>
      <c r="BB914">
        <v>2666</v>
      </c>
      <c r="BC914">
        <v>2676</v>
      </c>
      <c r="BD914" t="s">
        <v>74</v>
      </c>
      <c r="BE914" t="s">
        <v>17174</v>
      </c>
      <c r="BF914" t="str">
        <f>HYPERLINK("http://dx.doi.org/10.1093/icesjms/fsw093","http://dx.doi.org/10.1093/icesjms/fsw093")</f>
        <v>http://dx.doi.org/10.1093/icesjms/fsw093</v>
      </c>
      <c r="BG914" t="s">
        <v>74</v>
      </c>
      <c r="BH914" t="s">
        <v>74</v>
      </c>
      <c r="BI914">
        <v>11</v>
      </c>
      <c r="BJ914" t="s">
        <v>2795</v>
      </c>
      <c r="BK914" t="s">
        <v>101</v>
      </c>
      <c r="BL914" t="s">
        <v>2795</v>
      </c>
      <c r="BM914" t="s">
        <v>17175</v>
      </c>
      <c r="BN914" t="s">
        <v>74</v>
      </c>
      <c r="BO914" t="s">
        <v>672</v>
      </c>
      <c r="BP914" t="s">
        <v>74</v>
      </c>
      <c r="BQ914" t="s">
        <v>74</v>
      </c>
      <c r="BR914" t="s">
        <v>105</v>
      </c>
      <c r="BS914" t="s">
        <v>17176</v>
      </c>
      <c r="BT914" t="str">
        <f>HYPERLINK("https%3A%2F%2Fwww.webofscience.com%2Fwos%2Fwoscc%2Ffull-record%2FWOS:000402376300022","View Full Record in Web of Science")</f>
        <v>View Full Record in Web of Science</v>
      </c>
    </row>
    <row r="915" spans="1:72" x14ac:dyDescent="0.15">
      <c r="A915" t="s">
        <v>72</v>
      </c>
      <c r="B915" t="s">
        <v>17177</v>
      </c>
      <c r="C915" t="s">
        <v>74</v>
      </c>
      <c r="D915" t="s">
        <v>74</v>
      </c>
      <c r="E915" t="s">
        <v>74</v>
      </c>
      <c r="F915" t="s">
        <v>17178</v>
      </c>
      <c r="G915" t="s">
        <v>74</v>
      </c>
      <c r="H915" t="s">
        <v>74</v>
      </c>
      <c r="I915" t="s">
        <v>17179</v>
      </c>
      <c r="J915" t="s">
        <v>17180</v>
      </c>
      <c r="K915" t="s">
        <v>74</v>
      </c>
      <c r="L915" t="s">
        <v>74</v>
      </c>
      <c r="M915" t="s">
        <v>78</v>
      </c>
      <c r="N915" t="s">
        <v>79</v>
      </c>
      <c r="O915" t="s">
        <v>74</v>
      </c>
      <c r="P915" t="s">
        <v>74</v>
      </c>
      <c r="Q915" t="s">
        <v>74</v>
      </c>
      <c r="R915" t="s">
        <v>74</v>
      </c>
      <c r="S915" t="s">
        <v>74</v>
      </c>
      <c r="T915" t="s">
        <v>74</v>
      </c>
      <c r="U915" t="s">
        <v>74</v>
      </c>
      <c r="V915" t="s">
        <v>17181</v>
      </c>
      <c r="W915" t="s">
        <v>17182</v>
      </c>
      <c r="X915" t="s">
        <v>17183</v>
      </c>
      <c r="Y915" t="s">
        <v>17184</v>
      </c>
      <c r="Z915" t="s">
        <v>74</v>
      </c>
      <c r="AA915" t="s">
        <v>17185</v>
      </c>
      <c r="AB915" t="s">
        <v>17186</v>
      </c>
      <c r="AC915" t="s">
        <v>74</v>
      </c>
      <c r="AD915" t="s">
        <v>74</v>
      </c>
      <c r="AE915" t="s">
        <v>74</v>
      </c>
      <c r="AF915" t="s">
        <v>74</v>
      </c>
      <c r="AG915">
        <v>37</v>
      </c>
      <c r="AH915">
        <v>8</v>
      </c>
      <c r="AI915">
        <v>8</v>
      </c>
      <c r="AJ915">
        <v>0</v>
      </c>
      <c r="AK915">
        <v>3</v>
      </c>
      <c r="AL915" t="s">
        <v>1610</v>
      </c>
      <c r="AM915" t="s">
        <v>292</v>
      </c>
      <c r="AN915" t="s">
        <v>1611</v>
      </c>
      <c r="AO915" t="s">
        <v>17187</v>
      </c>
      <c r="AP915" t="s">
        <v>17188</v>
      </c>
      <c r="AQ915" t="s">
        <v>74</v>
      </c>
      <c r="AR915" t="s">
        <v>17189</v>
      </c>
      <c r="AS915" t="s">
        <v>17190</v>
      </c>
      <c r="AT915" t="s">
        <v>17151</v>
      </c>
      <c r="AU915">
        <v>2016</v>
      </c>
      <c r="AV915">
        <v>27</v>
      </c>
      <c r="AW915">
        <v>4</v>
      </c>
      <c r="AX915" t="s">
        <v>74</v>
      </c>
      <c r="AY915" t="s">
        <v>74</v>
      </c>
      <c r="AZ915" t="s">
        <v>74</v>
      </c>
      <c r="BA915" t="s">
        <v>74</v>
      </c>
      <c r="BB915">
        <v>1027</v>
      </c>
      <c r="BC915">
        <v>1041</v>
      </c>
      <c r="BD915" t="s">
        <v>74</v>
      </c>
      <c r="BE915" t="s">
        <v>17191</v>
      </c>
      <c r="BF915" t="str">
        <f>HYPERLINK("http://dx.doi.org/10.1093/ejil/chw055","http://dx.doi.org/10.1093/ejil/chw055")</f>
        <v>http://dx.doi.org/10.1093/ejil/chw055</v>
      </c>
      <c r="BG915" t="s">
        <v>74</v>
      </c>
      <c r="BH915" t="s">
        <v>74</v>
      </c>
      <c r="BI915">
        <v>15</v>
      </c>
      <c r="BJ915" t="s">
        <v>17192</v>
      </c>
      <c r="BK915" t="s">
        <v>1918</v>
      </c>
      <c r="BL915" t="s">
        <v>17193</v>
      </c>
      <c r="BM915" t="s">
        <v>17194</v>
      </c>
      <c r="BN915" t="s">
        <v>74</v>
      </c>
      <c r="BO915" t="s">
        <v>672</v>
      </c>
      <c r="BP915" t="s">
        <v>74</v>
      </c>
      <c r="BQ915" t="s">
        <v>74</v>
      </c>
      <c r="BR915" t="s">
        <v>105</v>
      </c>
      <c r="BS915" t="s">
        <v>17195</v>
      </c>
      <c r="BT915" t="str">
        <f>HYPERLINK("https%3A%2F%2Fwww.webofscience.com%2Fwos%2Fwoscc%2Ffull-record%2FWOS:000398269500009","View Full Record in Web of Science")</f>
        <v>View Full Record in Web of Science</v>
      </c>
    </row>
    <row r="916" spans="1:72" x14ac:dyDescent="0.15">
      <c r="A916" t="s">
        <v>72</v>
      </c>
      <c r="B916" t="s">
        <v>17196</v>
      </c>
      <c r="C916" t="s">
        <v>74</v>
      </c>
      <c r="D916" t="s">
        <v>74</v>
      </c>
      <c r="E916" t="s">
        <v>74</v>
      </c>
      <c r="F916" t="s">
        <v>17197</v>
      </c>
      <c r="G916" t="s">
        <v>74</v>
      </c>
      <c r="H916" t="s">
        <v>74</v>
      </c>
      <c r="I916" t="s">
        <v>17198</v>
      </c>
      <c r="J916" t="s">
        <v>17180</v>
      </c>
      <c r="K916" t="s">
        <v>74</v>
      </c>
      <c r="L916" t="s">
        <v>74</v>
      </c>
      <c r="M916" t="s">
        <v>78</v>
      </c>
      <c r="N916" t="s">
        <v>79</v>
      </c>
      <c r="O916" t="s">
        <v>74</v>
      </c>
      <c r="P916" t="s">
        <v>74</v>
      </c>
      <c r="Q916" t="s">
        <v>74</v>
      </c>
      <c r="R916" t="s">
        <v>74</v>
      </c>
      <c r="S916" t="s">
        <v>74</v>
      </c>
      <c r="T916" t="s">
        <v>74</v>
      </c>
      <c r="U916" t="s">
        <v>74</v>
      </c>
      <c r="V916" t="s">
        <v>17199</v>
      </c>
      <c r="W916" t="s">
        <v>17200</v>
      </c>
      <c r="X916" t="s">
        <v>17201</v>
      </c>
      <c r="Y916" t="s">
        <v>17202</v>
      </c>
      <c r="Z916" t="s">
        <v>17203</v>
      </c>
      <c r="AA916" t="s">
        <v>74</v>
      </c>
      <c r="AB916" t="s">
        <v>74</v>
      </c>
      <c r="AC916" t="s">
        <v>74</v>
      </c>
      <c r="AD916" t="s">
        <v>74</v>
      </c>
      <c r="AE916" t="s">
        <v>74</v>
      </c>
      <c r="AF916" t="s">
        <v>74</v>
      </c>
      <c r="AG916">
        <v>22</v>
      </c>
      <c r="AH916">
        <v>4</v>
      </c>
      <c r="AI916">
        <v>4</v>
      </c>
      <c r="AJ916">
        <v>0</v>
      </c>
      <c r="AK916">
        <v>3</v>
      </c>
      <c r="AL916" t="s">
        <v>1610</v>
      </c>
      <c r="AM916" t="s">
        <v>292</v>
      </c>
      <c r="AN916" t="s">
        <v>1611</v>
      </c>
      <c r="AO916" t="s">
        <v>17187</v>
      </c>
      <c r="AP916" t="s">
        <v>17188</v>
      </c>
      <c r="AQ916" t="s">
        <v>74</v>
      </c>
      <c r="AR916" t="s">
        <v>17189</v>
      </c>
      <c r="AS916" t="s">
        <v>17190</v>
      </c>
      <c r="AT916" t="s">
        <v>17151</v>
      </c>
      <c r="AU916">
        <v>2016</v>
      </c>
      <c r="AV916">
        <v>27</v>
      </c>
      <c r="AW916">
        <v>4</v>
      </c>
      <c r="AX916" t="s">
        <v>74</v>
      </c>
      <c r="AY916" t="s">
        <v>74</v>
      </c>
      <c r="AZ916" t="s">
        <v>74</v>
      </c>
      <c r="BA916" t="s">
        <v>74</v>
      </c>
      <c r="BB916">
        <v>1043</v>
      </c>
      <c r="BC916">
        <v>1059</v>
      </c>
      <c r="BD916" t="s">
        <v>74</v>
      </c>
      <c r="BE916" t="s">
        <v>17204</v>
      </c>
      <c r="BF916" t="str">
        <f>HYPERLINK("http://dx.doi.org/10.1093/ejil/chw067","http://dx.doi.org/10.1093/ejil/chw067")</f>
        <v>http://dx.doi.org/10.1093/ejil/chw067</v>
      </c>
      <c r="BG916" t="s">
        <v>74</v>
      </c>
      <c r="BH916" t="s">
        <v>74</v>
      </c>
      <c r="BI916">
        <v>17</v>
      </c>
      <c r="BJ916" t="s">
        <v>17192</v>
      </c>
      <c r="BK916" t="s">
        <v>1918</v>
      </c>
      <c r="BL916" t="s">
        <v>17193</v>
      </c>
      <c r="BM916" t="s">
        <v>17194</v>
      </c>
      <c r="BN916" t="s">
        <v>74</v>
      </c>
      <c r="BO916" t="s">
        <v>672</v>
      </c>
      <c r="BP916" t="s">
        <v>74</v>
      </c>
      <c r="BQ916" t="s">
        <v>74</v>
      </c>
      <c r="BR916" t="s">
        <v>105</v>
      </c>
      <c r="BS916" t="s">
        <v>17205</v>
      </c>
      <c r="BT916" t="str">
        <f>HYPERLINK("https%3A%2F%2Fwww.webofscience.com%2Fwos%2Fwoscc%2Ffull-record%2FWOS:000398269500010","View Full Record in Web of Science")</f>
        <v>View Full Record in Web of Science</v>
      </c>
    </row>
    <row r="917" spans="1:72" x14ac:dyDescent="0.15">
      <c r="A917" t="s">
        <v>72</v>
      </c>
      <c r="B917" t="s">
        <v>17206</v>
      </c>
      <c r="C917" t="s">
        <v>74</v>
      </c>
      <c r="D917" t="s">
        <v>74</v>
      </c>
      <c r="E917" t="s">
        <v>74</v>
      </c>
      <c r="F917" t="s">
        <v>17207</v>
      </c>
      <c r="G917" t="s">
        <v>74</v>
      </c>
      <c r="H917" t="s">
        <v>74</v>
      </c>
      <c r="I917" t="s">
        <v>17208</v>
      </c>
      <c r="J917" t="s">
        <v>17180</v>
      </c>
      <c r="K917" t="s">
        <v>74</v>
      </c>
      <c r="L917" t="s">
        <v>74</v>
      </c>
      <c r="M917" t="s">
        <v>78</v>
      </c>
      <c r="N917" t="s">
        <v>79</v>
      </c>
      <c r="O917" t="s">
        <v>74</v>
      </c>
      <c r="P917" t="s">
        <v>74</v>
      </c>
      <c r="Q917" t="s">
        <v>74</v>
      </c>
      <c r="R917" t="s">
        <v>74</v>
      </c>
      <c r="S917" t="s">
        <v>74</v>
      </c>
      <c r="T917" t="s">
        <v>74</v>
      </c>
      <c r="U917" t="s">
        <v>74</v>
      </c>
      <c r="V917" t="s">
        <v>17209</v>
      </c>
      <c r="W917" t="s">
        <v>17210</v>
      </c>
      <c r="X917" t="s">
        <v>17211</v>
      </c>
      <c r="Y917" t="s">
        <v>17212</v>
      </c>
      <c r="Z917" t="s">
        <v>17213</v>
      </c>
      <c r="AA917" t="s">
        <v>74</v>
      </c>
      <c r="AB917" t="s">
        <v>74</v>
      </c>
      <c r="AC917" t="s">
        <v>74</v>
      </c>
      <c r="AD917" t="s">
        <v>74</v>
      </c>
      <c r="AE917" t="s">
        <v>74</v>
      </c>
      <c r="AF917" t="s">
        <v>74</v>
      </c>
      <c r="AG917">
        <v>8</v>
      </c>
      <c r="AH917">
        <v>9</v>
      </c>
      <c r="AI917">
        <v>9</v>
      </c>
      <c r="AJ917">
        <v>0</v>
      </c>
      <c r="AK917">
        <v>1</v>
      </c>
      <c r="AL917" t="s">
        <v>1610</v>
      </c>
      <c r="AM917" t="s">
        <v>292</v>
      </c>
      <c r="AN917" t="s">
        <v>1611</v>
      </c>
      <c r="AO917" t="s">
        <v>17187</v>
      </c>
      <c r="AP917" t="s">
        <v>17188</v>
      </c>
      <c r="AQ917" t="s">
        <v>74</v>
      </c>
      <c r="AR917" t="s">
        <v>17189</v>
      </c>
      <c r="AS917" t="s">
        <v>17190</v>
      </c>
      <c r="AT917" t="s">
        <v>17151</v>
      </c>
      <c r="AU917">
        <v>2016</v>
      </c>
      <c r="AV917">
        <v>27</v>
      </c>
      <c r="AW917">
        <v>4</v>
      </c>
      <c r="AX917" t="s">
        <v>74</v>
      </c>
      <c r="AY917" t="s">
        <v>74</v>
      </c>
      <c r="AZ917" t="s">
        <v>74</v>
      </c>
      <c r="BA917" t="s">
        <v>74</v>
      </c>
      <c r="BB917">
        <v>1061</v>
      </c>
      <c r="BC917">
        <v>1069</v>
      </c>
      <c r="BD917" t="s">
        <v>74</v>
      </c>
      <c r="BE917" t="s">
        <v>17214</v>
      </c>
      <c r="BF917" t="str">
        <f>HYPERLINK("http://dx.doi.org/10.1093/ejil/chw058","http://dx.doi.org/10.1093/ejil/chw058")</f>
        <v>http://dx.doi.org/10.1093/ejil/chw058</v>
      </c>
      <c r="BG917" t="s">
        <v>74</v>
      </c>
      <c r="BH917" t="s">
        <v>74</v>
      </c>
      <c r="BI917">
        <v>9</v>
      </c>
      <c r="BJ917" t="s">
        <v>17192</v>
      </c>
      <c r="BK917" t="s">
        <v>1918</v>
      </c>
      <c r="BL917" t="s">
        <v>17193</v>
      </c>
      <c r="BM917" t="s">
        <v>17194</v>
      </c>
      <c r="BN917" t="s">
        <v>74</v>
      </c>
      <c r="BO917" t="s">
        <v>1803</v>
      </c>
      <c r="BP917" t="s">
        <v>74</v>
      </c>
      <c r="BQ917" t="s">
        <v>74</v>
      </c>
      <c r="BR917" t="s">
        <v>105</v>
      </c>
      <c r="BS917" t="s">
        <v>17215</v>
      </c>
      <c r="BT917" t="str">
        <f>HYPERLINK("https%3A%2F%2Fwww.webofscience.com%2Fwos%2Fwoscc%2Ffull-record%2FWOS:000398269500011","View Full Record in Web of Science")</f>
        <v>View Full Record in Web of Science</v>
      </c>
    </row>
    <row r="918" spans="1:72" x14ac:dyDescent="0.15">
      <c r="A918" t="s">
        <v>72</v>
      </c>
      <c r="B918" t="s">
        <v>17216</v>
      </c>
      <c r="C918" t="s">
        <v>74</v>
      </c>
      <c r="D918" t="s">
        <v>74</v>
      </c>
      <c r="E918" t="s">
        <v>74</v>
      </c>
      <c r="F918" t="s">
        <v>17217</v>
      </c>
      <c r="G918" t="s">
        <v>74</v>
      </c>
      <c r="H918" t="s">
        <v>74</v>
      </c>
      <c r="I918" t="s">
        <v>17218</v>
      </c>
      <c r="J918" t="s">
        <v>17219</v>
      </c>
      <c r="K918" t="s">
        <v>74</v>
      </c>
      <c r="L918" t="s">
        <v>74</v>
      </c>
      <c r="M918" t="s">
        <v>78</v>
      </c>
      <c r="N918" t="s">
        <v>1597</v>
      </c>
      <c r="O918" t="s">
        <v>74</v>
      </c>
      <c r="P918" t="s">
        <v>74</v>
      </c>
      <c r="Q918" t="s">
        <v>74</v>
      </c>
      <c r="R918" t="s">
        <v>74</v>
      </c>
      <c r="S918" t="s">
        <v>74</v>
      </c>
      <c r="T918" t="s">
        <v>17220</v>
      </c>
      <c r="U918" t="s">
        <v>74</v>
      </c>
      <c r="V918" t="s">
        <v>17221</v>
      </c>
      <c r="W918" t="s">
        <v>17222</v>
      </c>
      <c r="X918" t="s">
        <v>17223</v>
      </c>
      <c r="Y918" t="s">
        <v>17224</v>
      </c>
      <c r="Z918" t="s">
        <v>17225</v>
      </c>
      <c r="AA918" t="s">
        <v>17226</v>
      </c>
      <c r="AB918" t="s">
        <v>17227</v>
      </c>
      <c r="AC918" t="s">
        <v>17228</v>
      </c>
      <c r="AD918" t="s">
        <v>17229</v>
      </c>
      <c r="AE918" t="s">
        <v>17230</v>
      </c>
      <c r="AF918" t="s">
        <v>74</v>
      </c>
      <c r="AG918">
        <v>23</v>
      </c>
      <c r="AH918">
        <v>122</v>
      </c>
      <c r="AI918">
        <v>126</v>
      </c>
      <c r="AJ918">
        <v>1</v>
      </c>
      <c r="AK918">
        <v>12</v>
      </c>
      <c r="AL918" t="s">
        <v>2377</v>
      </c>
      <c r="AM918" t="s">
        <v>2378</v>
      </c>
      <c r="AN918" t="s">
        <v>2379</v>
      </c>
      <c r="AO918" t="s">
        <v>17231</v>
      </c>
      <c r="AP918" t="s">
        <v>74</v>
      </c>
      <c r="AQ918" t="s">
        <v>74</v>
      </c>
      <c r="AR918" t="s">
        <v>17232</v>
      </c>
      <c r="AS918" t="s">
        <v>17233</v>
      </c>
      <c r="AT918" t="s">
        <v>17151</v>
      </c>
      <c r="AU918">
        <v>2016</v>
      </c>
      <c r="AV918">
        <v>3</v>
      </c>
      <c r="AW918">
        <v>2</v>
      </c>
      <c r="AX918" t="s">
        <v>74</v>
      </c>
      <c r="AY918" t="s">
        <v>74</v>
      </c>
      <c r="AZ918" t="s">
        <v>74</v>
      </c>
      <c r="BA918" t="s">
        <v>74</v>
      </c>
      <c r="BB918">
        <v>50</v>
      </c>
      <c r="BC918">
        <v>59</v>
      </c>
      <c r="BD918" t="s">
        <v>74</v>
      </c>
      <c r="BE918" t="s">
        <v>17234</v>
      </c>
      <c r="BF918" t="str">
        <f>HYPERLINK("http://dx.doi.org/10.1002/gdj3.42","http://dx.doi.org/10.1002/gdj3.42")</f>
        <v>http://dx.doi.org/10.1002/gdj3.42</v>
      </c>
      <c r="BG918" t="s">
        <v>74</v>
      </c>
      <c r="BH918" t="s">
        <v>74</v>
      </c>
      <c r="BI918">
        <v>10</v>
      </c>
      <c r="BJ918" t="s">
        <v>938</v>
      </c>
      <c r="BK918" t="s">
        <v>101</v>
      </c>
      <c r="BL918" t="s">
        <v>939</v>
      </c>
      <c r="BM918" t="s">
        <v>17235</v>
      </c>
      <c r="BN918" t="s">
        <v>74</v>
      </c>
      <c r="BO918" t="s">
        <v>1368</v>
      </c>
      <c r="BP918" t="s">
        <v>74</v>
      </c>
      <c r="BQ918" t="s">
        <v>74</v>
      </c>
      <c r="BR918" t="s">
        <v>105</v>
      </c>
      <c r="BS918" t="s">
        <v>17236</v>
      </c>
      <c r="BT918" t="str">
        <f>HYPERLINK("https%3A%2F%2Fwww.webofscience.com%2Fwos%2Fwoscc%2Ffull-record%2FWOS:000398464200002","View Full Record in Web of Science")</f>
        <v>View Full Record in Web of Science</v>
      </c>
    </row>
    <row r="919" spans="1:72" x14ac:dyDescent="0.15">
      <c r="A919" t="s">
        <v>72</v>
      </c>
      <c r="B919" t="s">
        <v>17237</v>
      </c>
      <c r="C919" t="s">
        <v>74</v>
      </c>
      <c r="D919" t="s">
        <v>74</v>
      </c>
      <c r="E919" t="s">
        <v>74</v>
      </c>
      <c r="F919" t="s">
        <v>17238</v>
      </c>
      <c r="G919" t="s">
        <v>74</v>
      </c>
      <c r="H919" t="s">
        <v>74</v>
      </c>
      <c r="I919" t="s">
        <v>17239</v>
      </c>
      <c r="J919" t="s">
        <v>17219</v>
      </c>
      <c r="K919" t="s">
        <v>74</v>
      </c>
      <c r="L919" t="s">
        <v>74</v>
      </c>
      <c r="M919" t="s">
        <v>78</v>
      </c>
      <c r="N919" t="s">
        <v>1597</v>
      </c>
      <c r="O919" t="s">
        <v>74</v>
      </c>
      <c r="P919" t="s">
        <v>74</v>
      </c>
      <c r="Q919" t="s">
        <v>74</v>
      </c>
      <c r="R919" t="s">
        <v>74</v>
      </c>
      <c r="S919" t="s">
        <v>74</v>
      </c>
      <c r="T919" t="s">
        <v>17240</v>
      </c>
      <c r="U919" t="s">
        <v>17241</v>
      </c>
      <c r="V919" t="s">
        <v>17242</v>
      </c>
      <c r="W919" t="s">
        <v>17243</v>
      </c>
      <c r="X919" t="s">
        <v>17244</v>
      </c>
      <c r="Y919" t="s">
        <v>17245</v>
      </c>
      <c r="Z919" t="s">
        <v>17246</v>
      </c>
      <c r="AA919" t="s">
        <v>17247</v>
      </c>
      <c r="AB919" t="s">
        <v>17248</v>
      </c>
      <c r="AC919" t="s">
        <v>17249</v>
      </c>
      <c r="AD919" t="s">
        <v>17250</v>
      </c>
      <c r="AE919" t="s">
        <v>17251</v>
      </c>
      <c r="AF919" t="s">
        <v>74</v>
      </c>
      <c r="AG919">
        <v>10</v>
      </c>
      <c r="AH919">
        <v>10</v>
      </c>
      <c r="AI919">
        <v>13</v>
      </c>
      <c r="AJ919">
        <v>0</v>
      </c>
      <c r="AK919">
        <v>13</v>
      </c>
      <c r="AL919" t="s">
        <v>2377</v>
      </c>
      <c r="AM919" t="s">
        <v>2378</v>
      </c>
      <c r="AN919" t="s">
        <v>2379</v>
      </c>
      <c r="AO919" t="s">
        <v>17231</v>
      </c>
      <c r="AP919" t="s">
        <v>74</v>
      </c>
      <c r="AQ919" t="s">
        <v>74</v>
      </c>
      <c r="AR919" t="s">
        <v>17232</v>
      </c>
      <c r="AS919" t="s">
        <v>17233</v>
      </c>
      <c r="AT919" t="s">
        <v>17151</v>
      </c>
      <c r="AU919">
        <v>2016</v>
      </c>
      <c r="AV919">
        <v>3</v>
      </c>
      <c r="AW919">
        <v>2</v>
      </c>
      <c r="AX919" t="s">
        <v>74</v>
      </c>
      <c r="AY919" t="s">
        <v>74</v>
      </c>
      <c r="AZ919" t="s">
        <v>74</v>
      </c>
      <c r="BA919" t="s">
        <v>74</v>
      </c>
      <c r="BB919">
        <v>60</v>
      </c>
      <c r="BC919">
        <v>62</v>
      </c>
      <c r="BD919" t="s">
        <v>74</v>
      </c>
      <c r="BE919" t="s">
        <v>17252</v>
      </c>
      <c r="BF919" t="str">
        <f>HYPERLINK("http://dx.doi.org/10.1002/gdj3.43","http://dx.doi.org/10.1002/gdj3.43")</f>
        <v>http://dx.doi.org/10.1002/gdj3.43</v>
      </c>
      <c r="BG919" t="s">
        <v>74</v>
      </c>
      <c r="BH919" t="s">
        <v>74</v>
      </c>
      <c r="BI919">
        <v>3</v>
      </c>
      <c r="BJ919" t="s">
        <v>938</v>
      </c>
      <c r="BK919" t="s">
        <v>101</v>
      </c>
      <c r="BL919" t="s">
        <v>939</v>
      </c>
      <c r="BM919" t="s">
        <v>17235</v>
      </c>
      <c r="BN919" t="s">
        <v>74</v>
      </c>
      <c r="BO919" t="s">
        <v>6663</v>
      </c>
      <c r="BP919" t="s">
        <v>74</v>
      </c>
      <c r="BQ919" t="s">
        <v>74</v>
      </c>
      <c r="BR919" t="s">
        <v>105</v>
      </c>
      <c r="BS919" t="s">
        <v>17253</v>
      </c>
      <c r="BT919" t="str">
        <f>HYPERLINK("https%3A%2F%2Fwww.webofscience.com%2Fwos%2Fwoscc%2Ffull-record%2FWOS:000398464200003","View Full Record in Web of Science")</f>
        <v>View Full Record in Web of Science</v>
      </c>
    </row>
    <row r="920" spans="1:72" x14ac:dyDescent="0.15">
      <c r="A920" t="s">
        <v>72</v>
      </c>
      <c r="B920" t="s">
        <v>17254</v>
      </c>
      <c r="C920" t="s">
        <v>74</v>
      </c>
      <c r="D920" t="s">
        <v>74</v>
      </c>
      <c r="E920" t="s">
        <v>74</v>
      </c>
      <c r="F920" t="s">
        <v>17255</v>
      </c>
      <c r="G920" t="s">
        <v>74</v>
      </c>
      <c r="H920" t="s">
        <v>74</v>
      </c>
      <c r="I920" t="s">
        <v>17256</v>
      </c>
      <c r="J920" t="s">
        <v>13041</v>
      </c>
      <c r="K920" t="s">
        <v>74</v>
      </c>
      <c r="L920" t="s">
        <v>74</v>
      </c>
      <c r="M920" t="s">
        <v>78</v>
      </c>
      <c r="N920" t="s">
        <v>79</v>
      </c>
      <c r="O920" t="s">
        <v>74</v>
      </c>
      <c r="P920" t="s">
        <v>74</v>
      </c>
      <c r="Q920" t="s">
        <v>74</v>
      </c>
      <c r="R920" t="s">
        <v>74</v>
      </c>
      <c r="S920" t="s">
        <v>74</v>
      </c>
      <c r="T920" t="s">
        <v>74</v>
      </c>
      <c r="U920" t="s">
        <v>74</v>
      </c>
      <c r="V920" t="s">
        <v>17257</v>
      </c>
      <c r="W920" t="s">
        <v>17258</v>
      </c>
      <c r="X920" t="s">
        <v>13070</v>
      </c>
      <c r="Y920" t="s">
        <v>17259</v>
      </c>
      <c r="Z920" t="s">
        <v>17260</v>
      </c>
      <c r="AA920" t="s">
        <v>17261</v>
      </c>
      <c r="AB920" t="s">
        <v>17262</v>
      </c>
      <c r="AC920" t="s">
        <v>17263</v>
      </c>
      <c r="AD920" t="s">
        <v>17264</v>
      </c>
      <c r="AE920" t="s">
        <v>17265</v>
      </c>
      <c r="AF920" t="s">
        <v>74</v>
      </c>
      <c r="AG920">
        <v>5</v>
      </c>
      <c r="AH920">
        <v>0</v>
      </c>
      <c r="AI920">
        <v>0</v>
      </c>
      <c r="AJ920">
        <v>0</v>
      </c>
      <c r="AK920">
        <v>9</v>
      </c>
      <c r="AL920" t="s">
        <v>7449</v>
      </c>
      <c r="AM920" t="s">
        <v>187</v>
      </c>
      <c r="AN920" t="s">
        <v>7450</v>
      </c>
      <c r="AO920" t="s">
        <v>13054</v>
      </c>
      <c r="AP920" t="s">
        <v>13055</v>
      </c>
      <c r="AQ920" t="s">
        <v>74</v>
      </c>
      <c r="AR920" t="s">
        <v>13056</v>
      </c>
      <c r="AS920" t="s">
        <v>13057</v>
      </c>
      <c r="AT920" t="s">
        <v>17151</v>
      </c>
      <c r="AU920">
        <v>2016</v>
      </c>
      <c r="AV920">
        <v>43</v>
      </c>
      <c r="AW920">
        <v>6</v>
      </c>
      <c r="AX920" t="s">
        <v>74</v>
      </c>
      <c r="AY920" t="s">
        <v>74</v>
      </c>
      <c r="AZ920" t="s">
        <v>74</v>
      </c>
      <c r="BA920" t="s">
        <v>74</v>
      </c>
      <c r="BB920">
        <v>491</v>
      </c>
      <c r="BC920">
        <v>493</v>
      </c>
      <c r="BD920" t="s">
        <v>74</v>
      </c>
      <c r="BE920" t="s">
        <v>17266</v>
      </c>
      <c r="BF920" t="str">
        <f>HYPERLINK("http://dx.doi.org/10.1134/S1062359016060157","http://dx.doi.org/10.1134/S1062359016060157")</f>
        <v>http://dx.doi.org/10.1134/S1062359016060157</v>
      </c>
      <c r="BG920" t="s">
        <v>74</v>
      </c>
      <c r="BH920" t="s">
        <v>74</v>
      </c>
      <c r="BI920">
        <v>3</v>
      </c>
      <c r="BJ920" t="s">
        <v>13059</v>
      </c>
      <c r="BK920" t="s">
        <v>101</v>
      </c>
      <c r="BL920" t="s">
        <v>13060</v>
      </c>
      <c r="BM920" t="s">
        <v>17267</v>
      </c>
      <c r="BN920" t="s">
        <v>74</v>
      </c>
      <c r="BO920" t="s">
        <v>74</v>
      </c>
      <c r="BP920" t="s">
        <v>74</v>
      </c>
      <c r="BQ920" t="s">
        <v>74</v>
      </c>
      <c r="BR920" t="s">
        <v>105</v>
      </c>
      <c r="BS920" t="s">
        <v>17268</v>
      </c>
      <c r="BT920" t="str">
        <f>HYPERLINK("https%3A%2F%2Fwww.webofscience.com%2Fwos%2Fwoscc%2Ffull-record%2FWOS:000394181600002","View Full Record in Web of Science")</f>
        <v>View Full Record in Web of Science</v>
      </c>
    </row>
    <row r="921" spans="1:72" x14ac:dyDescent="0.15">
      <c r="A921" t="s">
        <v>72</v>
      </c>
      <c r="B921" t="s">
        <v>17269</v>
      </c>
      <c r="C921" t="s">
        <v>74</v>
      </c>
      <c r="D921" t="s">
        <v>74</v>
      </c>
      <c r="E921" t="s">
        <v>74</v>
      </c>
      <c r="F921" t="s">
        <v>17270</v>
      </c>
      <c r="G921" t="s">
        <v>74</v>
      </c>
      <c r="H921" t="s">
        <v>74</v>
      </c>
      <c r="I921" t="s">
        <v>17271</v>
      </c>
      <c r="J921" t="s">
        <v>17272</v>
      </c>
      <c r="K921" t="s">
        <v>74</v>
      </c>
      <c r="L921" t="s">
        <v>74</v>
      </c>
      <c r="M921" t="s">
        <v>78</v>
      </c>
      <c r="N921" t="s">
        <v>79</v>
      </c>
      <c r="O921" t="s">
        <v>74</v>
      </c>
      <c r="P921" t="s">
        <v>74</v>
      </c>
      <c r="Q921" t="s">
        <v>74</v>
      </c>
      <c r="R921" t="s">
        <v>74</v>
      </c>
      <c r="S921" t="s">
        <v>74</v>
      </c>
      <c r="T921" t="s">
        <v>17273</v>
      </c>
      <c r="U921" t="s">
        <v>17274</v>
      </c>
      <c r="V921" t="s">
        <v>17275</v>
      </c>
      <c r="W921" t="s">
        <v>17276</v>
      </c>
      <c r="X921" t="s">
        <v>17277</v>
      </c>
      <c r="Y921" t="s">
        <v>17278</v>
      </c>
      <c r="Z921" t="s">
        <v>17279</v>
      </c>
      <c r="AA921" t="s">
        <v>17280</v>
      </c>
      <c r="AB921" t="s">
        <v>17281</v>
      </c>
      <c r="AC921" t="s">
        <v>17282</v>
      </c>
      <c r="AD921" t="s">
        <v>4160</v>
      </c>
      <c r="AE921" t="s">
        <v>17283</v>
      </c>
      <c r="AF921" t="s">
        <v>74</v>
      </c>
      <c r="AG921">
        <v>24</v>
      </c>
      <c r="AH921">
        <v>3</v>
      </c>
      <c r="AI921">
        <v>4</v>
      </c>
      <c r="AJ921">
        <v>1</v>
      </c>
      <c r="AK921">
        <v>17</v>
      </c>
      <c r="AL921" t="s">
        <v>2325</v>
      </c>
      <c r="AM921" t="s">
        <v>292</v>
      </c>
      <c r="AN921" t="s">
        <v>2326</v>
      </c>
      <c r="AO921" t="s">
        <v>17284</v>
      </c>
      <c r="AP921" t="s">
        <v>74</v>
      </c>
      <c r="AQ921" t="s">
        <v>74</v>
      </c>
      <c r="AR921" t="s">
        <v>17285</v>
      </c>
      <c r="AS921" t="s">
        <v>17286</v>
      </c>
      <c r="AT921" t="s">
        <v>17151</v>
      </c>
      <c r="AU921">
        <v>2016</v>
      </c>
      <c r="AV921">
        <v>18</v>
      </c>
      <c r="AW921" t="s">
        <v>74</v>
      </c>
      <c r="AX921" t="s">
        <v>2081</v>
      </c>
      <c r="AY921" t="s">
        <v>74</v>
      </c>
      <c r="AZ921" t="s">
        <v>270</v>
      </c>
      <c r="BA921" t="s">
        <v>74</v>
      </c>
      <c r="BB921">
        <v>221</v>
      </c>
      <c r="BC921">
        <v>233</v>
      </c>
      <c r="BD921" t="s">
        <v>74</v>
      </c>
      <c r="BE921" t="s">
        <v>17287</v>
      </c>
      <c r="BF921" t="str">
        <f>HYPERLINK("http://dx.doi.org/10.1016/j.spasta.2016.04.002","http://dx.doi.org/10.1016/j.spasta.2016.04.002")</f>
        <v>http://dx.doi.org/10.1016/j.spasta.2016.04.002</v>
      </c>
      <c r="BG921" t="s">
        <v>74</v>
      </c>
      <c r="BH921" t="s">
        <v>74</v>
      </c>
      <c r="BI921">
        <v>13</v>
      </c>
      <c r="BJ921" t="s">
        <v>17288</v>
      </c>
      <c r="BK921" t="s">
        <v>101</v>
      </c>
      <c r="BL921" t="s">
        <v>17289</v>
      </c>
      <c r="BM921" t="s">
        <v>17290</v>
      </c>
      <c r="BN921" t="s">
        <v>74</v>
      </c>
      <c r="BO921" t="s">
        <v>506</v>
      </c>
      <c r="BP921" t="s">
        <v>74</v>
      </c>
      <c r="BQ921" t="s">
        <v>74</v>
      </c>
      <c r="BR921" t="s">
        <v>105</v>
      </c>
      <c r="BS921" t="s">
        <v>17291</v>
      </c>
      <c r="BT921" t="str">
        <f>HYPERLINK("https%3A%2F%2Fwww.webofscience.com%2Fwos%2Fwoscc%2Ffull-record%2FWOS:000393232800014","View Full Record in Web of Science")</f>
        <v>View Full Record in Web of Science</v>
      </c>
    </row>
    <row r="922" spans="1:72" x14ac:dyDescent="0.15">
      <c r="A922" t="s">
        <v>72</v>
      </c>
      <c r="B922" t="s">
        <v>17292</v>
      </c>
      <c r="C922" t="s">
        <v>74</v>
      </c>
      <c r="D922" t="s">
        <v>74</v>
      </c>
      <c r="E922" t="s">
        <v>74</v>
      </c>
      <c r="F922" t="s">
        <v>17293</v>
      </c>
      <c r="G922" t="s">
        <v>74</v>
      </c>
      <c r="H922" t="s">
        <v>74</v>
      </c>
      <c r="I922" t="s">
        <v>17294</v>
      </c>
      <c r="J922" t="s">
        <v>17295</v>
      </c>
      <c r="K922" t="s">
        <v>74</v>
      </c>
      <c r="L922" t="s">
        <v>74</v>
      </c>
      <c r="M922" t="s">
        <v>78</v>
      </c>
      <c r="N922" t="s">
        <v>79</v>
      </c>
      <c r="O922" t="s">
        <v>74</v>
      </c>
      <c r="P922" t="s">
        <v>74</v>
      </c>
      <c r="Q922" t="s">
        <v>74</v>
      </c>
      <c r="R922" t="s">
        <v>74</v>
      </c>
      <c r="S922" t="s">
        <v>74</v>
      </c>
      <c r="T922" t="s">
        <v>74</v>
      </c>
      <c r="U922" t="s">
        <v>17296</v>
      </c>
      <c r="V922" t="s">
        <v>17297</v>
      </c>
      <c r="W922" t="s">
        <v>17298</v>
      </c>
      <c r="X922" t="s">
        <v>2805</v>
      </c>
      <c r="Y922" t="s">
        <v>17299</v>
      </c>
      <c r="Z922" t="s">
        <v>17300</v>
      </c>
      <c r="AA922" t="s">
        <v>10709</v>
      </c>
      <c r="AB922" t="s">
        <v>17301</v>
      </c>
      <c r="AC922" t="s">
        <v>17302</v>
      </c>
      <c r="AD922" t="s">
        <v>17303</v>
      </c>
      <c r="AE922" t="s">
        <v>17304</v>
      </c>
      <c r="AF922" t="s">
        <v>74</v>
      </c>
      <c r="AG922">
        <v>63</v>
      </c>
      <c r="AH922">
        <v>5</v>
      </c>
      <c r="AI922">
        <v>6</v>
      </c>
      <c r="AJ922">
        <v>1</v>
      </c>
      <c r="AK922">
        <v>24</v>
      </c>
      <c r="AL922" t="s">
        <v>8845</v>
      </c>
      <c r="AM922" t="s">
        <v>2378</v>
      </c>
      <c r="AN922" t="s">
        <v>2379</v>
      </c>
      <c r="AO922" t="s">
        <v>10491</v>
      </c>
      <c r="AP922" t="s">
        <v>74</v>
      </c>
      <c r="AQ922" t="s">
        <v>74</v>
      </c>
      <c r="AR922" t="s">
        <v>10478</v>
      </c>
      <c r="AS922" t="s">
        <v>10492</v>
      </c>
      <c r="AT922" t="s">
        <v>17151</v>
      </c>
      <c r="AU922">
        <v>2016</v>
      </c>
      <c r="AV922">
        <v>4</v>
      </c>
      <c r="AW922">
        <v>11</v>
      </c>
      <c r="AX922" t="s">
        <v>74</v>
      </c>
      <c r="AY922" t="s">
        <v>74</v>
      </c>
      <c r="AZ922" t="s">
        <v>74</v>
      </c>
      <c r="BA922" t="s">
        <v>74</v>
      </c>
      <c r="BB922">
        <v>523</v>
      </c>
      <c r="BC922">
        <v>531</v>
      </c>
      <c r="BD922" t="s">
        <v>74</v>
      </c>
      <c r="BE922" t="s">
        <v>17305</v>
      </c>
      <c r="BF922" t="str">
        <f>HYPERLINK("http://dx.doi.org/10.1002/2016EF000447","http://dx.doi.org/10.1002/2016EF000447")</f>
        <v>http://dx.doi.org/10.1002/2016EF000447</v>
      </c>
      <c r="BG922" t="s">
        <v>74</v>
      </c>
      <c r="BH922" t="s">
        <v>74</v>
      </c>
      <c r="BI922">
        <v>9</v>
      </c>
      <c r="BJ922" t="s">
        <v>10494</v>
      </c>
      <c r="BK922" t="s">
        <v>101</v>
      </c>
      <c r="BL922" t="s">
        <v>10495</v>
      </c>
      <c r="BM922" t="s">
        <v>17306</v>
      </c>
      <c r="BN922" t="s">
        <v>74</v>
      </c>
      <c r="BO922" t="s">
        <v>1368</v>
      </c>
      <c r="BP922" t="s">
        <v>74</v>
      </c>
      <c r="BQ922" t="s">
        <v>74</v>
      </c>
      <c r="BR922" t="s">
        <v>105</v>
      </c>
      <c r="BS922" t="s">
        <v>17307</v>
      </c>
      <c r="BT922" t="str">
        <f>HYPERLINK("https%3A%2F%2Fwww.webofscience.com%2Fwos%2Fwoscc%2Ffull-record%2FWOS:000392812800005","View Full Record in Web of Science")</f>
        <v>View Full Record in Web of Science</v>
      </c>
    </row>
    <row r="923" spans="1:72" x14ac:dyDescent="0.15">
      <c r="A923" t="s">
        <v>72</v>
      </c>
      <c r="B923" t="s">
        <v>17308</v>
      </c>
      <c r="C923" t="s">
        <v>74</v>
      </c>
      <c r="D923" t="s">
        <v>74</v>
      </c>
      <c r="E923" t="s">
        <v>74</v>
      </c>
      <c r="F923" t="s">
        <v>17309</v>
      </c>
      <c r="G923" t="s">
        <v>74</v>
      </c>
      <c r="H923" t="s">
        <v>74</v>
      </c>
      <c r="I923" t="s">
        <v>17310</v>
      </c>
      <c r="J923" t="s">
        <v>8281</v>
      </c>
      <c r="K923" t="s">
        <v>74</v>
      </c>
      <c r="L923" t="s">
        <v>74</v>
      </c>
      <c r="M923" t="s">
        <v>78</v>
      </c>
      <c r="N923" t="s">
        <v>79</v>
      </c>
      <c r="O923" t="s">
        <v>74</v>
      </c>
      <c r="P923" t="s">
        <v>74</v>
      </c>
      <c r="Q923" t="s">
        <v>74</v>
      </c>
      <c r="R923" t="s">
        <v>74</v>
      </c>
      <c r="S923" t="s">
        <v>74</v>
      </c>
      <c r="T923" t="s">
        <v>17311</v>
      </c>
      <c r="U923" t="s">
        <v>17312</v>
      </c>
      <c r="V923" t="s">
        <v>17313</v>
      </c>
      <c r="W923" t="s">
        <v>17314</v>
      </c>
      <c r="X923" t="s">
        <v>17315</v>
      </c>
      <c r="Y923" t="s">
        <v>17316</v>
      </c>
      <c r="Z923" t="s">
        <v>17317</v>
      </c>
      <c r="AA923" t="s">
        <v>17318</v>
      </c>
      <c r="AB923" t="s">
        <v>17319</v>
      </c>
      <c r="AC923" t="s">
        <v>17320</v>
      </c>
      <c r="AD923" t="s">
        <v>17321</v>
      </c>
      <c r="AE923" t="s">
        <v>17322</v>
      </c>
      <c r="AF923" t="s">
        <v>74</v>
      </c>
      <c r="AG923">
        <v>63</v>
      </c>
      <c r="AH923">
        <v>21</v>
      </c>
      <c r="AI923">
        <v>21</v>
      </c>
      <c r="AJ923">
        <v>0</v>
      </c>
      <c r="AK923">
        <v>6</v>
      </c>
      <c r="AL923" t="s">
        <v>661</v>
      </c>
      <c r="AM923" t="s">
        <v>142</v>
      </c>
      <c r="AN923" t="s">
        <v>662</v>
      </c>
      <c r="AO923" t="s">
        <v>8292</v>
      </c>
      <c r="AP923" t="s">
        <v>8293</v>
      </c>
      <c r="AQ923" t="s">
        <v>74</v>
      </c>
      <c r="AR923" t="s">
        <v>8294</v>
      </c>
      <c r="AS923" t="s">
        <v>8295</v>
      </c>
      <c r="AT923" t="s">
        <v>17151</v>
      </c>
      <c r="AU923">
        <v>2016</v>
      </c>
      <c r="AV923">
        <v>121</v>
      </c>
      <c r="AW923">
        <v>11</v>
      </c>
      <c r="AX923" t="s">
        <v>74</v>
      </c>
      <c r="AY923" t="s">
        <v>74</v>
      </c>
      <c r="AZ923" t="s">
        <v>74</v>
      </c>
      <c r="BA923" t="s">
        <v>74</v>
      </c>
      <c r="BB923">
        <v>2172</v>
      </c>
      <c r="BC923">
        <v>2191</v>
      </c>
      <c r="BD923" t="s">
        <v>74</v>
      </c>
      <c r="BE923" t="s">
        <v>17323</v>
      </c>
      <c r="BF923" t="str">
        <f>HYPERLINK("http://dx.doi.org/10.1002/2016JF003893","http://dx.doi.org/10.1002/2016JF003893")</f>
        <v>http://dx.doi.org/10.1002/2016JF003893</v>
      </c>
      <c r="BG923" t="s">
        <v>74</v>
      </c>
      <c r="BH923" t="s">
        <v>74</v>
      </c>
      <c r="BI923">
        <v>20</v>
      </c>
      <c r="BJ923" t="s">
        <v>669</v>
      </c>
      <c r="BK923" t="s">
        <v>101</v>
      </c>
      <c r="BL923" t="s">
        <v>670</v>
      </c>
      <c r="BM923" t="s">
        <v>17324</v>
      </c>
      <c r="BN923" t="s">
        <v>74</v>
      </c>
      <c r="BO923" t="s">
        <v>506</v>
      </c>
      <c r="BP923" t="s">
        <v>74</v>
      </c>
      <c r="BQ923" t="s">
        <v>74</v>
      </c>
      <c r="BR923" t="s">
        <v>105</v>
      </c>
      <c r="BS923" t="s">
        <v>17325</v>
      </c>
      <c r="BT923" t="str">
        <f>HYPERLINK("https%3A%2F%2Fwww.webofscience.com%2Fwos%2Fwoscc%2Ffull-record%2FWOS:000392825900011","View Full Record in Web of Science")</f>
        <v>View Full Record in Web of Science</v>
      </c>
    </row>
    <row r="924" spans="1:72" x14ac:dyDescent="0.15">
      <c r="A924" t="s">
        <v>72</v>
      </c>
      <c r="B924" t="s">
        <v>17326</v>
      </c>
      <c r="C924" t="s">
        <v>74</v>
      </c>
      <c r="D924" t="s">
        <v>74</v>
      </c>
      <c r="E924" t="s">
        <v>74</v>
      </c>
      <c r="F924" t="s">
        <v>17327</v>
      </c>
      <c r="G924" t="s">
        <v>74</v>
      </c>
      <c r="H924" t="s">
        <v>74</v>
      </c>
      <c r="I924" t="s">
        <v>17328</v>
      </c>
      <c r="J924" t="s">
        <v>8354</v>
      </c>
      <c r="K924" t="s">
        <v>74</v>
      </c>
      <c r="L924" t="s">
        <v>74</v>
      </c>
      <c r="M924" t="s">
        <v>78</v>
      </c>
      <c r="N924" t="s">
        <v>79</v>
      </c>
      <c r="O924" t="s">
        <v>74</v>
      </c>
      <c r="P924" t="s">
        <v>74</v>
      </c>
      <c r="Q924" t="s">
        <v>74</v>
      </c>
      <c r="R924" t="s">
        <v>74</v>
      </c>
      <c r="S924" t="s">
        <v>74</v>
      </c>
      <c r="T924" t="s">
        <v>17329</v>
      </c>
      <c r="U924" t="s">
        <v>17330</v>
      </c>
      <c r="V924" t="s">
        <v>17331</v>
      </c>
      <c r="W924" t="s">
        <v>17332</v>
      </c>
      <c r="X924" t="s">
        <v>3590</v>
      </c>
      <c r="Y924" t="s">
        <v>17333</v>
      </c>
      <c r="Z924" t="s">
        <v>17334</v>
      </c>
      <c r="AA924" t="s">
        <v>74</v>
      </c>
      <c r="AB924" t="s">
        <v>74</v>
      </c>
      <c r="AC924" t="s">
        <v>17335</v>
      </c>
      <c r="AD924" t="s">
        <v>17336</v>
      </c>
      <c r="AE924" t="s">
        <v>17337</v>
      </c>
      <c r="AF924" t="s">
        <v>74</v>
      </c>
      <c r="AG924">
        <v>25</v>
      </c>
      <c r="AH924">
        <v>2</v>
      </c>
      <c r="AI924">
        <v>3</v>
      </c>
      <c r="AJ924">
        <v>0</v>
      </c>
      <c r="AK924">
        <v>4</v>
      </c>
      <c r="AL924" t="s">
        <v>661</v>
      </c>
      <c r="AM924" t="s">
        <v>142</v>
      </c>
      <c r="AN924" t="s">
        <v>662</v>
      </c>
      <c r="AO924" t="s">
        <v>8366</v>
      </c>
      <c r="AP924" t="s">
        <v>8367</v>
      </c>
      <c r="AQ924" t="s">
        <v>74</v>
      </c>
      <c r="AR924" t="s">
        <v>8368</v>
      </c>
      <c r="AS924" t="s">
        <v>8369</v>
      </c>
      <c r="AT924" t="s">
        <v>17151</v>
      </c>
      <c r="AU924">
        <v>2016</v>
      </c>
      <c r="AV924">
        <v>121</v>
      </c>
      <c r="AW924">
        <v>11</v>
      </c>
      <c r="AX924" t="s">
        <v>74</v>
      </c>
      <c r="AY924" t="s">
        <v>74</v>
      </c>
      <c r="AZ924" t="s">
        <v>74</v>
      </c>
      <c r="BA924" t="s">
        <v>74</v>
      </c>
      <c r="BB924">
        <v>8063</v>
      </c>
      <c r="BC924">
        <v>8076</v>
      </c>
      <c r="BD924" t="s">
        <v>74</v>
      </c>
      <c r="BE924" t="s">
        <v>17338</v>
      </c>
      <c r="BF924" t="str">
        <f>HYPERLINK("http://dx.doi.org/10.1002/2016JC011956","http://dx.doi.org/10.1002/2016JC011956")</f>
        <v>http://dx.doi.org/10.1002/2016JC011956</v>
      </c>
      <c r="BG924" t="s">
        <v>74</v>
      </c>
      <c r="BH924" t="s">
        <v>74</v>
      </c>
      <c r="BI924">
        <v>14</v>
      </c>
      <c r="BJ924" t="s">
        <v>2164</v>
      </c>
      <c r="BK924" t="s">
        <v>101</v>
      </c>
      <c r="BL924" t="s">
        <v>2164</v>
      </c>
      <c r="BM924" t="s">
        <v>17339</v>
      </c>
      <c r="BN924" t="s">
        <v>74</v>
      </c>
      <c r="BO924" t="s">
        <v>506</v>
      </c>
      <c r="BP924" t="s">
        <v>74</v>
      </c>
      <c r="BQ924" t="s">
        <v>74</v>
      </c>
      <c r="BR924" t="s">
        <v>105</v>
      </c>
      <c r="BS924" t="s">
        <v>17340</v>
      </c>
      <c r="BT924" t="str">
        <f>HYPERLINK("https%3A%2F%2Fwww.webofscience.com%2Fwos%2Fwoscc%2Ffull-record%2FWOS:000392841000008","View Full Record in Web of Science")</f>
        <v>View Full Record in Web of Science</v>
      </c>
    </row>
    <row r="925" spans="1:72" x14ac:dyDescent="0.15">
      <c r="A925" t="s">
        <v>72</v>
      </c>
      <c r="B925" t="s">
        <v>17341</v>
      </c>
      <c r="C925" t="s">
        <v>74</v>
      </c>
      <c r="D925" t="s">
        <v>74</v>
      </c>
      <c r="E925" t="s">
        <v>74</v>
      </c>
      <c r="F925" t="s">
        <v>17342</v>
      </c>
      <c r="G925" t="s">
        <v>74</v>
      </c>
      <c r="H925" t="s">
        <v>74</v>
      </c>
      <c r="I925" t="s">
        <v>17343</v>
      </c>
      <c r="J925" t="s">
        <v>2198</v>
      </c>
      <c r="K925" t="s">
        <v>74</v>
      </c>
      <c r="L925" t="s">
        <v>74</v>
      </c>
      <c r="M925" t="s">
        <v>78</v>
      </c>
      <c r="N925" t="s">
        <v>79</v>
      </c>
      <c r="O925" t="s">
        <v>74</v>
      </c>
      <c r="P925" t="s">
        <v>74</v>
      </c>
      <c r="Q925" t="s">
        <v>74</v>
      </c>
      <c r="R925" t="s">
        <v>74</v>
      </c>
      <c r="S925" t="s">
        <v>74</v>
      </c>
      <c r="T925" t="s">
        <v>17344</v>
      </c>
      <c r="U925" t="s">
        <v>17345</v>
      </c>
      <c r="V925" t="s">
        <v>17346</v>
      </c>
      <c r="W925" t="s">
        <v>17347</v>
      </c>
      <c r="X925" t="s">
        <v>17348</v>
      </c>
      <c r="Y925" t="s">
        <v>17349</v>
      </c>
      <c r="Z925" t="s">
        <v>17350</v>
      </c>
      <c r="AA925" t="s">
        <v>17351</v>
      </c>
      <c r="AB925" t="s">
        <v>17352</v>
      </c>
      <c r="AC925" t="s">
        <v>17353</v>
      </c>
      <c r="AD925" t="s">
        <v>17354</v>
      </c>
      <c r="AE925" t="s">
        <v>17355</v>
      </c>
      <c r="AF925" t="s">
        <v>74</v>
      </c>
      <c r="AG925">
        <v>98</v>
      </c>
      <c r="AH925">
        <v>10</v>
      </c>
      <c r="AI925">
        <v>10</v>
      </c>
      <c r="AJ925">
        <v>1</v>
      </c>
      <c r="AK925">
        <v>54</v>
      </c>
      <c r="AL925" t="s">
        <v>291</v>
      </c>
      <c r="AM925" t="s">
        <v>292</v>
      </c>
      <c r="AN925" t="s">
        <v>293</v>
      </c>
      <c r="AO925" t="s">
        <v>2211</v>
      </c>
      <c r="AP925" t="s">
        <v>2212</v>
      </c>
      <c r="AQ925" t="s">
        <v>74</v>
      </c>
      <c r="AR925" t="s">
        <v>2213</v>
      </c>
      <c r="AS925" t="s">
        <v>2214</v>
      </c>
      <c r="AT925" t="s">
        <v>17151</v>
      </c>
      <c r="AU925">
        <v>2016</v>
      </c>
      <c r="AV925">
        <v>117</v>
      </c>
      <c r="AW925" t="s">
        <v>74</v>
      </c>
      <c r="AX925" t="s">
        <v>74</v>
      </c>
      <c r="AY925" t="s">
        <v>74</v>
      </c>
      <c r="AZ925" t="s">
        <v>74</v>
      </c>
      <c r="BA925" t="s">
        <v>74</v>
      </c>
      <c r="BB925">
        <v>11</v>
      </c>
      <c r="BC925">
        <v>27</v>
      </c>
      <c r="BD925" t="s">
        <v>74</v>
      </c>
      <c r="BE925" t="s">
        <v>17356</v>
      </c>
      <c r="BF925" t="str">
        <f>HYPERLINK("http://dx.doi.org/10.1016/j.dsr.2016.09.002","http://dx.doi.org/10.1016/j.dsr.2016.09.002")</f>
        <v>http://dx.doi.org/10.1016/j.dsr.2016.09.002</v>
      </c>
      <c r="BG925" t="s">
        <v>74</v>
      </c>
      <c r="BH925" t="s">
        <v>74</v>
      </c>
      <c r="BI925">
        <v>17</v>
      </c>
      <c r="BJ925" t="s">
        <v>2164</v>
      </c>
      <c r="BK925" t="s">
        <v>101</v>
      </c>
      <c r="BL925" t="s">
        <v>2164</v>
      </c>
      <c r="BM925" t="s">
        <v>17357</v>
      </c>
      <c r="BN925" t="s">
        <v>74</v>
      </c>
      <c r="BO925" t="s">
        <v>74</v>
      </c>
      <c r="BP925" t="s">
        <v>74</v>
      </c>
      <c r="BQ925" t="s">
        <v>74</v>
      </c>
      <c r="BR925" t="s">
        <v>105</v>
      </c>
      <c r="BS925" t="s">
        <v>17358</v>
      </c>
      <c r="BT925" t="str">
        <f>HYPERLINK("https%3A%2F%2Fwww.webofscience.com%2Fwos%2Fwoscc%2Ffull-record%2FWOS:000390514800002","View Full Record in Web of Science")</f>
        <v>View Full Record in Web of Science</v>
      </c>
    </row>
    <row r="926" spans="1:72" x14ac:dyDescent="0.15">
      <c r="A926" t="s">
        <v>72</v>
      </c>
      <c r="B926" t="s">
        <v>17359</v>
      </c>
      <c r="C926" t="s">
        <v>74</v>
      </c>
      <c r="D926" t="s">
        <v>74</v>
      </c>
      <c r="E926" t="s">
        <v>74</v>
      </c>
      <c r="F926" t="s">
        <v>17360</v>
      </c>
      <c r="G926" t="s">
        <v>74</v>
      </c>
      <c r="H926" t="s">
        <v>74</v>
      </c>
      <c r="I926" t="s">
        <v>17361</v>
      </c>
      <c r="J926" t="s">
        <v>17362</v>
      </c>
      <c r="K926" t="s">
        <v>74</v>
      </c>
      <c r="L926" t="s">
        <v>74</v>
      </c>
      <c r="M926" t="s">
        <v>78</v>
      </c>
      <c r="N926" t="s">
        <v>79</v>
      </c>
      <c r="O926" t="s">
        <v>74</v>
      </c>
      <c r="P926" t="s">
        <v>74</v>
      </c>
      <c r="Q926" t="s">
        <v>74</v>
      </c>
      <c r="R926" t="s">
        <v>74</v>
      </c>
      <c r="S926" t="s">
        <v>74</v>
      </c>
      <c r="T926" t="s">
        <v>17363</v>
      </c>
      <c r="U926" t="s">
        <v>17364</v>
      </c>
      <c r="V926" t="s">
        <v>17365</v>
      </c>
      <c r="W926" t="s">
        <v>17366</v>
      </c>
      <c r="X926" t="s">
        <v>17367</v>
      </c>
      <c r="Y926" t="s">
        <v>17368</v>
      </c>
      <c r="Z926" t="s">
        <v>17369</v>
      </c>
      <c r="AA926" t="s">
        <v>17370</v>
      </c>
      <c r="AB926" t="s">
        <v>17371</v>
      </c>
      <c r="AC926" t="s">
        <v>17372</v>
      </c>
      <c r="AD926" t="s">
        <v>17373</v>
      </c>
      <c r="AE926" t="s">
        <v>17374</v>
      </c>
      <c r="AF926" t="s">
        <v>74</v>
      </c>
      <c r="AG926">
        <v>43</v>
      </c>
      <c r="AH926">
        <v>15</v>
      </c>
      <c r="AI926">
        <v>15</v>
      </c>
      <c r="AJ926">
        <v>0</v>
      </c>
      <c r="AK926">
        <v>12</v>
      </c>
      <c r="AL926" t="s">
        <v>661</v>
      </c>
      <c r="AM926" t="s">
        <v>142</v>
      </c>
      <c r="AN926" t="s">
        <v>662</v>
      </c>
      <c r="AO926" t="s">
        <v>17375</v>
      </c>
      <c r="AP926" t="s">
        <v>74</v>
      </c>
      <c r="AQ926" t="s">
        <v>74</v>
      </c>
      <c r="AR926" t="s">
        <v>17376</v>
      </c>
      <c r="AS926" t="s">
        <v>17377</v>
      </c>
      <c r="AT926" t="s">
        <v>17151</v>
      </c>
      <c r="AU926">
        <v>2016</v>
      </c>
      <c r="AV926">
        <v>3</v>
      </c>
      <c r="AW926">
        <v>11</v>
      </c>
      <c r="AX926" t="s">
        <v>74</v>
      </c>
      <c r="AY926" t="s">
        <v>74</v>
      </c>
      <c r="AZ926" t="s">
        <v>74</v>
      </c>
      <c r="BA926" t="s">
        <v>74</v>
      </c>
      <c r="BB926">
        <v>463</v>
      </c>
      <c r="BC926">
        <v>479</v>
      </c>
      <c r="BD926" t="s">
        <v>74</v>
      </c>
      <c r="BE926" t="s">
        <v>17378</v>
      </c>
      <c r="BF926" t="str">
        <f>HYPERLINK("http://dx.doi.org/10.1002/2016EA000172","http://dx.doi.org/10.1002/2016EA000172")</f>
        <v>http://dx.doi.org/10.1002/2016EA000172</v>
      </c>
      <c r="BG926" t="s">
        <v>74</v>
      </c>
      <c r="BH926" t="s">
        <v>74</v>
      </c>
      <c r="BI926">
        <v>17</v>
      </c>
      <c r="BJ926" t="s">
        <v>1946</v>
      </c>
      <c r="BK926" t="s">
        <v>101</v>
      </c>
      <c r="BL926" t="s">
        <v>1948</v>
      </c>
      <c r="BM926" t="s">
        <v>17379</v>
      </c>
      <c r="BN926" t="s">
        <v>74</v>
      </c>
      <c r="BO926" t="s">
        <v>725</v>
      </c>
      <c r="BP926" t="s">
        <v>74</v>
      </c>
      <c r="BQ926" t="s">
        <v>74</v>
      </c>
      <c r="BR926" t="s">
        <v>105</v>
      </c>
      <c r="BS926" t="s">
        <v>17380</v>
      </c>
      <c r="BT926" t="str">
        <f>HYPERLINK("https%3A%2F%2Fwww.webofscience.com%2Fwos%2Fwoscc%2Ffull-record%2FWOS:000390606700002","View Full Record in Web of Science")</f>
        <v>View Full Record in Web of Science</v>
      </c>
    </row>
    <row r="927" spans="1:72" x14ac:dyDescent="0.15">
      <c r="A927" t="s">
        <v>72</v>
      </c>
      <c r="B927" t="s">
        <v>17381</v>
      </c>
      <c r="C927" t="s">
        <v>74</v>
      </c>
      <c r="D927" t="s">
        <v>74</v>
      </c>
      <c r="E927" t="s">
        <v>74</v>
      </c>
      <c r="F927" t="s">
        <v>17382</v>
      </c>
      <c r="G927" t="s">
        <v>74</v>
      </c>
      <c r="H927" t="s">
        <v>74</v>
      </c>
      <c r="I927" t="s">
        <v>17383</v>
      </c>
      <c r="J927" t="s">
        <v>17384</v>
      </c>
      <c r="K927" t="s">
        <v>74</v>
      </c>
      <c r="L927" t="s">
        <v>74</v>
      </c>
      <c r="M927" t="s">
        <v>78</v>
      </c>
      <c r="N927" t="s">
        <v>79</v>
      </c>
      <c r="O927" t="s">
        <v>74</v>
      </c>
      <c r="P927" t="s">
        <v>74</v>
      </c>
      <c r="Q927" t="s">
        <v>74</v>
      </c>
      <c r="R927" t="s">
        <v>74</v>
      </c>
      <c r="S927" t="s">
        <v>74</v>
      </c>
      <c r="T927" t="s">
        <v>17385</v>
      </c>
      <c r="U927" t="s">
        <v>17386</v>
      </c>
      <c r="V927" t="s">
        <v>17387</v>
      </c>
      <c r="W927" t="s">
        <v>17388</v>
      </c>
      <c r="X927" t="s">
        <v>74</v>
      </c>
      <c r="Y927" t="s">
        <v>17389</v>
      </c>
      <c r="Z927" t="s">
        <v>17390</v>
      </c>
      <c r="AA927" t="s">
        <v>74</v>
      </c>
      <c r="AB927" t="s">
        <v>74</v>
      </c>
      <c r="AC927" t="s">
        <v>74</v>
      </c>
      <c r="AD927" t="s">
        <v>74</v>
      </c>
      <c r="AE927" t="s">
        <v>74</v>
      </c>
      <c r="AF927" t="s">
        <v>74</v>
      </c>
      <c r="AG927">
        <v>34</v>
      </c>
      <c r="AH927">
        <v>13</v>
      </c>
      <c r="AI927">
        <v>13</v>
      </c>
      <c r="AJ927">
        <v>2</v>
      </c>
      <c r="AK927">
        <v>12</v>
      </c>
      <c r="AL927" t="s">
        <v>17391</v>
      </c>
      <c r="AM927" t="s">
        <v>17392</v>
      </c>
      <c r="AN927" t="s">
        <v>17393</v>
      </c>
      <c r="AO927" t="s">
        <v>17394</v>
      </c>
      <c r="AP927" t="s">
        <v>17395</v>
      </c>
      <c r="AQ927" t="s">
        <v>74</v>
      </c>
      <c r="AR927" t="s">
        <v>17396</v>
      </c>
      <c r="AS927" t="s">
        <v>17397</v>
      </c>
      <c r="AT927" t="s">
        <v>17151</v>
      </c>
      <c r="AU927">
        <v>2016</v>
      </c>
      <c r="AV927">
        <v>11</v>
      </c>
      <c r="AW927">
        <v>8</v>
      </c>
      <c r="AX927" t="s">
        <v>74</v>
      </c>
      <c r="AY927" t="s">
        <v>74</v>
      </c>
      <c r="AZ927" t="s">
        <v>74</v>
      </c>
      <c r="BA927" t="s">
        <v>74</v>
      </c>
      <c r="BB927">
        <v>1053</v>
      </c>
      <c r="BC927">
        <v>1059</v>
      </c>
      <c r="BD927" t="s">
        <v>74</v>
      </c>
      <c r="BE927" t="s">
        <v>17398</v>
      </c>
      <c r="BF927" t="str">
        <f>HYPERLINK("http://dx.doi.org/10.1123/ijspp.2015-0611","http://dx.doi.org/10.1123/ijspp.2015-0611")</f>
        <v>http://dx.doi.org/10.1123/ijspp.2015-0611</v>
      </c>
      <c r="BG927" t="s">
        <v>74</v>
      </c>
      <c r="BH927" t="s">
        <v>74</v>
      </c>
      <c r="BI927">
        <v>7</v>
      </c>
      <c r="BJ927" t="s">
        <v>17399</v>
      </c>
      <c r="BK927" t="s">
        <v>101</v>
      </c>
      <c r="BL927" t="s">
        <v>17399</v>
      </c>
      <c r="BM927" t="s">
        <v>17400</v>
      </c>
      <c r="BN927">
        <v>26999078</v>
      </c>
      <c r="BO927" t="s">
        <v>74</v>
      </c>
      <c r="BP927" t="s">
        <v>74</v>
      </c>
      <c r="BQ927" t="s">
        <v>74</v>
      </c>
      <c r="BR927" t="s">
        <v>105</v>
      </c>
      <c r="BS927" t="s">
        <v>17401</v>
      </c>
      <c r="BT927" t="str">
        <f>HYPERLINK("https%3A%2F%2Fwww.webofscience.com%2Fwos%2Fwoscc%2Ffull-record%2FWOS:000390630800011","View Full Record in Web of Science")</f>
        <v>View Full Record in Web of Science</v>
      </c>
    </row>
    <row r="928" spans="1:72" x14ac:dyDescent="0.15">
      <c r="A928" t="s">
        <v>72</v>
      </c>
      <c r="B928" t="s">
        <v>17402</v>
      </c>
      <c r="C928" t="s">
        <v>74</v>
      </c>
      <c r="D928" t="s">
        <v>74</v>
      </c>
      <c r="E928" t="s">
        <v>74</v>
      </c>
      <c r="F928" t="s">
        <v>17403</v>
      </c>
      <c r="G928" t="s">
        <v>74</v>
      </c>
      <c r="H928" t="s">
        <v>74</v>
      </c>
      <c r="I928" t="s">
        <v>17404</v>
      </c>
      <c r="J928" t="s">
        <v>11677</v>
      </c>
      <c r="K928" t="s">
        <v>74</v>
      </c>
      <c r="L928" t="s">
        <v>74</v>
      </c>
      <c r="M928" t="s">
        <v>78</v>
      </c>
      <c r="N928" t="s">
        <v>79</v>
      </c>
      <c r="O928" t="s">
        <v>74</v>
      </c>
      <c r="P928" t="s">
        <v>74</v>
      </c>
      <c r="Q928" t="s">
        <v>74</v>
      </c>
      <c r="R928" t="s">
        <v>74</v>
      </c>
      <c r="S928" t="s">
        <v>74</v>
      </c>
      <c r="T928" t="s">
        <v>17405</v>
      </c>
      <c r="U928" t="s">
        <v>17406</v>
      </c>
      <c r="V928" t="s">
        <v>17407</v>
      </c>
      <c r="W928" t="s">
        <v>17408</v>
      </c>
      <c r="X928" t="s">
        <v>17409</v>
      </c>
      <c r="Y928" t="s">
        <v>17410</v>
      </c>
      <c r="Z928" t="s">
        <v>17411</v>
      </c>
      <c r="AA928" t="s">
        <v>17412</v>
      </c>
      <c r="AB928" t="s">
        <v>17413</v>
      </c>
      <c r="AC928" t="s">
        <v>17414</v>
      </c>
      <c r="AD928" t="s">
        <v>4160</v>
      </c>
      <c r="AE928" t="s">
        <v>17415</v>
      </c>
      <c r="AF928" t="s">
        <v>74</v>
      </c>
      <c r="AG928">
        <v>106</v>
      </c>
      <c r="AH928">
        <v>4</v>
      </c>
      <c r="AI928">
        <v>4</v>
      </c>
      <c r="AJ928">
        <v>2</v>
      </c>
      <c r="AK928">
        <v>33</v>
      </c>
      <c r="AL928" t="s">
        <v>661</v>
      </c>
      <c r="AM928" t="s">
        <v>142</v>
      </c>
      <c r="AN928" t="s">
        <v>662</v>
      </c>
      <c r="AO928" t="s">
        <v>11689</v>
      </c>
      <c r="AP928" t="s">
        <v>11690</v>
      </c>
      <c r="AQ928" t="s">
        <v>74</v>
      </c>
      <c r="AR928" t="s">
        <v>11677</v>
      </c>
      <c r="AS928" t="s">
        <v>11691</v>
      </c>
      <c r="AT928" t="s">
        <v>17151</v>
      </c>
      <c r="AU928">
        <v>2016</v>
      </c>
      <c r="AV928">
        <v>31</v>
      </c>
      <c r="AW928">
        <v>11</v>
      </c>
      <c r="AX928" t="s">
        <v>74</v>
      </c>
      <c r="AY928" t="s">
        <v>74</v>
      </c>
      <c r="AZ928" t="s">
        <v>74</v>
      </c>
      <c r="BA928" t="s">
        <v>74</v>
      </c>
      <c r="BB928">
        <v>1480</v>
      </c>
      <c r="BC928">
        <v>1497</v>
      </c>
      <c r="BD928" t="s">
        <v>74</v>
      </c>
      <c r="BE928" t="s">
        <v>17416</v>
      </c>
      <c r="BF928" t="str">
        <f>HYPERLINK("http://dx.doi.org/10.1002/2015PA002906","http://dx.doi.org/10.1002/2015PA002906")</f>
        <v>http://dx.doi.org/10.1002/2015PA002906</v>
      </c>
      <c r="BG928" t="s">
        <v>74</v>
      </c>
      <c r="BH928" t="s">
        <v>74</v>
      </c>
      <c r="BI928">
        <v>18</v>
      </c>
      <c r="BJ928" t="s">
        <v>11693</v>
      </c>
      <c r="BK928" t="s">
        <v>101</v>
      </c>
      <c r="BL928" t="s">
        <v>11694</v>
      </c>
      <c r="BM928" t="s">
        <v>17417</v>
      </c>
      <c r="BN928" t="s">
        <v>74</v>
      </c>
      <c r="BO928" t="s">
        <v>74</v>
      </c>
      <c r="BP928" t="s">
        <v>74</v>
      </c>
      <c r="BQ928" t="s">
        <v>74</v>
      </c>
      <c r="BR928" t="s">
        <v>105</v>
      </c>
      <c r="BS928" t="s">
        <v>17418</v>
      </c>
      <c r="BT928" t="str">
        <f>HYPERLINK("https%3A%2F%2Fwww.webofscience.com%2Fwos%2Fwoscc%2Ffull-record%2FWOS:000390648400001","View Full Record in Web of Science")</f>
        <v>View Full Record in Web of Science</v>
      </c>
    </row>
    <row r="929" spans="1:72" x14ac:dyDescent="0.15">
      <c r="A929" t="s">
        <v>72</v>
      </c>
      <c r="B929" t="s">
        <v>17419</v>
      </c>
      <c r="C929" t="s">
        <v>74</v>
      </c>
      <c r="D929" t="s">
        <v>74</v>
      </c>
      <c r="E929" t="s">
        <v>74</v>
      </c>
      <c r="F929" t="s">
        <v>17420</v>
      </c>
      <c r="G929" t="s">
        <v>74</v>
      </c>
      <c r="H929" t="s">
        <v>74</v>
      </c>
      <c r="I929" t="s">
        <v>17421</v>
      </c>
      <c r="J929" t="s">
        <v>17422</v>
      </c>
      <c r="K929" t="s">
        <v>74</v>
      </c>
      <c r="L929" t="s">
        <v>74</v>
      </c>
      <c r="M929" t="s">
        <v>78</v>
      </c>
      <c r="N929" t="s">
        <v>79</v>
      </c>
      <c r="O929" t="s">
        <v>74</v>
      </c>
      <c r="P929" t="s">
        <v>74</v>
      </c>
      <c r="Q929" t="s">
        <v>74</v>
      </c>
      <c r="R929" t="s">
        <v>74</v>
      </c>
      <c r="S929" t="s">
        <v>74</v>
      </c>
      <c r="T929" t="s">
        <v>17423</v>
      </c>
      <c r="U929" t="s">
        <v>74</v>
      </c>
      <c r="V929" t="s">
        <v>17424</v>
      </c>
      <c r="W929" t="s">
        <v>17425</v>
      </c>
      <c r="X929" t="s">
        <v>17426</v>
      </c>
      <c r="Y929" t="s">
        <v>17427</v>
      </c>
      <c r="Z929" t="s">
        <v>17428</v>
      </c>
      <c r="AA929" t="s">
        <v>17429</v>
      </c>
      <c r="AB929" t="s">
        <v>17430</v>
      </c>
      <c r="AC929" t="s">
        <v>17431</v>
      </c>
      <c r="AD929" t="s">
        <v>17432</v>
      </c>
      <c r="AE929" t="s">
        <v>17433</v>
      </c>
      <c r="AF929" t="s">
        <v>74</v>
      </c>
      <c r="AG929">
        <v>4</v>
      </c>
      <c r="AH929">
        <v>4</v>
      </c>
      <c r="AI929">
        <v>4</v>
      </c>
      <c r="AJ929">
        <v>1</v>
      </c>
      <c r="AK929">
        <v>10</v>
      </c>
      <c r="AL929" t="s">
        <v>17434</v>
      </c>
      <c r="AM929" t="s">
        <v>17435</v>
      </c>
      <c r="AN929" t="s">
        <v>17436</v>
      </c>
      <c r="AO929" t="s">
        <v>17437</v>
      </c>
      <c r="AP929" t="s">
        <v>17438</v>
      </c>
      <c r="AQ929" t="s">
        <v>74</v>
      </c>
      <c r="AR929" t="s">
        <v>17439</v>
      </c>
      <c r="AS929" t="s">
        <v>17440</v>
      </c>
      <c r="AT929" t="s">
        <v>17151</v>
      </c>
      <c r="AU929">
        <v>2016</v>
      </c>
      <c r="AV929">
        <v>88</v>
      </c>
      <c r="AW929">
        <v>3</v>
      </c>
      <c r="AX929" t="s">
        <v>74</v>
      </c>
      <c r="AY929" t="s">
        <v>1921</v>
      </c>
      <c r="AZ929" t="s">
        <v>74</v>
      </c>
      <c r="BA929" t="s">
        <v>74</v>
      </c>
      <c r="BB929">
        <v>1967</v>
      </c>
      <c r="BC929">
        <v>1969</v>
      </c>
      <c r="BD929" t="s">
        <v>74</v>
      </c>
      <c r="BE929" t="s">
        <v>17441</v>
      </c>
      <c r="BF929" t="str">
        <f>HYPERLINK("http://dx.doi.org/10.1590/0001-3765201620150779","http://dx.doi.org/10.1590/0001-3765201620150779")</f>
        <v>http://dx.doi.org/10.1590/0001-3765201620150779</v>
      </c>
      <c r="BG929" t="s">
        <v>74</v>
      </c>
      <c r="BH929" t="s">
        <v>74</v>
      </c>
      <c r="BI929">
        <v>3</v>
      </c>
      <c r="BJ929" t="s">
        <v>100</v>
      </c>
      <c r="BK929" t="s">
        <v>101</v>
      </c>
      <c r="BL929" t="s">
        <v>102</v>
      </c>
      <c r="BM929" t="s">
        <v>17442</v>
      </c>
      <c r="BN929">
        <v>27556333</v>
      </c>
      <c r="BO929" t="s">
        <v>3339</v>
      </c>
      <c r="BP929" t="s">
        <v>74</v>
      </c>
      <c r="BQ929" t="s">
        <v>74</v>
      </c>
      <c r="BR929" t="s">
        <v>105</v>
      </c>
      <c r="BS929" t="s">
        <v>17443</v>
      </c>
      <c r="BT929" t="str">
        <f>HYPERLINK("https%3A%2F%2Fwww.webofscience.com%2Fwos%2Fwoscc%2Ffull-record%2FWOS:000390198500032","View Full Record in Web of Science")</f>
        <v>View Full Record in Web of Science</v>
      </c>
    </row>
    <row r="930" spans="1:72" x14ac:dyDescent="0.15">
      <c r="A930" t="s">
        <v>72</v>
      </c>
      <c r="B930" t="s">
        <v>17444</v>
      </c>
      <c r="C930" t="s">
        <v>74</v>
      </c>
      <c r="D930" t="s">
        <v>74</v>
      </c>
      <c r="E930" t="s">
        <v>74</v>
      </c>
      <c r="F930" t="s">
        <v>17445</v>
      </c>
      <c r="G930" t="s">
        <v>74</v>
      </c>
      <c r="H930" t="s">
        <v>74</v>
      </c>
      <c r="I930" t="s">
        <v>17446</v>
      </c>
      <c r="J930" t="s">
        <v>17447</v>
      </c>
      <c r="K930" t="s">
        <v>74</v>
      </c>
      <c r="L930" t="s">
        <v>74</v>
      </c>
      <c r="M930" t="s">
        <v>78</v>
      </c>
      <c r="N930" t="s">
        <v>79</v>
      </c>
      <c r="O930" t="s">
        <v>74</v>
      </c>
      <c r="P930" t="s">
        <v>74</v>
      </c>
      <c r="Q930" t="s">
        <v>74</v>
      </c>
      <c r="R930" t="s">
        <v>74</v>
      </c>
      <c r="S930" t="s">
        <v>74</v>
      </c>
      <c r="T930" t="s">
        <v>17448</v>
      </c>
      <c r="U930" t="s">
        <v>17449</v>
      </c>
      <c r="V930" t="s">
        <v>17450</v>
      </c>
      <c r="W930" t="s">
        <v>17451</v>
      </c>
      <c r="X930" t="s">
        <v>17452</v>
      </c>
      <c r="Y930" t="s">
        <v>17453</v>
      </c>
      <c r="Z930" t="s">
        <v>17454</v>
      </c>
      <c r="AA930" t="s">
        <v>17455</v>
      </c>
      <c r="AB930" t="s">
        <v>17456</v>
      </c>
      <c r="AC930" t="s">
        <v>17457</v>
      </c>
      <c r="AD930" t="s">
        <v>74</v>
      </c>
      <c r="AE930" t="s">
        <v>17458</v>
      </c>
      <c r="AF930" t="s">
        <v>74</v>
      </c>
      <c r="AG930">
        <v>66</v>
      </c>
      <c r="AH930">
        <v>13</v>
      </c>
      <c r="AI930">
        <v>14</v>
      </c>
      <c r="AJ930">
        <v>0</v>
      </c>
      <c r="AK930">
        <v>17</v>
      </c>
      <c r="AL930" t="s">
        <v>2377</v>
      </c>
      <c r="AM930" t="s">
        <v>2378</v>
      </c>
      <c r="AN930" t="s">
        <v>2379</v>
      </c>
      <c r="AO930" t="s">
        <v>17459</v>
      </c>
      <c r="AP930" t="s">
        <v>17460</v>
      </c>
      <c r="AQ930" t="s">
        <v>74</v>
      </c>
      <c r="AR930" t="s">
        <v>17461</v>
      </c>
      <c r="AS930" t="s">
        <v>17462</v>
      </c>
      <c r="AT930" t="s">
        <v>17151</v>
      </c>
      <c r="AU930">
        <v>2016</v>
      </c>
      <c r="AV930">
        <v>31</v>
      </c>
      <c r="AW930">
        <v>8</v>
      </c>
      <c r="AX930" t="s">
        <v>74</v>
      </c>
      <c r="AY930" t="s">
        <v>74</v>
      </c>
      <c r="AZ930" t="s">
        <v>74</v>
      </c>
      <c r="BA930" t="s">
        <v>74</v>
      </c>
      <c r="BB930">
        <v>879</v>
      </c>
      <c r="BC930">
        <v>892</v>
      </c>
      <c r="BD930" t="s">
        <v>74</v>
      </c>
      <c r="BE930" t="s">
        <v>17463</v>
      </c>
      <c r="BF930" t="str">
        <f>HYPERLINK("http://dx.doi.org/10.1002/jqs.2912","http://dx.doi.org/10.1002/jqs.2912")</f>
        <v>http://dx.doi.org/10.1002/jqs.2912</v>
      </c>
      <c r="BG930" t="s">
        <v>74</v>
      </c>
      <c r="BH930" t="s">
        <v>74</v>
      </c>
      <c r="BI930">
        <v>14</v>
      </c>
      <c r="BJ930" t="s">
        <v>615</v>
      </c>
      <c r="BK930" t="s">
        <v>101</v>
      </c>
      <c r="BL930" t="s">
        <v>616</v>
      </c>
      <c r="BM930" t="s">
        <v>17464</v>
      </c>
      <c r="BN930" t="s">
        <v>74</v>
      </c>
      <c r="BO930" t="s">
        <v>378</v>
      </c>
      <c r="BP930" t="s">
        <v>74</v>
      </c>
      <c r="BQ930" t="s">
        <v>74</v>
      </c>
      <c r="BR930" t="s">
        <v>105</v>
      </c>
      <c r="BS930" t="s">
        <v>17465</v>
      </c>
      <c r="BT930" t="str">
        <f>HYPERLINK("https%3A%2F%2Fwww.webofscience.com%2Fwos%2Fwoscc%2Ffull-record%2FWOS:000390345600005","View Full Record in Web of Science")</f>
        <v>View Full Record in Web of Science</v>
      </c>
    </row>
    <row r="931" spans="1:72" x14ac:dyDescent="0.15">
      <c r="A931" t="s">
        <v>72</v>
      </c>
      <c r="B931" t="s">
        <v>17466</v>
      </c>
      <c r="C931" t="s">
        <v>74</v>
      </c>
      <c r="D931" t="s">
        <v>74</v>
      </c>
      <c r="E931" t="s">
        <v>74</v>
      </c>
      <c r="F931" t="s">
        <v>17467</v>
      </c>
      <c r="G931" t="s">
        <v>74</v>
      </c>
      <c r="H931" t="s">
        <v>74</v>
      </c>
      <c r="I931" t="s">
        <v>17468</v>
      </c>
      <c r="J931" t="s">
        <v>17447</v>
      </c>
      <c r="K931" t="s">
        <v>74</v>
      </c>
      <c r="L931" t="s">
        <v>74</v>
      </c>
      <c r="M931" t="s">
        <v>78</v>
      </c>
      <c r="N931" t="s">
        <v>79</v>
      </c>
      <c r="O931" t="s">
        <v>74</v>
      </c>
      <c r="P931" t="s">
        <v>74</v>
      </c>
      <c r="Q931" t="s">
        <v>74</v>
      </c>
      <c r="R931" t="s">
        <v>74</v>
      </c>
      <c r="S931" t="s">
        <v>74</v>
      </c>
      <c r="T931" t="s">
        <v>17469</v>
      </c>
      <c r="U931" t="s">
        <v>17470</v>
      </c>
      <c r="V931" t="s">
        <v>17471</v>
      </c>
      <c r="W931" t="s">
        <v>17472</v>
      </c>
      <c r="X931" t="s">
        <v>17473</v>
      </c>
      <c r="Y931" t="s">
        <v>17474</v>
      </c>
      <c r="Z931" t="s">
        <v>17475</v>
      </c>
      <c r="AA931" t="s">
        <v>17476</v>
      </c>
      <c r="AB931" t="s">
        <v>17477</v>
      </c>
      <c r="AC931" t="s">
        <v>17478</v>
      </c>
      <c r="AD931" t="s">
        <v>17479</v>
      </c>
      <c r="AE931" t="s">
        <v>17480</v>
      </c>
      <c r="AF931" t="s">
        <v>74</v>
      </c>
      <c r="AG931">
        <v>64</v>
      </c>
      <c r="AH931">
        <v>30</v>
      </c>
      <c r="AI931">
        <v>31</v>
      </c>
      <c r="AJ931">
        <v>0</v>
      </c>
      <c r="AK931">
        <v>13</v>
      </c>
      <c r="AL931" t="s">
        <v>8845</v>
      </c>
      <c r="AM931" t="s">
        <v>2378</v>
      </c>
      <c r="AN931" t="s">
        <v>2379</v>
      </c>
      <c r="AO931" t="s">
        <v>17459</v>
      </c>
      <c r="AP931" t="s">
        <v>17460</v>
      </c>
      <c r="AQ931" t="s">
        <v>74</v>
      </c>
      <c r="AR931" t="s">
        <v>17461</v>
      </c>
      <c r="AS931" t="s">
        <v>17462</v>
      </c>
      <c r="AT931" t="s">
        <v>17151</v>
      </c>
      <c r="AU931">
        <v>2016</v>
      </c>
      <c r="AV931">
        <v>31</v>
      </c>
      <c r="AW931">
        <v>8</v>
      </c>
      <c r="AX931" t="s">
        <v>74</v>
      </c>
      <c r="AY931" t="s">
        <v>74</v>
      </c>
      <c r="AZ931" t="s">
        <v>74</v>
      </c>
      <c r="BA931" t="s">
        <v>74</v>
      </c>
      <c r="BB931">
        <v>919</v>
      </c>
      <c r="BC931">
        <v>927</v>
      </c>
      <c r="BD931" t="s">
        <v>74</v>
      </c>
      <c r="BE931" t="s">
        <v>17481</v>
      </c>
      <c r="BF931" t="str">
        <f>HYPERLINK("http://dx.doi.org/10.1002/jqs.2916","http://dx.doi.org/10.1002/jqs.2916")</f>
        <v>http://dx.doi.org/10.1002/jqs.2916</v>
      </c>
      <c r="BG931" t="s">
        <v>74</v>
      </c>
      <c r="BH931" t="s">
        <v>74</v>
      </c>
      <c r="BI931">
        <v>9</v>
      </c>
      <c r="BJ931" t="s">
        <v>615</v>
      </c>
      <c r="BK931" t="s">
        <v>13631</v>
      </c>
      <c r="BL931" t="s">
        <v>616</v>
      </c>
      <c r="BM931" t="s">
        <v>17464</v>
      </c>
      <c r="BN931" t="s">
        <v>74</v>
      </c>
      <c r="BO931" t="s">
        <v>378</v>
      </c>
      <c r="BP931" t="s">
        <v>74</v>
      </c>
      <c r="BQ931" t="s">
        <v>74</v>
      </c>
      <c r="BR931" t="s">
        <v>105</v>
      </c>
      <c r="BS931" t="s">
        <v>17482</v>
      </c>
      <c r="BT931" t="str">
        <f>HYPERLINK("https%3A%2F%2Fwww.webofscience.com%2Fwos%2Fwoscc%2Ffull-record%2FWOS:000390345600008","View Full Record in Web of Science")</f>
        <v>View Full Record in Web of Science</v>
      </c>
    </row>
    <row r="932" spans="1:72" x14ac:dyDescent="0.15">
      <c r="A932" t="s">
        <v>72</v>
      </c>
      <c r="B932" t="s">
        <v>17483</v>
      </c>
      <c r="C932" t="s">
        <v>74</v>
      </c>
      <c r="D932" t="s">
        <v>74</v>
      </c>
      <c r="E932" t="s">
        <v>74</v>
      </c>
      <c r="F932" t="s">
        <v>17484</v>
      </c>
      <c r="G932" t="s">
        <v>74</v>
      </c>
      <c r="H932" t="s">
        <v>74</v>
      </c>
      <c r="I932" t="s">
        <v>17485</v>
      </c>
      <c r="J932" t="s">
        <v>9238</v>
      </c>
      <c r="K932" t="s">
        <v>74</v>
      </c>
      <c r="L932" t="s">
        <v>74</v>
      </c>
      <c r="M932" t="s">
        <v>78</v>
      </c>
      <c r="N932" t="s">
        <v>79</v>
      </c>
      <c r="O932" t="s">
        <v>74</v>
      </c>
      <c r="P932" t="s">
        <v>74</v>
      </c>
      <c r="Q932" t="s">
        <v>74</v>
      </c>
      <c r="R932" t="s">
        <v>74</v>
      </c>
      <c r="S932" t="s">
        <v>74</v>
      </c>
      <c r="T932" t="s">
        <v>17486</v>
      </c>
      <c r="U932" t="s">
        <v>17487</v>
      </c>
      <c r="V932" t="s">
        <v>17488</v>
      </c>
      <c r="W932" t="s">
        <v>17489</v>
      </c>
      <c r="X932" t="s">
        <v>17490</v>
      </c>
      <c r="Y932" t="s">
        <v>17491</v>
      </c>
      <c r="Z932" t="s">
        <v>17492</v>
      </c>
      <c r="AA932" t="s">
        <v>74</v>
      </c>
      <c r="AB932" t="s">
        <v>74</v>
      </c>
      <c r="AC932" t="s">
        <v>17493</v>
      </c>
      <c r="AD932" t="s">
        <v>17494</v>
      </c>
      <c r="AE932" t="s">
        <v>17495</v>
      </c>
      <c r="AF932" t="s">
        <v>74</v>
      </c>
      <c r="AG932">
        <v>65</v>
      </c>
      <c r="AH932">
        <v>15</v>
      </c>
      <c r="AI932">
        <v>16</v>
      </c>
      <c r="AJ932">
        <v>0</v>
      </c>
      <c r="AK932">
        <v>11</v>
      </c>
      <c r="AL932" t="s">
        <v>211</v>
      </c>
      <c r="AM932" t="s">
        <v>187</v>
      </c>
      <c r="AN932" t="s">
        <v>933</v>
      </c>
      <c r="AO932" t="s">
        <v>9250</v>
      </c>
      <c r="AP932" t="s">
        <v>9251</v>
      </c>
      <c r="AQ932" t="s">
        <v>74</v>
      </c>
      <c r="AR932" t="s">
        <v>9252</v>
      </c>
      <c r="AS932" t="s">
        <v>9253</v>
      </c>
      <c r="AT932" t="s">
        <v>17151</v>
      </c>
      <c r="AU932">
        <v>2016</v>
      </c>
      <c r="AV932">
        <v>39</v>
      </c>
      <c r="AW932">
        <v>11</v>
      </c>
      <c r="AX932">
        <v>2</v>
      </c>
      <c r="AY932" t="s">
        <v>74</v>
      </c>
      <c r="AZ932" t="s">
        <v>270</v>
      </c>
      <c r="BA932" t="s">
        <v>74</v>
      </c>
      <c r="BB932">
        <v>1933</v>
      </c>
      <c r="BC932">
        <v>1956</v>
      </c>
      <c r="BD932" t="s">
        <v>74</v>
      </c>
      <c r="BE932" t="s">
        <v>17496</v>
      </c>
      <c r="BF932" t="str">
        <f>HYPERLINK("http://dx.doi.org/10.1007/s00300-015-1683-2","http://dx.doi.org/10.1007/s00300-015-1683-2")</f>
        <v>http://dx.doi.org/10.1007/s00300-015-1683-2</v>
      </c>
      <c r="BG932" t="s">
        <v>74</v>
      </c>
      <c r="BH932" t="s">
        <v>74</v>
      </c>
      <c r="BI932">
        <v>24</v>
      </c>
      <c r="BJ932" t="s">
        <v>5867</v>
      </c>
      <c r="BK932" t="s">
        <v>101</v>
      </c>
      <c r="BL932" t="s">
        <v>2257</v>
      </c>
      <c r="BM932" t="s">
        <v>17497</v>
      </c>
      <c r="BN932" t="s">
        <v>74</v>
      </c>
      <c r="BO932" t="s">
        <v>74</v>
      </c>
      <c r="BP932" t="s">
        <v>74</v>
      </c>
      <c r="BQ932" t="s">
        <v>74</v>
      </c>
      <c r="BR932" t="s">
        <v>105</v>
      </c>
      <c r="BS932" t="s">
        <v>17498</v>
      </c>
      <c r="BT932" t="str">
        <f>HYPERLINK("https%3A%2F%2Fwww.webofscience.com%2Fwos%2Fwoscc%2Ffull-record%2FWOS:000390030500002","View Full Record in Web of Science")</f>
        <v>View Full Record in Web of Science</v>
      </c>
    </row>
    <row r="933" spans="1:72" x14ac:dyDescent="0.15">
      <c r="A933" t="s">
        <v>72</v>
      </c>
      <c r="B933" t="s">
        <v>17499</v>
      </c>
      <c r="C933" t="s">
        <v>74</v>
      </c>
      <c r="D933" t="s">
        <v>74</v>
      </c>
      <c r="E933" t="s">
        <v>74</v>
      </c>
      <c r="F933" t="s">
        <v>17500</v>
      </c>
      <c r="G933" t="s">
        <v>74</v>
      </c>
      <c r="H933" t="s">
        <v>74</v>
      </c>
      <c r="I933" t="s">
        <v>17501</v>
      </c>
      <c r="J933" t="s">
        <v>9238</v>
      </c>
      <c r="K933" t="s">
        <v>74</v>
      </c>
      <c r="L933" t="s">
        <v>74</v>
      </c>
      <c r="M933" t="s">
        <v>78</v>
      </c>
      <c r="N933" t="s">
        <v>79</v>
      </c>
      <c r="O933" t="s">
        <v>74</v>
      </c>
      <c r="P933" t="s">
        <v>74</v>
      </c>
      <c r="Q933" t="s">
        <v>74</v>
      </c>
      <c r="R933" t="s">
        <v>74</v>
      </c>
      <c r="S933" t="s">
        <v>74</v>
      </c>
      <c r="T933" t="s">
        <v>17502</v>
      </c>
      <c r="U933" t="s">
        <v>17503</v>
      </c>
      <c r="V933" t="s">
        <v>17504</v>
      </c>
      <c r="W933" t="s">
        <v>17505</v>
      </c>
      <c r="X933" t="s">
        <v>17506</v>
      </c>
      <c r="Y933" t="s">
        <v>17507</v>
      </c>
      <c r="Z933" t="s">
        <v>17508</v>
      </c>
      <c r="AA933" t="s">
        <v>74</v>
      </c>
      <c r="AB933" t="s">
        <v>17509</v>
      </c>
      <c r="AC933" t="s">
        <v>17510</v>
      </c>
      <c r="AD933" t="s">
        <v>17511</v>
      </c>
      <c r="AE933" t="s">
        <v>17512</v>
      </c>
      <c r="AF933" t="s">
        <v>74</v>
      </c>
      <c r="AG933">
        <v>128</v>
      </c>
      <c r="AH933">
        <v>3</v>
      </c>
      <c r="AI933">
        <v>3</v>
      </c>
      <c r="AJ933">
        <v>0</v>
      </c>
      <c r="AK933">
        <v>27</v>
      </c>
      <c r="AL933" t="s">
        <v>211</v>
      </c>
      <c r="AM933" t="s">
        <v>187</v>
      </c>
      <c r="AN933" t="s">
        <v>933</v>
      </c>
      <c r="AO933" t="s">
        <v>9250</v>
      </c>
      <c r="AP933" t="s">
        <v>9251</v>
      </c>
      <c r="AQ933" t="s">
        <v>74</v>
      </c>
      <c r="AR933" t="s">
        <v>9252</v>
      </c>
      <c r="AS933" t="s">
        <v>9253</v>
      </c>
      <c r="AT933" t="s">
        <v>17151</v>
      </c>
      <c r="AU933">
        <v>2016</v>
      </c>
      <c r="AV933">
        <v>39</v>
      </c>
      <c r="AW933">
        <v>11</v>
      </c>
      <c r="AX933">
        <v>2</v>
      </c>
      <c r="AY933" t="s">
        <v>74</v>
      </c>
      <c r="AZ933" t="s">
        <v>270</v>
      </c>
      <c r="BA933" t="s">
        <v>74</v>
      </c>
      <c r="BB933">
        <v>2097</v>
      </c>
      <c r="BC933">
        <v>2113</v>
      </c>
      <c r="BD933" t="s">
        <v>74</v>
      </c>
      <c r="BE933" t="s">
        <v>17513</v>
      </c>
      <c r="BF933" t="str">
        <f>HYPERLINK("http://dx.doi.org/10.1007/s00300-016-1995-x","http://dx.doi.org/10.1007/s00300-016-1995-x")</f>
        <v>http://dx.doi.org/10.1007/s00300-016-1995-x</v>
      </c>
      <c r="BG933" t="s">
        <v>74</v>
      </c>
      <c r="BH933" t="s">
        <v>74</v>
      </c>
      <c r="BI933">
        <v>17</v>
      </c>
      <c r="BJ933" t="s">
        <v>5867</v>
      </c>
      <c r="BK933" t="s">
        <v>101</v>
      </c>
      <c r="BL933" t="s">
        <v>2257</v>
      </c>
      <c r="BM933" t="s">
        <v>17497</v>
      </c>
      <c r="BN933" t="s">
        <v>74</v>
      </c>
      <c r="BO933" t="s">
        <v>74</v>
      </c>
      <c r="BP933" t="s">
        <v>74</v>
      </c>
      <c r="BQ933" t="s">
        <v>74</v>
      </c>
      <c r="BR933" t="s">
        <v>105</v>
      </c>
      <c r="BS933" t="s">
        <v>17514</v>
      </c>
      <c r="BT933" t="str">
        <f>HYPERLINK("https%3A%2F%2Fwww.webofscience.com%2Fwos%2Fwoscc%2Ffull-record%2FWOS:000390030500013","View Full Record in Web of Science")</f>
        <v>View Full Record in Web of Science</v>
      </c>
    </row>
    <row r="934" spans="1:72" x14ac:dyDescent="0.15">
      <c r="A934" t="s">
        <v>72</v>
      </c>
      <c r="B934" t="s">
        <v>4778</v>
      </c>
      <c r="C934" t="s">
        <v>74</v>
      </c>
      <c r="D934" t="s">
        <v>74</v>
      </c>
      <c r="E934" t="s">
        <v>74</v>
      </c>
      <c r="F934" t="s">
        <v>4779</v>
      </c>
      <c r="G934" t="s">
        <v>74</v>
      </c>
      <c r="H934" t="s">
        <v>74</v>
      </c>
      <c r="I934" t="s">
        <v>17515</v>
      </c>
      <c r="J934" t="s">
        <v>17516</v>
      </c>
      <c r="K934" t="s">
        <v>74</v>
      </c>
      <c r="L934" t="s">
        <v>74</v>
      </c>
      <c r="M934" t="s">
        <v>78</v>
      </c>
      <c r="N934" t="s">
        <v>79</v>
      </c>
      <c r="O934" t="s">
        <v>74</v>
      </c>
      <c r="P934" t="s">
        <v>74</v>
      </c>
      <c r="Q934" t="s">
        <v>74</v>
      </c>
      <c r="R934" t="s">
        <v>74</v>
      </c>
      <c r="S934" t="s">
        <v>74</v>
      </c>
      <c r="T934" t="s">
        <v>74</v>
      </c>
      <c r="U934" t="s">
        <v>74</v>
      </c>
      <c r="V934" t="s">
        <v>17517</v>
      </c>
      <c r="W934" t="s">
        <v>17518</v>
      </c>
      <c r="X934" t="s">
        <v>4786</v>
      </c>
      <c r="Y934" t="s">
        <v>17519</v>
      </c>
      <c r="Z934" t="s">
        <v>17520</v>
      </c>
      <c r="AA934" t="s">
        <v>4789</v>
      </c>
      <c r="AB934" t="s">
        <v>74</v>
      </c>
      <c r="AC934" t="s">
        <v>74</v>
      </c>
      <c r="AD934" t="s">
        <v>74</v>
      </c>
      <c r="AE934" t="s">
        <v>74</v>
      </c>
      <c r="AF934" t="s">
        <v>74</v>
      </c>
      <c r="AG934">
        <v>59</v>
      </c>
      <c r="AH934">
        <v>22</v>
      </c>
      <c r="AI934">
        <v>25</v>
      </c>
      <c r="AJ934">
        <v>6</v>
      </c>
      <c r="AK934">
        <v>19</v>
      </c>
      <c r="AL934" t="s">
        <v>2377</v>
      </c>
      <c r="AM934" t="s">
        <v>2378</v>
      </c>
      <c r="AN934" t="s">
        <v>2379</v>
      </c>
      <c r="AO934" t="s">
        <v>17521</v>
      </c>
      <c r="AP934" t="s">
        <v>17522</v>
      </c>
      <c r="AQ934" t="s">
        <v>74</v>
      </c>
      <c r="AR934" t="s">
        <v>17523</v>
      </c>
      <c r="AS934" t="s">
        <v>17524</v>
      </c>
      <c r="AT934" t="s">
        <v>17151</v>
      </c>
      <c r="AU934">
        <v>2016</v>
      </c>
      <c r="AV934">
        <v>25</v>
      </c>
      <c r="AW934">
        <v>3</v>
      </c>
      <c r="AX934" t="s">
        <v>74</v>
      </c>
      <c r="AY934" t="s">
        <v>74</v>
      </c>
      <c r="AZ934" t="s">
        <v>74</v>
      </c>
      <c r="BA934" t="s">
        <v>74</v>
      </c>
      <c r="BB934">
        <v>277</v>
      </c>
      <c r="BC934">
        <v>290</v>
      </c>
      <c r="BD934" t="s">
        <v>74</v>
      </c>
      <c r="BE934" t="s">
        <v>17525</v>
      </c>
      <c r="BF934" t="str">
        <f>HYPERLINK("http://dx.doi.org/10.1111/reel.12165","http://dx.doi.org/10.1111/reel.12165")</f>
        <v>http://dx.doi.org/10.1111/reel.12165</v>
      </c>
      <c r="BG934" t="s">
        <v>74</v>
      </c>
      <c r="BH934" t="s">
        <v>74</v>
      </c>
      <c r="BI934">
        <v>14</v>
      </c>
      <c r="BJ934" t="s">
        <v>11391</v>
      </c>
      <c r="BK934" t="s">
        <v>1918</v>
      </c>
      <c r="BL934" t="s">
        <v>11392</v>
      </c>
      <c r="BM934" t="s">
        <v>17526</v>
      </c>
      <c r="BN934" t="s">
        <v>74</v>
      </c>
      <c r="BO934" t="s">
        <v>74</v>
      </c>
      <c r="BP934" t="s">
        <v>74</v>
      </c>
      <c r="BQ934" t="s">
        <v>74</v>
      </c>
      <c r="BR934" t="s">
        <v>105</v>
      </c>
      <c r="BS934" t="s">
        <v>17527</v>
      </c>
      <c r="BT934" t="str">
        <f>HYPERLINK("https%3A%2F%2Fwww.webofscience.com%2Fwos%2Fwoscc%2Ffull-record%2FWOS:000390329100002","View Full Record in Web of Science")</f>
        <v>View Full Record in Web of Science</v>
      </c>
    </row>
    <row r="935" spans="1:72" x14ac:dyDescent="0.15">
      <c r="A935" t="s">
        <v>72</v>
      </c>
      <c r="B935" t="s">
        <v>17528</v>
      </c>
      <c r="C935" t="s">
        <v>74</v>
      </c>
      <c r="D935" t="s">
        <v>74</v>
      </c>
      <c r="E935" t="s">
        <v>74</v>
      </c>
      <c r="F935" t="s">
        <v>17529</v>
      </c>
      <c r="G935" t="s">
        <v>74</v>
      </c>
      <c r="H935" t="s">
        <v>74</v>
      </c>
      <c r="I935" t="s">
        <v>17530</v>
      </c>
      <c r="J935" t="s">
        <v>17516</v>
      </c>
      <c r="K935" t="s">
        <v>74</v>
      </c>
      <c r="L935" t="s">
        <v>74</v>
      </c>
      <c r="M935" t="s">
        <v>78</v>
      </c>
      <c r="N935" t="s">
        <v>17531</v>
      </c>
      <c r="O935" t="s">
        <v>74</v>
      </c>
      <c r="P935" t="s">
        <v>74</v>
      </c>
      <c r="Q935" t="s">
        <v>74</v>
      </c>
      <c r="R935" t="s">
        <v>74</v>
      </c>
      <c r="S935" t="s">
        <v>74</v>
      </c>
      <c r="T935" t="s">
        <v>74</v>
      </c>
      <c r="U935" t="s">
        <v>74</v>
      </c>
      <c r="V935" t="s">
        <v>74</v>
      </c>
      <c r="W935" t="s">
        <v>17532</v>
      </c>
      <c r="X935" t="s">
        <v>4786</v>
      </c>
      <c r="Y935" t="s">
        <v>17533</v>
      </c>
      <c r="Z935" t="s">
        <v>74</v>
      </c>
      <c r="AA935" t="s">
        <v>17534</v>
      </c>
      <c r="AB935" t="s">
        <v>17535</v>
      </c>
      <c r="AC935" t="s">
        <v>74</v>
      </c>
      <c r="AD935" t="s">
        <v>74</v>
      </c>
      <c r="AE935" t="s">
        <v>74</v>
      </c>
      <c r="AF935" t="s">
        <v>74</v>
      </c>
      <c r="AG935">
        <v>1</v>
      </c>
      <c r="AH935">
        <v>0</v>
      </c>
      <c r="AI935">
        <v>0</v>
      </c>
      <c r="AJ935">
        <v>0</v>
      </c>
      <c r="AK935">
        <v>4</v>
      </c>
      <c r="AL935" t="s">
        <v>2377</v>
      </c>
      <c r="AM935" t="s">
        <v>2378</v>
      </c>
      <c r="AN935" t="s">
        <v>2379</v>
      </c>
      <c r="AO935" t="s">
        <v>17521</v>
      </c>
      <c r="AP935" t="s">
        <v>17522</v>
      </c>
      <c r="AQ935" t="s">
        <v>74</v>
      </c>
      <c r="AR935" t="s">
        <v>17523</v>
      </c>
      <c r="AS935" t="s">
        <v>17524</v>
      </c>
      <c r="AT935" t="s">
        <v>17151</v>
      </c>
      <c r="AU935">
        <v>2016</v>
      </c>
      <c r="AV935">
        <v>25</v>
      </c>
      <c r="AW935">
        <v>3</v>
      </c>
      <c r="AX935" t="s">
        <v>74</v>
      </c>
      <c r="AY935" t="s">
        <v>74</v>
      </c>
      <c r="AZ935" t="s">
        <v>74</v>
      </c>
      <c r="BA935" t="s">
        <v>74</v>
      </c>
      <c r="BB935">
        <v>395</v>
      </c>
      <c r="BC935">
        <v>397</v>
      </c>
      <c r="BD935" t="s">
        <v>74</v>
      </c>
      <c r="BE935" t="s">
        <v>17536</v>
      </c>
      <c r="BF935" t="str">
        <f>HYPERLINK("http://dx.doi.org/10.1111/reel.12180","http://dx.doi.org/10.1111/reel.12180")</f>
        <v>http://dx.doi.org/10.1111/reel.12180</v>
      </c>
      <c r="BG935" t="s">
        <v>74</v>
      </c>
      <c r="BH935" t="s">
        <v>74</v>
      </c>
      <c r="BI935">
        <v>3</v>
      </c>
      <c r="BJ935" t="s">
        <v>11391</v>
      </c>
      <c r="BK935" t="s">
        <v>1918</v>
      </c>
      <c r="BL935" t="s">
        <v>11392</v>
      </c>
      <c r="BM935" t="s">
        <v>17526</v>
      </c>
      <c r="BN935" t="s">
        <v>74</v>
      </c>
      <c r="BO935" t="s">
        <v>74</v>
      </c>
      <c r="BP935" t="s">
        <v>74</v>
      </c>
      <c r="BQ935" t="s">
        <v>74</v>
      </c>
      <c r="BR935" t="s">
        <v>105</v>
      </c>
      <c r="BS935" t="s">
        <v>17537</v>
      </c>
      <c r="BT935" t="str">
        <f>HYPERLINK("https%3A%2F%2Fwww.webofscience.com%2Fwos%2Fwoscc%2Ffull-record%2FWOS:000390329100010","View Full Record in Web of Science")</f>
        <v>View Full Record in Web of Science</v>
      </c>
    </row>
    <row r="936" spans="1:72" x14ac:dyDescent="0.15">
      <c r="A936" t="s">
        <v>72</v>
      </c>
      <c r="B936" t="s">
        <v>17538</v>
      </c>
      <c r="C936" t="s">
        <v>74</v>
      </c>
      <c r="D936" t="s">
        <v>74</v>
      </c>
      <c r="E936" t="s">
        <v>74</v>
      </c>
      <c r="F936" t="s">
        <v>17539</v>
      </c>
      <c r="G936" t="s">
        <v>74</v>
      </c>
      <c r="H936" t="s">
        <v>74</v>
      </c>
      <c r="I936" t="s">
        <v>17540</v>
      </c>
      <c r="J936" t="s">
        <v>17541</v>
      </c>
      <c r="K936" t="s">
        <v>74</v>
      </c>
      <c r="L936" t="s">
        <v>74</v>
      </c>
      <c r="M936" t="s">
        <v>78</v>
      </c>
      <c r="N936" t="s">
        <v>79</v>
      </c>
      <c r="O936" t="s">
        <v>74</v>
      </c>
      <c r="P936" t="s">
        <v>74</v>
      </c>
      <c r="Q936" t="s">
        <v>74</v>
      </c>
      <c r="R936" t="s">
        <v>74</v>
      </c>
      <c r="S936" t="s">
        <v>74</v>
      </c>
      <c r="T936" t="s">
        <v>17542</v>
      </c>
      <c r="U936" t="s">
        <v>17543</v>
      </c>
      <c r="V936" t="s">
        <v>17544</v>
      </c>
      <c r="W936" t="s">
        <v>17545</v>
      </c>
      <c r="X936" t="s">
        <v>17546</v>
      </c>
      <c r="Y936" t="s">
        <v>17547</v>
      </c>
      <c r="Z936" t="s">
        <v>17548</v>
      </c>
      <c r="AA936" t="s">
        <v>74</v>
      </c>
      <c r="AB936" t="s">
        <v>17549</v>
      </c>
      <c r="AC936" t="s">
        <v>17550</v>
      </c>
      <c r="AD936" t="s">
        <v>17551</v>
      </c>
      <c r="AE936" t="s">
        <v>17552</v>
      </c>
      <c r="AF936" t="s">
        <v>74</v>
      </c>
      <c r="AG936">
        <v>41</v>
      </c>
      <c r="AH936">
        <v>4</v>
      </c>
      <c r="AI936">
        <v>4</v>
      </c>
      <c r="AJ936">
        <v>4</v>
      </c>
      <c r="AK936">
        <v>14</v>
      </c>
      <c r="AL936" t="s">
        <v>17553</v>
      </c>
      <c r="AM936" t="s">
        <v>13745</v>
      </c>
      <c r="AN936" t="s">
        <v>17554</v>
      </c>
      <c r="AO936" t="s">
        <v>17555</v>
      </c>
      <c r="AP936" t="s">
        <v>17556</v>
      </c>
      <c r="AQ936" t="s">
        <v>74</v>
      </c>
      <c r="AR936" t="s">
        <v>17557</v>
      </c>
      <c r="AS936" t="s">
        <v>17558</v>
      </c>
      <c r="AT936" t="s">
        <v>17151</v>
      </c>
      <c r="AU936">
        <v>2016</v>
      </c>
      <c r="AV936">
        <v>52</v>
      </c>
      <c r="AW936">
        <v>5</v>
      </c>
      <c r="AX936" t="s">
        <v>74</v>
      </c>
      <c r="AY936" t="s">
        <v>74</v>
      </c>
      <c r="AZ936" t="s">
        <v>74</v>
      </c>
      <c r="BA936" t="s">
        <v>74</v>
      </c>
      <c r="BB936">
        <v>479</v>
      </c>
      <c r="BC936">
        <v>494</v>
      </c>
      <c r="BD936" t="s">
        <v>74</v>
      </c>
      <c r="BE936" t="s">
        <v>17559</v>
      </c>
      <c r="BF936" t="str">
        <f>HYPERLINK("http://dx.doi.org/10.1007/s13143-016-0032-x","http://dx.doi.org/10.1007/s13143-016-0032-x")</f>
        <v>http://dx.doi.org/10.1007/s13143-016-0032-x</v>
      </c>
      <c r="BG936" t="s">
        <v>74</v>
      </c>
      <c r="BH936" t="s">
        <v>74</v>
      </c>
      <c r="BI936">
        <v>16</v>
      </c>
      <c r="BJ936" t="s">
        <v>747</v>
      </c>
      <c r="BK936" t="s">
        <v>101</v>
      </c>
      <c r="BL936" t="s">
        <v>747</v>
      </c>
      <c r="BM936" t="s">
        <v>17560</v>
      </c>
      <c r="BN936" t="s">
        <v>74</v>
      </c>
      <c r="BO936" t="s">
        <v>74</v>
      </c>
      <c r="BP936" t="s">
        <v>74</v>
      </c>
      <c r="BQ936" t="s">
        <v>74</v>
      </c>
      <c r="BR936" t="s">
        <v>105</v>
      </c>
      <c r="BS936" t="s">
        <v>17561</v>
      </c>
      <c r="BT936" t="str">
        <f>HYPERLINK("https%3A%2F%2Fwww.webofscience.com%2Fwos%2Fwoscc%2Ffull-record%2FWOS:000389904700006","View Full Record in Web of Science")</f>
        <v>View Full Record in Web of Science</v>
      </c>
    </row>
    <row r="937" spans="1:72" x14ac:dyDescent="0.15">
      <c r="A937" t="s">
        <v>72</v>
      </c>
      <c r="B937" t="s">
        <v>17562</v>
      </c>
      <c r="C937" t="s">
        <v>74</v>
      </c>
      <c r="D937" t="s">
        <v>74</v>
      </c>
      <c r="E937" t="s">
        <v>74</v>
      </c>
      <c r="F937" t="s">
        <v>17563</v>
      </c>
      <c r="G937" t="s">
        <v>74</v>
      </c>
      <c r="H937" t="s">
        <v>74</v>
      </c>
      <c r="I937" t="s">
        <v>17564</v>
      </c>
      <c r="J937" t="s">
        <v>2145</v>
      </c>
      <c r="K937" t="s">
        <v>74</v>
      </c>
      <c r="L937" t="s">
        <v>74</v>
      </c>
      <c r="M937" t="s">
        <v>78</v>
      </c>
      <c r="N937" t="s">
        <v>79</v>
      </c>
      <c r="O937" t="s">
        <v>74</v>
      </c>
      <c r="P937" t="s">
        <v>74</v>
      </c>
      <c r="Q937" t="s">
        <v>74</v>
      </c>
      <c r="R937" t="s">
        <v>74</v>
      </c>
      <c r="S937" t="s">
        <v>74</v>
      </c>
      <c r="T937" t="s">
        <v>17565</v>
      </c>
      <c r="U937" t="s">
        <v>17566</v>
      </c>
      <c r="V937" t="s">
        <v>17567</v>
      </c>
      <c r="W937" t="s">
        <v>17568</v>
      </c>
      <c r="X937" t="s">
        <v>17569</v>
      </c>
      <c r="Y937" t="s">
        <v>17570</v>
      </c>
      <c r="Z937" t="s">
        <v>17571</v>
      </c>
      <c r="AA937" t="s">
        <v>17572</v>
      </c>
      <c r="AB937" t="s">
        <v>17573</v>
      </c>
      <c r="AC937" t="s">
        <v>17574</v>
      </c>
      <c r="AD937" t="s">
        <v>17575</v>
      </c>
      <c r="AE937" t="s">
        <v>17576</v>
      </c>
      <c r="AF937" t="s">
        <v>74</v>
      </c>
      <c r="AG937">
        <v>38</v>
      </c>
      <c r="AH937">
        <v>19</v>
      </c>
      <c r="AI937">
        <v>19</v>
      </c>
      <c r="AJ937">
        <v>1</v>
      </c>
      <c r="AK937">
        <v>12</v>
      </c>
      <c r="AL937" t="s">
        <v>291</v>
      </c>
      <c r="AM937" t="s">
        <v>292</v>
      </c>
      <c r="AN937" t="s">
        <v>293</v>
      </c>
      <c r="AO937" t="s">
        <v>2158</v>
      </c>
      <c r="AP937" t="s">
        <v>2159</v>
      </c>
      <c r="AQ937" t="s">
        <v>74</v>
      </c>
      <c r="AR937" t="s">
        <v>2160</v>
      </c>
      <c r="AS937" t="s">
        <v>2161</v>
      </c>
      <c r="AT937" t="s">
        <v>17577</v>
      </c>
      <c r="AU937">
        <v>2016</v>
      </c>
      <c r="AV937">
        <v>130</v>
      </c>
      <c r="AW937" t="s">
        <v>74</v>
      </c>
      <c r="AX937" t="s">
        <v>74</v>
      </c>
      <c r="AY937" t="s">
        <v>74</v>
      </c>
      <c r="AZ937" t="s">
        <v>74</v>
      </c>
      <c r="BA937" t="s">
        <v>74</v>
      </c>
      <c r="BB937">
        <v>14</v>
      </c>
      <c r="BC937">
        <v>33</v>
      </c>
      <c r="BD937" t="s">
        <v>74</v>
      </c>
      <c r="BE937" t="s">
        <v>17578</v>
      </c>
      <c r="BF937" t="str">
        <f>HYPERLINK("http://dx.doi.org/10.1016/j.csr.2016.10.005","http://dx.doi.org/10.1016/j.csr.2016.10.005")</f>
        <v>http://dx.doi.org/10.1016/j.csr.2016.10.005</v>
      </c>
      <c r="BG937" t="s">
        <v>74</v>
      </c>
      <c r="BH937" t="s">
        <v>74</v>
      </c>
      <c r="BI937">
        <v>20</v>
      </c>
      <c r="BJ937" t="s">
        <v>2164</v>
      </c>
      <c r="BK937" t="s">
        <v>101</v>
      </c>
      <c r="BL937" t="s">
        <v>2164</v>
      </c>
      <c r="BM937" t="s">
        <v>17579</v>
      </c>
      <c r="BN937" t="s">
        <v>74</v>
      </c>
      <c r="BO937" t="s">
        <v>301</v>
      </c>
      <c r="BP937" t="s">
        <v>74</v>
      </c>
      <c r="BQ937" t="s">
        <v>74</v>
      </c>
      <c r="BR937" t="s">
        <v>105</v>
      </c>
      <c r="BS937" t="s">
        <v>17580</v>
      </c>
      <c r="BT937" t="str">
        <f>HYPERLINK("https%3A%2F%2Fwww.webofscience.com%2Fwos%2Fwoscc%2Ffull-record%2FWOS:000389733300002","View Full Record in Web of Science")</f>
        <v>View Full Record in Web of Science</v>
      </c>
    </row>
    <row r="938" spans="1:72" x14ac:dyDescent="0.15">
      <c r="A938" t="s">
        <v>72</v>
      </c>
      <c r="B938" t="s">
        <v>17581</v>
      </c>
      <c r="C938" t="s">
        <v>74</v>
      </c>
      <c r="D938" t="s">
        <v>74</v>
      </c>
      <c r="E938" t="s">
        <v>74</v>
      </c>
      <c r="F938" t="s">
        <v>17582</v>
      </c>
      <c r="G938" t="s">
        <v>74</v>
      </c>
      <c r="H938" t="s">
        <v>74</v>
      </c>
      <c r="I938" t="s">
        <v>17583</v>
      </c>
      <c r="J938" t="s">
        <v>17584</v>
      </c>
      <c r="K938" t="s">
        <v>74</v>
      </c>
      <c r="L938" t="s">
        <v>74</v>
      </c>
      <c r="M938" t="s">
        <v>78</v>
      </c>
      <c r="N938" t="s">
        <v>79</v>
      </c>
      <c r="O938" t="s">
        <v>74</v>
      </c>
      <c r="P938" t="s">
        <v>74</v>
      </c>
      <c r="Q938" t="s">
        <v>74</v>
      </c>
      <c r="R938" t="s">
        <v>74</v>
      </c>
      <c r="S938" t="s">
        <v>74</v>
      </c>
      <c r="T938" t="s">
        <v>74</v>
      </c>
      <c r="U938" t="s">
        <v>17585</v>
      </c>
      <c r="V938" t="s">
        <v>17586</v>
      </c>
      <c r="W938" t="s">
        <v>17587</v>
      </c>
      <c r="X938" t="s">
        <v>17588</v>
      </c>
      <c r="Y938" t="s">
        <v>17589</v>
      </c>
      <c r="Z938" t="s">
        <v>17590</v>
      </c>
      <c r="AA938" t="s">
        <v>17591</v>
      </c>
      <c r="AB938" t="s">
        <v>14206</v>
      </c>
      <c r="AC938" t="s">
        <v>17592</v>
      </c>
      <c r="AD938" t="s">
        <v>17593</v>
      </c>
      <c r="AE938" t="s">
        <v>17594</v>
      </c>
      <c r="AF938" t="s">
        <v>74</v>
      </c>
      <c r="AG938">
        <v>37</v>
      </c>
      <c r="AH938">
        <v>21</v>
      </c>
      <c r="AI938">
        <v>23</v>
      </c>
      <c r="AJ938">
        <v>1</v>
      </c>
      <c r="AK938">
        <v>17</v>
      </c>
      <c r="AL938" t="s">
        <v>2603</v>
      </c>
      <c r="AM938" t="s">
        <v>2604</v>
      </c>
      <c r="AN938" t="s">
        <v>2605</v>
      </c>
      <c r="AO938" t="s">
        <v>17595</v>
      </c>
      <c r="AP938" t="s">
        <v>17596</v>
      </c>
      <c r="AQ938" t="s">
        <v>74</v>
      </c>
      <c r="AR938" t="s">
        <v>17597</v>
      </c>
      <c r="AS938" t="s">
        <v>17598</v>
      </c>
      <c r="AT938" t="s">
        <v>17151</v>
      </c>
      <c r="AU938">
        <v>2016</v>
      </c>
      <c r="AV938">
        <v>55</v>
      </c>
      <c r="AW938">
        <v>11</v>
      </c>
      <c r="AX938" t="s">
        <v>74</v>
      </c>
      <c r="AY938" t="s">
        <v>74</v>
      </c>
      <c r="AZ938" t="s">
        <v>74</v>
      </c>
      <c r="BA938" t="s">
        <v>74</v>
      </c>
      <c r="BB938">
        <v>2349</v>
      </c>
      <c r="BC938">
        <v>2367</v>
      </c>
      <c r="BD938" t="s">
        <v>74</v>
      </c>
      <c r="BE938" t="s">
        <v>17599</v>
      </c>
      <c r="BF938" t="str">
        <f>HYPERLINK("http://dx.doi.org/10.1175/JAMC-D-16-0032.1","http://dx.doi.org/10.1175/JAMC-D-16-0032.1")</f>
        <v>http://dx.doi.org/10.1175/JAMC-D-16-0032.1</v>
      </c>
      <c r="BG938" t="s">
        <v>74</v>
      </c>
      <c r="BH938" t="s">
        <v>74</v>
      </c>
      <c r="BI938">
        <v>19</v>
      </c>
      <c r="BJ938" t="s">
        <v>747</v>
      </c>
      <c r="BK938" t="s">
        <v>101</v>
      </c>
      <c r="BL938" t="s">
        <v>747</v>
      </c>
      <c r="BM938" t="s">
        <v>17600</v>
      </c>
      <c r="BN938" t="s">
        <v>74</v>
      </c>
      <c r="BO938" t="s">
        <v>74</v>
      </c>
      <c r="BP938" t="s">
        <v>74</v>
      </c>
      <c r="BQ938" t="s">
        <v>74</v>
      </c>
      <c r="BR938" t="s">
        <v>105</v>
      </c>
      <c r="BS938" t="s">
        <v>17601</v>
      </c>
      <c r="BT938" t="str">
        <f>HYPERLINK("https%3A%2F%2Fwww.webofscience.com%2Fwos%2Fwoscc%2Ffull-record%2FWOS:000389866800002","View Full Record in Web of Science")</f>
        <v>View Full Record in Web of Science</v>
      </c>
    </row>
    <row r="939" spans="1:72" x14ac:dyDescent="0.15">
      <c r="A939" t="s">
        <v>72</v>
      </c>
      <c r="B939" t="s">
        <v>17602</v>
      </c>
      <c r="C939" t="s">
        <v>74</v>
      </c>
      <c r="D939" t="s">
        <v>74</v>
      </c>
      <c r="E939" t="s">
        <v>74</v>
      </c>
      <c r="F939" t="s">
        <v>17603</v>
      </c>
      <c r="G939" t="s">
        <v>74</v>
      </c>
      <c r="H939" t="s">
        <v>74</v>
      </c>
      <c r="I939" t="s">
        <v>17604</v>
      </c>
      <c r="J939" t="s">
        <v>17605</v>
      </c>
      <c r="K939" t="s">
        <v>74</v>
      </c>
      <c r="L939" t="s">
        <v>74</v>
      </c>
      <c r="M939" t="s">
        <v>78</v>
      </c>
      <c r="N939" t="s">
        <v>79</v>
      </c>
      <c r="O939" t="s">
        <v>74</v>
      </c>
      <c r="P939" t="s">
        <v>74</v>
      </c>
      <c r="Q939" t="s">
        <v>74</v>
      </c>
      <c r="R939" t="s">
        <v>74</v>
      </c>
      <c r="S939" t="s">
        <v>74</v>
      </c>
      <c r="T939" t="s">
        <v>17606</v>
      </c>
      <c r="U939" t="s">
        <v>74</v>
      </c>
      <c r="V939" t="s">
        <v>17607</v>
      </c>
      <c r="W939" t="s">
        <v>17608</v>
      </c>
      <c r="X939" t="s">
        <v>17609</v>
      </c>
      <c r="Y939" t="s">
        <v>17610</v>
      </c>
      <c r="Z939" t="s">
        <v>17611</v>
      </c>
      <c r="AA939" t="s">
        <v>17612</v>
      </c>
      <c r="AB939" t="s">
        <v>17613</v>
      </c>
      <c r="AC939" t="s">
        <v>17614</v>
      </c>
      <c r="AD939" t="s">
        <v>17615</v>
      </c>
      <c r="AE939" t="s">
        <v>17616</v>
      </c>
      <c r="AF939" t="s">
        <v>74</v>
      </c>
      <c r="AG939">
        <v>10</v>
      </c>
      <c r="AH939">
        <v>2</v>
      </c>
      <c r="AI939">
        <v>4</v>
      </c>
      <c r="AJ939">
        <v>3</v>
      </c>
      <c r="AK939">
        <v>14</v>
      </c>
      <c r="AL939" t="s">
        <v>211</v>
      </c>
      <c r="AM939" t="s">
        <v>187</v>
      </c>
      <c r="AN939" t="s">
        <v>2131</v>
      </c>
      <c r="AO939" t="s">
        <v>17617</v>
      </c>
      <c r="AP939" t="s">
        <v>17618</v>
      </c>
      <c r="AQ939" t="s">
        <v>74</v>
      </c>
      <c r="AR939" t="s">
        <v>17619</v>
      </c>
      <c r="AS939" t="s">
        <v>17620</v>
      </c>
      <c r="AT939" t="s">
        <v>17151</v>
      </c>
      <c r="AU939">
        <v>2016</v>
      </c>
      <c r="AV939">
        <v>60</v>
      </c>
      <c r="AW939" t="s">
        <v>17621</v>
      </c>
      <c r="AX939" t="s">
        <v>74</v>
      </c>
      <c r="AY939" t="s">
        <v>74</v>
      </c>
      <c r="AZ939" t="s">
        <v>74</v>
      </c>
      <c r="BA939" t="s">
        <v>74</v>
      </c>
      <c r="BB939">
        <v>802</v>
      </c>
      <c r="BC939">
        <v>809</v>
      </c>
      <c r="BD939" t="s">
        <v>74</v>
      </c>
      <c r="BE939" t="s">
        <v>17622</v>
      </c>
      <c r="BF939" t="str">
        <f>HYPERLINK("http://dx.doi.org/10.1007/s11015-016-0369-5","http://dx.doi.org/10.1007/s11015-016-0369-5")</f>
        <v>http://dx.doi.org/10.1007/s11015-016-0369-5</v>
      </c>
      <c r="BG939" t="s">
        <v>74</v>
      </c>
      <c r="BH939" t="s">
        <v>74</v>
      </c>
      <c r="BI939">
        <v>8</v>
      </c>
      <c r="BJ939" t="s">
        <v>17623</v>
      </c>
      <c r="BK939" t="s">
        <v>101</v>
      </c>
      <c r="BL939" t="s">
        <v>17623</v>
      </c>
      <c r="BM939" t="s">
        <v>17624</v>
      </c>
      <c r="BN939" t="s">
        <v>74</v>
      </c>
      <c r="BO939" t="s">
        <v>74</v>
      </c>
      <c r="BP939" t="s">
        <v>74</v>
      </c>
      <c r="BQ939" t="s">
        <v>74</v>
      </c>
      <c r="BR939" t="s">
        <v>105</v>
      </c>
      <c r="BS939" t="s">
        <v>17625</v>
      </c>
      <c r="BT939" t="str">
        <f>HYPERLINK("https%3A%2F%2Fwww.webofscience.com%2Fwos%2Fwoscc%2Ffull-record%2FWOS:000390006000024","View Full Record in Web of Science")</f>
        <v>View Full Record in Web of Science</v>
      </c>
    </row>
    <row r="940" spans="1:72" x14ac:dyDescent="0.15">
      <c r="A940" t="s">
        <v>72</v>
      </c>
      <c r="B940" t="s">
        <v>17626</v>
      </c>
      <c r="C940" t="s">
        <v>74</v>
      </c>
      <c r="D940" t="s">
        <v>74</v>
      </c>
      <c r="E940" t="s">
        <v>74</v>
      </c>
      <c r="F940" t="s">
        <v>17627</v>
      </c>
      <c r="G940" t="s">
        <v>74</v>
      </c>
      <c r="H940" t="s">
        <v>74</v>
      </c>
      <c r="I940" t="s">
        <v>17628</v>
      </c>
      <c r="J940" t="s">
        <v>17629</v>
      </c>
      <c r="K940" t="s">
        <v>74</v>
      </c>
      <c r="L940" t="s">
        <v>74</v>
      </c>
      <c r="M940" t="s">
        <v>78</v>
      </c>
      <c r="N940" t="s">
        <v>79</v>
      </c>
      <c r="O940" t="s">
        <v>74</v>
      </c>
      <c r="P940" t="s">
        <v>74</v>
      </c>
      <c r="Q940" t="s">
        <v>74</v>
      </c>
      <c r="R940" t="s">
        <v>74</v>
      </c>
      <c r="S940" t="s">
        <v>74</v>
      </c>
      <c r="T940" t="s">
        <v>17630</v>
      </c>
      <c r="U940" t="s">
        <v>17631</v>
      </c>
      <c r="V940" t="s">
        <v>17632</v>
      </c>
      <c r="W940" t="s">
        <v>17633</v>
      </c>
      <c r="X940" t="s">
        <v>17634</v>
      </c>
      <c r="Y940" t="s">
        <v>17635</v>
      </c>
      <c r="Z940" t="s">
        <v>17636</v>
      </c>
      <c r="AA940" t="s">
        <v>17637</v>
      </c>
      <c r="AB940" t="s">
        <v>17638</v>
      </c>
      <c r="AC940" t="s">
        <v>17639</v>
      </c>
      <c r="AD940" t="s">
        <v>17639</v>
      </c>
      <c r="AE940" t="s">
        <v>17640</v>
      </c>
      <c r="AF940" t="s">
        <v>74</v>
      </c>
      <c r="AG940">
        <v>22</v>
      </c>
      <c r="AH940">
        <v>15</v>
      </c>
      <c r="AI940">
        <v>15</v>
      </c>
      <c r="AJ940">
        <v>1</v>
      </c>
      <c r="AK940">
        <v>21</v>
      </c>
      <c r="AL940" t="s">
        <v>264</v>
      </c>
      <c r="AM940" t="s">
        <v>169</v>
      </c>
      <c r="AN940" t="s">
        <v>265</v>
      </c>
      <c r="AO940" t="s">
        <v>17641</v>
      </c>
      <c r="AP940" t="s">
        <v>17642</v>
      </c>
      <c r="AQ940" t="s">
        <v>74</v>
      </c>
      <c r="AR940" t="s">
        <v>17643</v>
      </c>
      <c r="AS940" t="s">
        <v>17644</v>
      </c>
      <c r="AT940" t="s">
        <v>17151</v>
      </c>
      <c r="AU940">
        <v>2016</v>
      </c>
      <c r="AV940">
        <v>104</v>
      </c>
      <c r="AW940" t="s">
        <v>74</v>
      </c>
      <c r="AX940" t="s">
        <v>2081</v>
      </c>
      <c r="AY940" t="s">
        <v>74</v>
      </c>
      <c r="AZ940" t="s">
        <v>74</v>
      </c>
      <c r="BA940" t="s">
        <v>74</v>
      </c>
      <c r="BB940">
        <v>196</v>
      </c>
      <c r="BC940">
        <v>208</v>
      </c>
      <c r="BD940" t="s">
        <v>74</v>
      </c>
      <c r="BE940" t="s">
        <v>17645</v>
      </c>
      <c r="BF940" t="str">
        <f>HYPERLINK("http://dx.doi.org/10.1016/j.psep.2016.08.017","http://dx.doi.org/10.1016/j.psep.2016.08.017")</f>
        <v>http://dx.doi.org/10.1016/j.psep.2016.08.017</v>
      </c>
      <c r="BG940" t="s">
        <v>74</v>
      </c>
      <c r="BH940" t="s">
        <v>74</v>
      </c>
      <c r="BI940">
        <v>13</v>
      </c>
      <c r="BJ940" t="s">
        <v>17646</v>
      </c>
      <c r="BK940" t="s">
        <v>101</v>
      </c>
      <c r="BL940" t="s">
        <v>3911</v>
      </c>
      <c r="BM940" t="s">
        <v>17647</v>
      </c>
      <c r="BN940" t="s">
        <v>74</v>
      </c>
      <c r="BO940" t="s">
        <v>1223</v>
      </c>
      <c r="BP940" t="s">
        <v>74</v>
      </c>
      <c r="BQ940" t="s">
        <v>74</v>
      </c>
      <c r="BR940" t="s">
        <v>105</v>
      </c>
      <c r="BS940" t="s">
        <v>17648</v>
      </c>
      <c r="BT940" t="str">
        <f>HYPERLINK("https%3A%2F%2Fwww.webofscience.com%2Fwos%2Fwoscc%2Ffull-record%2FWOS:000389389400015","View Full Record in Web of Science")</f>
        <v>View Full Record in Web of Science</v>
      </c>
    </row>
    <row r="941" spans="1:72" x14ac:dyDescent="0.15">
      <c r="A941" t="s">
        <v>72</v>
      </c>
      <c r="B941" t="s">
        <v>17649</v>
      </c>
      <c r="C941" t="s">
        <v>74</v>
      </c>
      <c r="D941" t="s">
        <v>74</v>
      </c>
      <c r="E941" t="s">
        <v>74</v>
      </c>
      <c r="F941" t="s">
        <v>17650</v>
      </c>
      <c r="G941" t="s">
        <v>74</v>
      </c>
      <c r="H941" t="s">
        <v>74</v>
      </c>
      <c r="I941" t="s">
        <v>17651</v>
      </c>
      <c r="J941" t="s">
        <v>13693</v>
      </c>
      <c r="K941" t="s">
        <v>74</v>
      </c>
      <c r="L941" t="s">
        <v>74</v>
      </c>
      <c r="M941" t="s">
        <v>78</v>
      </c>
      <c r="N941" t="s">
        <v>79</v>
      </c>
      <c r="O941" t="s">
        <v>74</v>
      </c>
      <c r="P941" t="s">
        <v>74</v>
      </c>
      <c r="Q941" t="s">
        <v>74</v>
      </c>
      <c r="R941" t="s">
        <v>74</v>
      </c>
      <c r="S941" t="s">
        <v>74</v>
      </c>
      <c r="T941" t="s">
        <v>17652</v>
      </c>
      <c r="U941" t="s">
        <v>17653</v>
      </c>
      <c r="V941" t="s">
        <v>17654</v>
      </c>
      <c r="W941" t="s">
        <v>17655</v>
      </c>
      <c r="X941" t="s">
        <v>17656</v>
      </c>
      <c r="Y941" t="s">
        <v>17657</v>
      </c>
      <c r="Z941" t="s">
        <v>17658</v>
      </c>
      <c r="AA941" t="s">
        <v>17659</v>
      </c>
      <c r="AB941" t="s">
        <v>74</v>
      </c>
      <c r="AC941" t="s">
        <v>17660</v>
      </c>
      <c r="AD941" t="s">
        <v>17661</v>
      </c>
      <c r="AE941" t="s">
        <v>17662</v>
      </c>
      <c r="AF941" t="s">
        <v>74</v>
      </c>
      <c r="AG941">
        <v>33</v>
      </c>
      <c r="AH941">
        <v>5</v>
      </c>
      <c r="AI941">
        <v>5</v>
      </c>
      <c r="AJ941">
        <v>2</v>
      </c>
      <c r="AK941">
        <v>31</v>
      </c>
      <c r="AL941" t="s">
        <v>13506</v>
      </c>
      <c r="AM941" t="s">
        <v>8533</v>
      </c>
      <c r="AN941" t="s">
        <v>8534</v>
      </c>
      <c r="AO941" t="s">
        <v>13706</v>
      </c>
      <c r="AP941" t="s">
        <v>74</v>
      </c>
      <c r="AQ941" t="s">
        <v>74</v>
      </c>
      <c r="AR941" t="s">
        <v>13707</v>
      </c>
      <c r="AS941" t="s">
        <v>13708</v>
      </c>
      <c r="AT941" t="s">
        <v>17151</v>
      </c>
      <c r="AU941">
        <v>2016</v>
      </c>
      <c r="AV941">
        <v>16</v>
      </c>
      <c r="AW941">
        <v>11</v>
      </c>
      <c r="AX941" t="s">
        <v>74</v>
      </c>
      <c r="AY941" t="s">
        <v>74</v>
      </c>
      <c r="AZ941" t="s">
        <v>74</v>
      </c>
      <c r="BA941" t="s">
        <v>74</v>
      </c>
      <c r="BB941" t="s">
        <v>74</v>
      </c>
      <c r="BC941" t="s">
        <v>74</v>
      </c>
      <c r="BD941">
        <v>1938</v>
      </c>
      <c r="BE941" t="s">
        <v>17663</v>
      </c>
      <c r="BF941" t="str">
        <f>HYPERLINK("http://dx.doi.org/10.3390/s16111938","http://dx.doi.org/10.3390/s16111938")</f>
        <v>http://dx.doi.org/10.3390/s16111938</v>
      </c>
      <c r="BG941" t="s">
        <v>74</v>
      </c>
      <c r="BH941" t="s">
        <v>74</v>
      </c>
      <c r="BI941">
        <v>14</v>
      </c>
      <c r="BJ941" t="s">
        <v>13710</v>
      </c>
      <c r="BK941" t="s">
        <v>101</v>
      </c>
      <c r="BL941" t="s">
        <v>13711</v>
      </c>
      <c r="BM941" t="s">
        <v>17664</v>
      </c>
      <c r="BN941" t="s">
        <v>74</v>
      </c>
      <c r="BO941" t="s">
        <v>3339</v>
      </c>
      <c r="BP941" t="s">
        <v>74</v>
      </c>
      <c r="BQ941" t="s">
        <v>74</v>
      </c>
      <c r="BR941" t="s">
        <v>105</v>
      </c>
      <c r="BS941" t="s">
        <v>17665</v>
      </c>
      <c r="BT941" t="str">
        <f>HYPERLINK("https%3A%2F%2Fwww.webofscience.com%2Fwos%2Fwoscc%2Ffull-record%2FWOS:000389641700171","View Full Record in Web of Science")</f>
        <v>View Full Record in Web of Science</v>
      </c>
    </row>
    <row r="942" spans="1:72" x14ac:dyDescent="0.15">
      <c r="A942" t="s">
        <v>72</v>
      </c>
      <c r="B942" t="s">
        <v>17666</v>
      </c>
      <c r="C942" t="s">
        <v>74</v>
      </c>
      <c r="D942" t="s">
        <v>74</v>
      </c>
      <c r="E942" t="s">
        <v>74</v>
      </c>
      <c r="F942" t="s">
        <v>17667</v>
      </c>
      <c r="G942" t="s">
        <v>74</v>
      </c>
      <c r="H942" t="s">
        <v>74</v>
      </c>
      <c r="I942" t="s">
        <v>17668</v>
      </c>
      <c r="J942" t="s">
        <v>17669</v>
      </c>
      <c r="K942" t="s">
        <v>74</v>
      </c>
      <c r="L942" t="s">
        <v>74</v>
      </c>
      <c r="M942" t="s">
        <v>78</v>
      </c>
      <c r="N942" t="s">
        <v>79</v>
      </c>
      <c r="O942" t="s">
        <v>74</v>
      </c>
      <c r="P942" t="s">
        <v>74</v>
      </c>
      <c r="Q942" t="s">
        <v>74</v>
      </c>
      <c r="R942" t="s">
        <v>74</v>
      </c>
      <c r="S942" t="s">
        <v>74</v>
      </c>
      <c r="T942" t="s">
        <v>74</v>
      </c>
      <c r="U942" t="s">
        <v>17670</v>
      </c>
      <c r="V942" t="s">
        <v>17671</v>
      </c>
      <c r="W942" t="s">
        <v>17672</v>
      </c>
      <c r="X942" t="s">
        <v>17673</v>
      </c>
      <c r="Y942" t="s">
        <v>17674</v>
      </c>
      <c r="Z942" t="s">
        <v>17675</v>
      </c>
      <c r="AA942" t="s">
        <v>17676</v>
      </c>
      <c r="AB942" t="s">
        <v>17677</v>
      </c>
      <c r="AC942" t="s">
        <v>17678</v>
      </c>
      <c r="AD942" t="s">
        <v>4160</v>
      </c>
      <c r="AE942" t="s">
        <v>17679</v>
      </c>
      <c r="AF942" t="s">
        <v>74</v>
      </c>
      <c r="AG942">
        <v>54</v>
      </c>
      <c r="AH942">
        <v>6</v>
      </c>
      <c r="AI942">
        <v>7</v>
      </c>
      <c r="AJ942">
        <v>0</v>
      </c>
      <c r="AK942">
        <v>24</v>
      </c>
      <c r="AL942" t="s">
        <v>1967</v>
      </c>
      <c r="AM942" t="s">
        <v>1910</v>
      </c>
      <c r="AN942" t="s">
        <v>1968</v>
      </c>
      <c r="AO942" t="s">
        <v>17680</v>
      </c>
      <c r="AP942" t="s">
        <v>17681</v>
      </c>
      <c r="AQ942" t="s">
        <v>74</v>
      </c>
      <c r="AR942" t="s">
        <v>17682</v>
      </c>
      <c r="AS942" t="s">
        <v>17683</v>
      </c>
      <c r="AT942" t="s">
        <v>17151</v>
      </c>
      <c r="AU942">
        <v>2016</v>
      </c>
      <c r="AV942">
        <v>48</v>
      </c>
      <c r="AW942">
        <v>4</v>
      </c>
      <c r="AX942" t="s">
        <v>74</v>
      </c>
      <c r="AY942" t="s">
        <v>74</v>
      </c>
      <c r="AZ942" t="s">
        <v>74</v>
      </c>
      <c r="BA942" t="s">
        <v>74</v>
      </c>
      <c r="BB942">
        <v>603</v>
      </c>
      <c r="BC942">
        <v>621</v>
      </c>
      <c r="BD942" t="s">
        <v>74</v>
      </c>
      <c r="BE942" t="s">
        <v>17684</v>
      </c>
      <c r="BF942" t="str">
        <f>HYPERLINK("http://dx.doi.org/10.1657/AAAR0015-048","http://dx.doi.org/10.1657/AAAR0015-048")</f>
        <v>http://dx.doi.org/10.1657/AAAR0015-048</v>
      </c>
      <c r="BG942" t="s">
        <v>74</v>
      </c>
      <c r="BH942" t="s">
        <v>74</v>
      </c>
      <c r="BI942">
        <v>19</v>
      </c>
      <c r="BJ942" t="s">
        <v>17685</v>
      </c>
      <c r="BK942" t="s">
        <v>101</v>
      </c>
      <c r="BL942" t="s">
        <v>15299</v>
      </c>
      <c r="BM942" t="s">
        <v>17686</v>
      </c>
      <c r="BN942" t="s">
        <v>74</v>
      </c>
      <c r="BO942" t="s">
        <v>1803</v>
      </c>
      <c r="BP942" t="s">
        <v>74</v>
      </c>
      <c r="BQ942" t="s">
        <v>74</v>
      </c>
      <c r="BR942" t="s">
        <v>105</v>
      </c>
      <c r="BS942" t="s">
        <v>17687</v>
      </c>
      <c r="BT942" t="str">
        <f>HYPERLINK("https%3A%2F%2Fwww.webofscience.com%2Fwos%2Fwoscc%2Ffull-record%2FWOS:000389317200001","View Full Record in Web of Science")</f>
        <v>View Full Record in Web of Science</v>
      </c>
    </row>
    <row r="943" spans="1:72" x14ac:dyDescent="0.15">
      <c r="A943" t="s">
        <v>72</v>
      </c>
      <c r="B943" t="s">
        <v>17688</v>
      </c>
      <c r="C943" t="s">
        <v>74</v>
      </c>
      <c r="D943" t="s">
        <v>74</v>
      </c>
      <c r="E943" t="s">
        <v>74</v>
      </c>
      <c r="F943" t="s">
        <v>17689</v>
      </c>
      <c r="G943" t="s">
        <v>74</v>
      </c>
      <c r="H943" t="s">
        <v>74</v>
      </c>
      <c r="I943" t="s">
        <v>17690</v>
      </c>
      <c r="J943" t="s">
        <v>17669</v>
      </c>
      <c r="K943" t="s">
        <v>74</v>
      </c>
      <c r="L943" t="s">
        <v>74</v>
      </c>
      <c r="M943" t="s">
        <v>78</v>
      </c>
      <c r="N943" t="s">
        <v>79</v>
      </c>
      <c r="O943" t="s">
        <v>74</v>
      </c>
      <c r="P943" t="s">
        <v>74</v>
      </c>
      <c r="Q943" t="s">
        <v>74</v>
      </c>
      <c r="R943" t="s">
        <v>74</v>
      </c>
      <c r="S943" t="s">
        <v>74</v>
      </c>
      <c r="T943" t="s">
        <v>74</v>
      </c>
      <c r="U943" t="s">
        <v>17691</v>
      </c>
      <c r="V943" t="s">
        <v>17692</v>
      </c>
      <c r="W943" t="s">
        <v>17693</v>
      </c>
      <c r="X943" t="s">
        <v>17694</v>
      </c>
      <c r="Y943" t="s">
        <v>17695</v>
      </c>
      <c r="Z943" t="s">
        <v>17696</v>
      </c>
      <c r="AA943" t="s">
        <v>17697</v>
      </c>
      <c r="AB943" t="s">
        <v>17698</v>
      </c>
      <c r="AC943" t="s">
        <v>17699</v>
      </c>
      <c r="AD943" t="s">
        <v>14046</v>
      </c>
      <c r="AE943" t="s">
        <v>17700</v>
      </c>
      <c r="AF943" t="s">
        <v>74</v>
      </c>
      <c r="AG943">
        <v>53</v>
      </c>
      <c r="AH943">
        <v>6</v>
      </c>
      <c r="AI943">
        <v>6</v>
      </c>
      <c r="AJ943">
        <v>0</v>
      </c>
      <c r="AK943">
        <v>4</v>
      </c>
      <c r="AL943" t="s">
        <v>1967</v>
      </c>
      <c r="AM943" t="s">
        <v>1910</v>
      </c>
      <c r="AN943" t="s">
        <v>1968</v>
      </c>
      <c r="AO943" t="s">
        <v>17680</v>
      </c>
      <c r="AP943" t="s">
        <v>17681</v>
      </c>
      <c r="AQ943" t="s">
        <v>74</v>
      </c>
      <c r="AR943" t="s">
        <v>17682</v>
      </c>
      <c r="AS943" t="s">
        <v>17683</v>
      </c>
      <c r="AT943" t="s">
        <v>17151</v>
      </c>
      <c r="AU943">
        <v>2016</v>
      </c>
      <c r="AV943">
        <v>48</v>
      </c>
      <c r="AW943">
        <v>4</v>
      </c>
      <c r="AX943" t="s">
        <v>74</v>
      </c>
      <c r="AY943" t="s">
        <v>74</v>
      </c>
      <c r="AZ943" t="s">
        <v>74</v>
      </c>
      <c r="BA943" t="s">
        <v>74</v>
      </c>
      <c r="BB943">
        <v>623</v>
      </c>
      <c r="BC943">
        <v>635</v>
      </c>
      <c r="BD943" t="s">
        <v>74</v>
      </c>
      <c r="BE943" t="s">
        <v>17701</v>
      </c>
      <c r="BF943" t="str">
        <f>HYPERLINK("http://dx.doi.org/10.1657/AAAR0015-073","http://dx.doi.org/10.1657/AAAR0015-073")</f>
        <v>http://dx.doi.org/10.1657/AAAR0015-073</v>
      </c>
      <c r="BG943" t="s">
        <v>74</v>
      </c>
      <c r="BH943" t="s">
        <v>74</v>
      </c>
      <c r="BI943">
        <v>13</v>
      </c>
      <c r="BJ943" t="s">
        <v>17685</v>
      </c>
      <c r="BK943" t="s">
        <v>101</v>
      </c>
      <c r="BL943" t="s">
        <v>15299</v>
      </c>
      <c r="BM943" t="s">
        <v>17686</v>
      </c>
      <c r="BN943" t="s">
        <v>74</v>
      </c>
      <c r="BO943" t="s">
        <v>11696</v>
      </c>
      <c r="BP943" t="s">
        <v>74</v>
      </c>
      <c r="BQ943" t="s">
        <v>74</v>
      </c>
      <c r="BR943" t="s">
        <v>105</v>
      </c>
      <c r="BS943" t="s">
        <v>17702</v>
      </c>
      <c r="BT943" t="str">
        <f>HYPERLINK("https%3A%2F%2Fwww.webofscience.com%2Fwos%2Fwoscc%2Ffull-record%2FWOS:000389317200002","View Full Record in Web of Science")</f>
        <v>View Full Record in Web of Science</v>
      </c>
    </row>
    <row r="944" spans="1:72" x14ac:dyDescent="0.15">
      <c r="A944" t="s">
        <v>72</v>
      </c>
      <c r="B944" t="s">
        <v>17703</v>
      </c>
      <c r="C944" t="s">
        <v>74</v>
      </c>
      <c r="D944" t="s">
        <v>74</v>
      </c>
      <c r="E944" t="s">
        <v>74</v>
      </c>
      <c r="F944" t="s">
        <v>17704</v>
      </c>
      <c r="G944" t="s">
        <v>74</v>
      </c>
      <c r="H944" t="s">
        <v>74</v>
      </c>
      <c r="I944" t="s">
        <v>17705</v>
      </c>
      <c r="J944" t="s">
        <v>17669</v>
      </c>
      <c r="K944" t="s">
        <v>74</v>
      </c>
      <c r="L944" t="s">
        <v>74</v>
      </c>
      <c r="M944" t="s">
        <v>78</v>
      </c>
      <c r="N944" t="s">
        <v>79</v>
      </c>
      <c r="O944" t="s">
        <v>74</v>
      </c>
      <c r="P944" t="s">
        <v>74</v>
      </c>
      <c r="Q944" t="s">
        <v>74</v>
      </c>
      <c r="R944" t="s">
        <v>74</v>
      </c>
      <c r="S944" t="s">
        <v>74</v>
      </c>
      <c r="T944" t="s">
        <v>74</v>
      </c>
      <c r="U944" t="s">
        <v>17706</v>
      </c>
      <c r="V944" t="s">
        <v>17707</v>
      </c>
      <c r="W944" t="s">
        <v>17708</v>
      </c>
      <c r="X944" t="s">
        <v>17709</v>
      </c>
      <c r="Y944" t="s">
        <v>17710</v>
      </c>
      <c r="Z944" t="s">
        <v>17711</v>
      </c>
      <c r="AA944" t="s">
        <v>74</v>
      </c>
      <c r="AB944" t="s">
        <v>74</v>
      </c>
      <c r="AC944" t="s">
        <v>17712</v>
      </c>
      <c r="AD944" t="s">
        <v>17713</v>
      </c>
      <c r="AE944" t="s">
        <v>17714</v>
      </c>
      <c r="AF944" t="s">
        <v>74</v>
      </c>
      <c r="AG944">
        <v>61</v>
      </c>
      <c r="AH944">
        <v>18</v>
      </c>
      <c r="AI944">
        <v>19</v>
      </c>
      <c r="AJ944">
        <v>4</v>
      </c>
      <c r="AK944">
        <v>25</v>
      </c>
      <c r="AL944" t="s">
        <v>17715</v>
      </c>
      <c r="AM944" t="s">
        <v>9475</v>
      </c>
      <c r="AN944" t="s">
        <v>17716</v>
      </c>
      <c r="AO944" t="s">
        <v>17680</v>
      </c>
      <c r="AP944" t="s">
        <v>17681</v>
      </c>
      <c r="AQ944" t="s">
        <v>74</v>
      </c>
      <c r="AR944" t="s">
        <v>17682</v>
      </c>
      <c r="AS944" t="s">
        <v>17683</v>
      </c>
      <c r="AT944" t="s">
        <v>17151</v>
      </c>
      <c r="AU944">
        <v>2016</v>
      </c>
      <c r="AV944">
        <v>48</v>
      </c>
      <c r="AW944">
        <v>4</v>
      </c>
      <c r="AX944" t="s">
        <v>74</v>
      </c>
      <c r="AY944" t="s">
        <v>74</v>
      </c>
      <c r="AZ944" t="s">
        <v>74</v>
      </c>
      <c r="BA944" t="s">
        <v>74</v>
      </c>
      <c r="BB944">
        <v>637</v>
      </c>
      <c r="BC944">
        <v>652</v>
      </c>
      <c r="BD944" t="s">
        <v>74</v>
      </c>
      <c r="BE944" t="s">
        <v>17717</v>
      </c>
      <c r="BF944" t="str">
        <f>HYPERLINK("http://dx.doi.org/10.1657/AAAR0015-056","http://dx.doi.org/10.1657/AAAR0015-056")</f>
        <v>http://dx.doi.org/10.1657/AAAR0015-056</v>
      </c>
      <c r="BG944" t="s">
        <v>74</v>
      </c>
      <c r="BH944" t="s">
        <v>74</v>
      </c>
      <c r="BI944">
        <v>16</v>
      </c>
      <c r="BJ944" t="s">
        <v>17685</v>
      </c>
      <c r="BK944" t="s">
        <v>101</v>
      </c>
      <c r="BL944" t="s">
        <v>15299</v>
      </c>
      <c r="BM944" t="s">
        <v>17686</v>
      </c>
      <c r="BN944" t="s">
        <v>74</v>
      </c>
      <c r="BO944" t="s">
        <v>1803</v>
      </c>
      <c r="BP944" t="s">
        <v>74</v>
      </c>
      <c r="BQ944" t="s">
        <v>74</v>
      </c>
      <c r="BR944" t="s">
        <v>105</v>
      </c>
      <c r="BS944" t="s">
        <v>17718</v>
      </c>
      <c r="BT944" t="str">
        <f>HYPERLINK("https%3A%2F%2Fwww.webofscience.com%2Fwos%2Fwoscc%2Ffull-record%2FWOS:000389317200003","View Full Record in Web of Science")</f>
        <v>View Full Record in Web of Science</v>
      </c>
    </row>
    <row r="945" spans="1:72" x14ac:dyDescent="0.15">
      <c r="A945" t="s">
        <v>72</v>
      </c>
      <c r="B945" t="s">
        <v>17719</v>
      </c>
      <c r="C945" t="s">
        <v>74</v>
      </c>
      <c r="D945" t="s">
        <v>74</v>
      </c>
      <c r="E945" t="s">
        <v>74</v>
      </c>
      <c r="F945" t="s">
        <v>17720</v>
      </c>
      <c r="G945" t="s">
        <v>74</v>
      </c>
      <c r="H945" t="s">
        <v>74</v>
      </c>
      <c r="I945" t="s">
        <v>17721</v>
      </c>
      <c r="J945" t="s">
        <v>17669</v>
      </c>
      <c r="K945" t="s">
        <v>74</v>
      </c>
      <c r="L945" t="s">
        <v>74</v>
      </c>
      <c r="M945" t="s">
        <v>78</v>
      </c>
      <c r="N945" t="s">
        <v>79</v>
      </c>
      <c r="O945" t="s">
        <v>74</v>
      </c>
      <c r="P945" t="s">
        <v>74</v>
      </c>
      <c r="Q945" t="s">
        <v>74</v>
      </c>
      <c r="R945" t="s">
        <v>74</v>
      </c>
      <c r="S945" t="s">
        <v>74</v>
      </c>
      <c r="T945" t="s">
        <v>74</v>
      </c>
      <c r="U945" t="s">
        <v>17722</v>
      </c>
      <c r="V945" t="s">
        <v>17723</v>
      </c>
      <c r="W945" t="s">
        <v>17724</v>
      </c>
      <c r="X945" t="s">
        <v>17725</v>
      </c>
      <c r="Y945" t="s">
        <v>17726</v>
      </c>
      <c r="Z945" t="s">
        <v>17727</v>
      </c>
      <c r="AA945" t="s">
        <v>17728</v>
      </c>
      <c r="AB945" t="s">
        <v>17729</v>
      </c>
      <c r="AC945" t="s">
        <v>17730</v>
      </c>
      <c r="AD945" t="s">
        <v>17730</v>
      </c>
      <c r="AE945" t="s">
        <v>17731</v>
      </c>
      <c r="AF945" t="s">
        <v>74</v>
      </c>
      <c r="AG945">
        <v>71</v>
      </c>
      <c r="AH945">
        <v>43</v>
      </c>
      <c r="AI945">
        <v>43</v>
      </c>
      <c r="AJ945">
        <v>0</v>
      </c>
      <c r="AK945">
        <v>16</v>
      </c>
      <c r="AL945" t="s">
        <v>1967</v>
      </c>
      <c r="AM945" t="s">
        <v>1910</v>
      </c>
      <c r="AN945" t="s">
        <v>1968</v>
      </c>
      <c r="AO945" t="s">
        <v>17680</v>
      </c>
      <c r="AP945" t="s">
        <v>17681</v>
      </c>
      <c r="AQ945" t="s">
        <v>74</v>
      </c>
      <c r="AR945" t="s">
        <v>17682</v>
      </c>
      <c r="AS945" t="s">
        <v>17683</v>
      </c>
      <c r="AT945" t="s">
        <v>17151</v>
      </c>
      <c r="AU945">
        <v>2016</v>
      </c>
      <c r="AV945">
        <v>48</v>
      </c>
      <c r="AW945">
        <v>4</v>
      </c>
      <c r="AX945" t="s">
        <v>74</v>
      </c>
      <c r="AY945" t="s">
        <v>74</v>
      </c>
      <c r="AZ945" t="s">
        <v>74</v>
      </c>
      <c r="BA945" t="s">
        <v>74</v>
      </c>
      <c r="BB945">
        <v>653</v>
      </c>
      <c r="BC945">
        <v>671</v>
      </c>
      <c r="BD945" t="s">
        <v>74</v>
      </c>
      <c r="BE945" t="s">
        <v>17732</v>
      </c>
      <c r="BF945" t="str">
        <f>HYPERLINK("http://dx.doi.org/10.1657/AAAR0016-028","http://dx.doi.org/10.1657/AAAR0016-028")</f>
        <v>http://dx.doi.org/10.1657/AAAR0016-028</v>
      </c>
      <c r="BG945" t="s">
        <v>74</v>
      </c>
      <c r="BH945" t="s">
        <v>74</v>
      </c>
      <c r="BI945">
        <v>19</v>
      </c>
      <c r="BJ945" t="s">
        <v>17685</v>
      </c>
      <c r="BK945" t="s">
        <v>101</v>
      </c>
      <c r="BL945" t="s">
        <v>15299</v>
      </c>
      <c r="BM945" t="s">
        <v>17686</v>
      </c>
      <c r="BN945" t="s">
        <v>74</v>
      </c>
      <c r="BO945" t="s">
        <v>11696</v>
      </c>
      <c r="BP945" t="s">
        <v>74</v>
      </c>
      <c r="BQ945" t="s">
        <v>74</v>
      </c>
      <c r="BR945" t="s">
        <v>105</v>
      </c>
      <c r="BS945" t="s">
        <v>17733</v>
      </c>
      <c r="BT945" t="str">
        <f>HYPERLINK("https%3A%2F%2Fwww.webofscience.com%2Fwos%2Fwoscc%2Ffull-record%2FWOS:000389317200004","View Full Record in Web of Science")</f>
        <v>View Full Record in Web of Science</v>
      </c>
    </row>
    <row r="946" spans="1:72" x14ac:dyDescent="0.15">
      <c r="A946" t="s">
        <v>72</v>
      </c>
      <c r="B946" t="s">
        <v>17734</v>
      </c>
      <c r="C946" t="s">
        <v>74</v>
      </c>
      <c r="D946" t="s">
        <v>74</v>
      </c>
      <c r="E946" t="s">
        <v>74</v>
      </c>
      <c r="F946" t="s">
        <v>17735</v>
      </c>
      <c r="G946" t="s">
        <v>74</v>
      </c>
      <c r="H946" t="s">
        <v>74</v>
      </c>
      <c r="I946" t="s">
        <v>17736</v>
      </c>
      <c r="J946" t="s">
        <v>17669</v>
      </c>
      <c r="K946" t="s">
        <v>74</v>
      </c>
      <c r="L946" t="s">
        <v>74</v>
      </c>
      <c r="M946" t="s">
        <v>78</v>
      </c>
      <c r="N946" t="s">
        <v>79</v>
      </c>
      <c r="O946" t="s">
        <v>74</v>
      </c>
      <c r="P946" t="s">
        <v>74</v>
      </c>
      <c r="Q946" t="s">
        <v>74</v>
      </c>
      <c r="R946" t="s">
        <v>74</v>
      </c>
      <c r="S946" t="s">
        <v>74</v>
      </c>
      <c r="T946" t="s">
        <v>74</v>
      </c>
      <c r="U946" t="s">
        <v>17737</v>
      </c>
      <c r="V946" t="s">
        <v>17738</v>
      </c>
      <c r="W946" t="s">
        <v>17739</v>
      </c>
      <c r="X946" t="s">
        <v>17740</v>
      </c>
      <c r="Y946" t="s">
        <v>17741</v>
      </c>
      <c r="Z946" t="s">
        <v>17742</v>
      </c>
      <c r="AA946" t="s">
        <v>17743</v>
      </c>
      <c r="AB946" t="s">
        <v>17744</v>
      </c>
      <c r="AC946" t="s">
        <v>17745</v>
      </c>
      <c r="AD946" t="s">
        <v>17746</v>
      </c>
      <c r="AE946" t="s">
        <v>17747</v>
      </c>
      <c r="AF946" t="s">
        <v>74</v>
      </c>
      <c r="AG946">
        <v>49</v>
      </c>
      <c r="AH946">
        <v>6</v>
      </c>
      <c r="AI946">
        <v>7</v>
      </c>
      <c r="AJ946">
        <v>3</v>
      </c>
      <c r="AK946">
        <v>37</v>
      </c>
      <c r="AL946" t="s">
        <v>1967</v>
      </c>
      <c r="AM946" t="s">
        <v>1910</v>
      </c>
      <c r="AN946" t="s">
        <v>1968</v>
      </c>
      <c r="AO946" t="s">
        <v>17680</v>
      </c>
      <c r="AP946" t="s">
        <v>17681</v>
      </c>
      <c r="AQ946" t="s">
        <v>74</v>
      </c>
      <c r="AR946" t="s">
        <v>17682</v>
      </c>
      <c r="AS946" t="s">
        <v>17683</v>
      </c>
      <c r="AT946" t="s">
        <v>17151</v>
      </c>
      <c r="AU946">
        <v>2016</v>
      </c>
      <c r="AV946">
        <v>48</v>
      </c>
      <c r="AW946">
        <v>4</v>
      </c>
      <c r="AX946" t="s">
        <v>74</v>
      </c>
      <c r="AY946" t="s">
        <v>74</v>
      </c>
      <c r="AZ946" t="s">
        <v>74</v>
      </c>
      <c r="BA946" t="s">
        <v>74</v>
      </c>
      <c r="BB946">
        <v>723</v>
      </c>
      <c r="BC946">
        <v>738</v>
      </c>
      <c r="BD946" t="s">
        <v>74</v>
      </c>
      <c r="BE946" t="s">
        <v>17748</v>
      </c>
      <c r="BF946" t="str">
        <f>HYPERLINK("http://dx.doi.org/10.1657/AAAR0016-009","http://dx.doi.org/10.1657/AAAR0016-009")</f>
        <v>http://dx.doi.org/10.1657/AAAR0016-009</v>
      </c>
      <c r="BG946" t="s">
        <v>74</v>
      </c>
      <c r="BH946" t="s">
        <v>74</v>
      </c>
      <c r="BI946">
        <v>16</v>
      </c>
      <c r="BJ946" t="s">
        <v>17685</v>
      </c>
      <c r="BK946" t="s">
        <v>101</v>
      </c>
      <c r="BL946" t="s">
        <v>15299</v>
      </c>
      <c r="BM946" t="s">
        <v>17686</v>
      </c>
      <c r="BN946" t="s">
        <v>74</v>
      </c>
      <c r="BO946" t="s">
        <v>11696</v>
      </c>
      <c r="BP946" t="s">
        <v>74</v>
      </c>
      <c r="BQ946" t="s">
        <v>74</v>
      </c>
      <c r="BR946" t="s">
        <v>105</v>
      </c>
      <c r="BS946" t="s">
        <v>17749</v>
      </c>
      <c r="BT946" t="str">
        <f>HYPERLINK("https%3A%2F%2Fwww.webofscience.com%2Fwos%2Fwoscc%2Ffull-record%2FWOS:000389317200008","View Full Record in Web of Science")</f>
        <v>View Full Record in Web of Science</v>
      </c>
    </row>
    <row r="947" spans="1:72" x14ac:dyDescent="0.15">
      <c r="A947" t="s">
        <v>72</v>
      </c>
      <c r="B947" t="s">
        <v>17750</v>
      </c>
      <c r="C947" t="s">
        <v>74</v>
      </c>
      <c r="D947" t="s">
        <v>74</v>
      </c>
      <c r="E947" t="s">
        <v>74</v>
      </c>
      <c r="F947" t="s">
        <v>17751</v>
      </c>
      <c r="G947" t="s">
        <v>74</v>
      </c>
      <c r="H947" t="s">
        <v>74</v>
      </c>
      <c r="I947" t="s">
        <v>17752</v>
      </c>
      <c r="J947" t="s">
        <v>9113</v>
      </c>
      <c r="K947" t="s">
        <v>74</v>
      </c>
      <c r="L947" t="s">
        <v>74</v>
      </c>
      <c r="M947" t="s">
        <v>78</v>
      </c>
      <c r="N947" t="s">
        <v>79</v>
      </c>
      <c r="O947" t="s">
        <v>74</v>
      </c>
      <c r="P947" t="s">
        <v>74</v>
      </c>
      <c r="Q947" t="s">
        <v>74</v>
      </c>
      <c r="R947" t="s">
        <v>74</v>
      </c>
      <c r="S947" t="s">
        <v>74</v>
      </c>
      <c r="T947" t="s">
        <v>17753</v>
      </c>
      <c r="U947" t="s">
        <v>17754</v>
      </c>
      <c r="V947" t="s">
        <v>17755</v>
      </c>
      <c r="W947" t="s">
        <v>17756</v>
      </c>
      <c r="X947" t="s">
        <v>17757</v>
      </c>
      <c r="Y947" t="s">
        <v>17758</v>
      </c>
      <c r="Z947" t="s">
        <v>17759</v>
      </c>
      <c r="AA947" t="s">
        <v>17760</v>
      </c>
      <c r="AB947" t="s">
        <v>17761</v>
      </c>
      <c r="AC947" t="s">
        <v>17762</v>
      </c>
      <c r="AD947" t="s">
        <v>17763</v>
      </c>
      <c r="AE947" t="s">
        <v>17764</v>
      </c>
      <c r="AF947" t="s">
        <v>74</v>
      </c>
      <c r="AG947">
        <v>46</v>
      </c>
      <c r="AH947">
        <v>2</v>
      </c>
      <c r="AI947">
        <v>7</v>
      </c>
      <c r="AJ947">
        <v>6</v>
      </c>
      <c r="AK947">
        <v>54</v>
      </c>
      <c r="AL947" t="s">
        <v>211</v>
      </c>
      <c r="AM947" t="s">
        <v>187</v>
      </c>
      <c r="AN947" t="s">
        <v>2131</v>
      </c>
      <c r="AO947" t="s">
        <v>9125</v>
      </c>
      <c r="AP947" t="s">
        <v>9126</v>
      </c>
      <c r="AQ947" t="s">
        <v>74</v>
      </c>
      <c r="AR947" t="s">
        <v>9127</v>
      </c>
      <c r="AS947" t="s">
        <v>9128</v>
      </c>
      <c r="AT947" t="s">
        <v>17151</v>
      </c>
      <c r="AU947">
        <v>2016</v>
      </c>
      <c r="AV947">
        <v>35</v>
      </c>
      <c r="AW947">
        <v>11</v>
      </c>
      <c r="AX947" t="s">
        <v>74</v>
      </c>
      <c r="AY947" t="s">
        <v>74</v>
      </c>
      <c r="AZ947" t="s">
        <v>74</v>
      </c>
      <c r="BA947" t="s">
        <v>74</v>
      </c>
      <c r="BB947">
        <v>28</v>
      </c>
      <c r="BC947">
        <v>34</v>
      </c>
      <c r="BD947" t="s">
        <v>74</v>
      </c>
      <c r="BE947" t="s">
        <v>17765</v>
      </c>
      <c r="BF947" t="str">
        <f>HYPERLINK("http://dx.doi.org/10.1007/s13131-016-0946-2","http://dx.doi.org/10.1007/s13131-016-0946-2")</f>
        <v>http://dx.doi.org/10.1007/s13131-016-0946-2</v>
      </c>
      <c r="BG947" t="s">
        <v>74</v>
      </c>
      <c r="BH947" t="s">
        <v>74</v>
      </c>
      <c r="BI947">
        <v>7</v>
      </c>
      <c r="BJ947" t="s">
        <v>2164</v>
      </c>
      <c r="BK947" t="s">
        <v>101</v>
      </c>
      <c r="BL947" t="s">
        <v>2164</v>
      </c>
      <c r="BM947" t="s">
        <v>17766</v>
      </c>
      <c r="BN947" t="s">
        <v>74</v>
      </c>
      <c r="BO947" t="s">
        <v>74</v>
      </c>
      <c r="BP947" t="s">
        <v>74</v>
      </c>
      <c r="BQ947" t="s">
        <v>74</v>
      </c>
      <c r="BR947" t="s">
        <v>105</v>
      </c>
      <c r="BS947" t="s">
        <v>17767</v>
      </c>
      <c r="BT947" t="str">
        <f>HYPERLINK("https%3A%2F%2Fwww.webofscience.com%2Fwos%2Fwoscc%2Ffull-record%2FWOS:000387805300004","View Full Record in Web of Science")</f>
        <v>View Full Record in Web of Science</v>
      </c>
    </row>
    <row r="948" spans="1:72" x14ac:dyDescent="0.15">
      <c r="A948" t="s">
        <v>72</v>
      </c>
      <c r="B948" t="s">
        <v>17768</v>
      </c>
      <c r="C948" t="s">
        <v>74</v>
      </c>
      <c r="D948" t="s">
        <v>74</v>
      </c>
      <c r="E948" t="s">
        <v>74</v>
      </c>
      <c r="F948" t="s">
        <v>17769</v>
      </c>
      <c r="G948" t="s">
        <v>74</v>
      </c>
      <c r="H948" t="s">
        <v>74</v>
      </c>
      <c r="I948" t="s">
        <v>17770</v>
      </c>
      <c r="J948" t="s">
        <v>17771</v>
      </c>
      <c r="K948" t="s">
        <v>74</v>
      </c>
      <c r="L948" t="s">
        <v>74</v>
      </c>
      <c r="M948" t="s">
        <v>78</v>
      </c>
      <c r="N948" t="s">
        <v>79</v>
      </c>
      <c r="O948" t="s">
        <v>74</v>
      </c>
      <c r="P948" t="s">
        <v>74</v>
      </c>
      <c r="Q948" t="s">
        <v>74</v>
      </c>
      <c r="R948" t="s">
        <v>74</v>
      </c>
      <c r="S948" t="s">
        <v>74</v>
      </c>
      <c r="T948" t="s">
        <v>17772</v>
      </c>
      <c r="U948" t="s">
        <v>17773</v>
      </c>
      <c r="V948" t="s">
        <v>17774</v>
      </c>
      <c r="W948" t="s">
        <v>17775</v>
      </c>
      <c r="X948" t="s">
        <v>17776</v>
      </c>
      <c r="Y948" t="s">
        <v>17777</v>
      </c>
      <c r="Z948" t="s">
        <v>17778</v>
      </c>
      <c r="AA948" t="s">
        <v>17779</v>
      </c>
      <c r="AB948" t="s">
        <v>17780</v>
      </c>
      <c r="AC948" t="s">
        <v>74</v>
      </c>
      <c r="AD948" t="s">
        <v>74</v>
      </c>
      <c r="AE948" t="s">
        <v>74</v>
      </c>
      <c r="AF948" t="s">
        <v>74</v>
      </c>
      <c r="AG948">
        <v>80</v>
      </c>
      <c r="AH948">
        <v>17</v>
      </c>
      <c r="AI948">
        <v>17</v>
      </c>
      <c r="AJ948">
        <v>0</v>
      </c>
      <c r="AK948">
        <v>14</v>
      </c>
      <c r="AL948" t="s">
        <v>17781</v>
      </c>
      <c r="AM948" t="s">
        <v>17782</v>
      </c>
      <c r="AN948" t="s">
        <v>17783</v>
      </c>
      <c r="AO948" t="s">
        <v>17784</v>
      </c>
      <c r="AP948" t="s">
        <v>17785</v>
      </c>
      <c r="AQ948" t="s">
        <v>74</v>
      </c>
      <c r="AR948" t="s">
        <v>17786</v>
      </c>
      <c r="AS948" t="s">
        <v>17787</v>
      </c>
      <c r="AT948" t="s">
        <v>17151</v>
      </c>
      <c r="AU948">
        <v>2016</v>
      </c>
      <c r="AV948">
        <v>53</v>
      </c>
      <c r="AW948">
        <v>11</v>
      </c>
      <c r="AX948" t="s">
        <v>74</v>
      </c>
      <c r="AY948" t="s">
        <v>74</v>
      </c>
      <c r="AZ948" t="s">
        <v>74</v>
      </c>
      <c r="BA948" t="s">
        <v>74</v>
      </c>
      <c r="BB948">
        <v>1089</v>
      </c>
      <c r="BC948">
        <v>1102</v>
      </c>
      <c r="BD948" t="s">
        <v>74</v>
      </c>
      <c r="BE948" t="s">
        <v>17788</v>
      </c>
      <c r="BF948" t="str">
        <f>HYPERLINK("http://dx.doi.org/10.1139/cjes-2016-0099","http://dx.doi.org/10.1139/cjes-2016-0099")</f>
        <v>http://dx.doi.org/10.1139/cjes-2016-0099</v>
      </c>
      <c r="BG948" t="s">
        <v>74</v>
      </c>
      <c r="BH948" t="s">
        <v>74</v>
      </c>
      <c r="BI948">
        <v>14</v>
      </c>
      <c r="BJ948" t="s">
        <v>669</v>
      </c>
      <c r="BK948" t="s">
        <v>101</v>
      </c>
      <c r="BL948" t="s">
        <v>670</v>
      </c>
      <c r="BM948" t="s">
        <v>17789</v>
      </c>
      <c r="BN948" t="s">
        <v>74</v>
      </c>
      <c r="BO948" t="s">
        <v>74</v>
      </c>
      <c r="BP948" t="s">
        <v>74</v>
      </c>
      <c r="BQ948" t="s">
        <v>74</v>
      </c>
      <c r="BR948" t="s">
        <v>105</v>
      </c>
      <c r="BS948" t="s">
        <v>17790</v>
      </c>
      <c r="BT948" t="str">
        <f>HYPERLINK("https%3A%2F%2Fwww.webofscience.com%2Fwos%2Fwoscc%2Ffull-record%2FWOS:000387782100003","View Full Record in Web of Science")</f>
        <v>View Full Record in Web of Science</v>
      </c>
    </row>
    <row r="949" spans="1:72" x14ac:dyDescent="0.15">
      <c r="A949" t="s">
        <v>72</v>
      </c>
      <c r="B949" t="s">
        <v>17791</v>
      </c>
      <c r="C949" t="s">
        <v>74</v>
      </c>
      <c r="D949" t="s">
        <v>74</v>
      </c>
      <c r="E949" t="s">
        <v>74</v>
      </c>
      <c r="F949" t="s">
        <v>17792</v>
      </c>
      <c r="G949" t="s">
        <v>74</v>
      </c>
      <c r="H949" t="s">
        <v>74</v>
      </c>
      <c r="I949" t="s">
        <v>17793</v>
      </c>
      <c r="J949" t="s">
        <v>17794</v>
      </c>
      <c r="K949" t="s">
        <v>74</v>
      </c>
      <c r="L949" t="s">
        <v>74</v>
      </c>
      <c r="M949" t="s">
        <v>78</v>
      </c>
      <c r="N949" t="s">
        <v>79</v>
      </c>
      <c r="O949" t="s">
        <v>74</v>
      </c>
      <c r="P949" t="s">
        <v>74</v>
      </c>
      <c r="Q949" t="s">
        <v>74</v>
      </c>
      <c r="R949" t="s">
        <v>74</v>
      </c>
      <c r="S949" t="s">
        <v>74</v>
      </c>
      <c r="T949" t="s">
        <v>17795</v>
      </c>
      <c r="U949" t="s">
        <v>17796</v>
      </c>
      <c r="V949" t="s">
        <v>17797</v>
      </c>
      <c r="W949" t="s">
        <v>17798</v>
      </c>
      <c r="X949" t="s">
        <v>17799</v>
      </c>
      <c r="Y949" t="s">
        <v>17800</v>
      </c>
      <c r="Z949" t="s">
        <v>17801</v>
      </c>
      <c r="AA949" t="s">
        <v>17802</v>
      </c>
      <c r="AB949" t="s">
        <v>17803</v>
      </c>
      <c r="AC949" t="s">
        <v>17804</v>
      </c>
      <c r="AD949" t="s">
        <v>17805</v>
      </c>
      <c r="AE949" t="s">
        <v>17806</v>
      </c>
      <c r="AF949" t="s">
        <v>74</v>
      </c>
      <c r="AG949">
        <v>69</v>
      </c>
      <c r="AH949">
        <v>13</v>
      </c>
      <c r="AI949">
        <v>14</v>
      </c>
      <c r="AJ949">
        <v>0</v>
      </c>
      <c r="AK949">
        <v>11</v>
      </c>
      <c r="AL949" t="s">
        <v>291</v>
      </c>
      <c r="AM949" t="s">
        <v>292</v>
      </c>
      <c r="AN949" t="s">
        <v>293</v>
      </c>
      <c r="AO949" t="s">
        <v>17807</v>
      </c>
      <c r="AP949" t="s">
        <v>17808</v>
      </c>
      <c r="AQ949" t="s">
        <v>74</v>
      </c>
      <c r="AR949" t="s">
        <v>17809</v>
      </c>
      <c r="AS949" t="s">
        <v>17810</v>
      </c>
      <c r="AT949" t="s">
        <v>17151</v>
      </c>
      <c r="AU949">
        <v>2016</v>
      </c>
      <c r="AV949">
        <v>149</v>
      </c>
      <c r="AW949" t="s">
        <v>74</v>
      </c>
      <c r="AX949" t="s">
        <v>74</v>
      </c>
      <c r="AY949" t="s">
        <v>74</v>
      </c>
      <c r="AZ949" t="s">
        <v>74</v>
      </c>
      <c r="BA949" t="s">
        <v>74</v>
      </c>
      <c r="BB949">
        <v>207</v>
      </c>
      <c r="BC949">
        <v>218</v>
      </c>
      <c r="BD949" t="s">
        <v>74</v>
      </c>
      <c r="BE949" t="s">
        <v>17811</v>
      </c>
      <c r="BF949" t="str">
        <f>HYPERLINK("http://dx.doi.org/10.1016/j.jastp.2016.04.003","http://dx.doi.org/10.1016/j.jastp.2016.04.003")</f>
        <v>http://dx.doi.org/10.1016/j.jastp.2016.04.003</v>
      </c>
      <c r="BG949" t="s">
        <v>74</v>
      </c>
      <c r="BH949" t="s">
        <v>74</v>
      </c>
      <c r="BI949">
        <v>12</v>
      </c>
      <c r="BJ949" t="s">
        <v>2585</v>
      </c>
      <c r="BK949" t="s">
        <v>101</v>
      </c>
      <c r="BL949" t="s">
        <v>2585</v>
      </c>
      <c r="BM949" t="s">
        <v>17812</v>
      </c>
      <c r="BN949" t="s">
        <v>74</v>
      </c>
      <c r="BO949" t="s">
        <v>74</v>
      </c>
      <c r="BP949" t="s">
        <v>74</v>
      </c>
      <c r="BQ949" t="s">
        <v>74</v>
      </c>
      <c r="BR949" t="s">
        <v>105</v>
      </c>
      <c r="BS949" t="s">
        <v>17813</v>
      </c>
      <c r="BT949" t="str">
        <f>HYPERLINK("https%3A%2F%2Fwww.webofscience.com%2Fwos%2Fwoscc%2Ffull-record%2FWOS:000389094300023","View Full Record in Web of Science")</f>
        <v>View Full Record in Web of Science</v>
      </c>
    </row>
    <row r="950" spans="1:72" x14ac:dyDescent="0.15">
      <c r="A950" t="s">
        <v>72</v>
      </c>
      <c r="B950" t="s">
        <v>17814</v>
      </c>
      <c r="C950" t="s">
        <v>74</v>
      </c>
      <c r="D950" t="s">
        <v>74</v>
      </c>
      <c r="E950" t="s">
        <v>74</v>
      </c>
      <c r="F950" t="s">
        <v>17815</v>
      </c>
      <c r="G950" t="s">
        <v>74</v>
      </c>
      <c r="H950" t="s">
        <v>74</v>
      </c>
      <c r="I950" t="s">
        <v>17816</v>
      </c>
      <c r="J950" t="s">
        <v>8783</v>
      </c>
      <c r="K950" t="s">
        <v>74</v>
      </c>
      <c r="L950" t="s">
        <v>74</v>
      </c>
      <c r="M950" t="s">
        <v>78</v>
      </c>
      <c r="N950" t="s">
        <v>79</v>
      </c>
      <c r="O950" t="s">
        <v>74</v>
      </c>
      <c r="P950" t="s">
        <v>74</v>
      </c>
      <c r="Q950" t="s">
        <v>74</v>
      </c>
      <c r="R950" t="s">
        <v>74</v>
      </c>
      <c r="S950" t="s">
        <v>74</v>
      </c>
      <c r="T950" t="s">
        <v>74</v>
      </c>
      <c r="U950" t="s">
        <v>17817</v>
      </c>
      <c r="V950" t="s">
        <v>17818</v>
      </c>
      <c r="W950" t="s">
        <v>17819</v>
      </c>
      <c r="X950" t="s">
        <v>17820</v>
      </c>
      <c r="Y950" t="s">
        <v>17821</v>
      </c>
      <c r="Z950" t="s">
        <v>17822</v>
      </c>
      <c r="AA950" t="s">
        <v>17823</v>
      </c>
      <c r="AB950" t="s">
        <v>17824</v>
      </c>
      <c r="AC950" t="s">
        <v>17825</v>
      </c>
      <c r="AD950" t="s">
        <v>17826</v>
      </c>
      <c r="AE950" t="s">
        <v>17827</v>
      </c>
      <c r="AF950" t="s">
        <v>74</v>
      </c>
      <c r="AG950">
        <v>40</v>
      </c>
      <c r="AH950">
        <v>8</v>
      </c>
      <c r="AI950">
        <v>8</v>
      </c>
      <c r="AJ950">
        <v>2</v>
      </c>
      <c r="AK950">
        <v>27</v>
      </c>
      <c r="AL950" t="s">
        <v>2603</v>
      </c>
      <c r="AM950" t="s">
        <v>2604</v>
      </c>
      <c r="AN950" t="s">
        <v>2605</v>
      </c>
      <c r="AO950" t="s">
        <v>8794</v>
      </c>
      <c r="AP950" t="s">
        <v>8795</v>
      </c>
      <c r="AQ950" t="s">
        <v>74</v>
      </c>
      <c r="AR950" t="s">
        <v>8796</v>
      </c>
      <c r="AS950" t="s">
        <v>8797</v>
      </c>
      <c r="AT950" t="s">
        <v>17151</v>
      </c>
      <c r="AU950">
        <v>2016</v>
      </c>
      <c r="AV950">
        <v>46</v>
      </c>
      <c r="AW950">
        <v>11</v>
      </c>
      <c r="AX950" t="s">
        <v>74</v>
      </c>
      <c r="AY950" t="s">
        <v>74</v>
      </c>
      <c r="AZ950" t="s">
        <v>74</v>
      </c>
      <c r="BA950" t="s">
        <v>74</v>
      </c>
      <c r="BB950">
        <v>3471</v>
      </c>
      <c r="BC950">
        <v>3486</v>
      </c>
      <c r="BD950" t="s">
        <v>74</v>
      </c>
      <c r="BE950" t="s">
        <v>17828</v>
      </c>
      <c r="BF950" t="str">
        <f>HYPERLINK("http://dx.doi.org/10.1175/JPO-D-16-0150.1","http://dx.doi.org/10.1175/JPO-D-16-0150.1")</f>
        <v>http://dx.doi.org/10.1175/JPO-D-16-0150.1</v>
      </c>
      <c r="BG950" t="s">
        <v>74</v>
      </c>
      <c r="BH950" t="s">
        <v>74</v>
      </c>
      <c r="BI950">
        <v>16</v>
      </c>
      <c r="BJ950" t="s">
        <v>2164</v>
      </c>
      <c r="BK950" t="s">
        <v>101</v>
      </c>
      <c r="BL950" t="s">
        <v>2164</v>
      </c>
      <c r="BM950" t="s">
        <v>17829</v>
      </c>
      <c r="BN950" t="s">
        <v>74</v>
      </c>
      <c r="BO950" t="s">
        <v>301</v>
      </c>
      <c r="BP950" t="s">
        <v>74</v>
      </c>
      <c r="BQ950" t="s">
        <v>74</v>
      </c>
      <c r="BR950" t="s">
        <v>105</v>
      </c>
      <c r="BS950" t="s">
        <v>17830</v>
      </c>
      <c r="BT950" t="str">
        <f>HYPERLINK("https%3A%2F%2Fwww.webofscience.com%2Fwos%2Fwoscc%2Ffull-record%2FWOS:000389036600013","View Full Record in Web of Science")</f>
        <v>View Full Record in Web of Science</v>
      </c>
    </row>
    <row r="951" spans="1:72" x14ac:dyDescent="0.15">
      <c r="A951" t="s">
        <v>72</v>
      </c>
      <c r="B951" t="s">
        <v>17831</v>
      </c>
      <c r="C951" t="s">
        <v>74</v>
      </c>
      <c r="D951" t="s">
        <v>74</v>
      </c>
      <c r="E951" t="s">
        <v>74</v>
      </c>
      <c r="F951" t="s">
        <v>17832</v>
      </c>
      <c r="G951" t="s">
        <v>74</v>
      </c>
      <c r="H951" t="s">
        <v>74</v>
      </c>
      <c r="I951" t="s">
        <v>17833</v>
      </c>
      <c r="J951" t="s">
        <v>8783</v>
      </c>
      <c r="K951" t="s">
        <v>74</v>
      </c>
      <c r="L951" t="s">
        <v>74</v>
      </c>
      <c r="M951" t="s">
        <v>78</v>
      </c>
      <c r="N951" t="s">
        <v>79</v>
      </c>
      <c r="O951" t="s">
        <v>74</v>
      </c>
      <c r="P951" t="s">
        <v>74</v>
      </c>
      <c r="Q951" t="s">
        <v>74</v>
      </c>
      <c r="R951" t="s">
        <v>74</v>
      </c>
      <c r="S951" t="s">
        <v>74</v>
      </c>
      <c r="T951" t="s">
        <v>74</v>
      </c>
      <c r="U951" t="s">
        <v>17834</v>
      </c>
      <c r="V951" t="s">
        <v>17835</v>
      </c>
      <c r="W951" t="s">
        <v>17836</v>
      </c>
      <c r="X951" t="s">
        <v>17837</v>
      </c>
      <c r="Y951" t="s">
        <v>17838</v>
      </c>
      <c r="Z951" t="s">
        <v>17839</v>
      </c>
      <c r="AA951" t="s">
        <v>74</v>
      </c>
      <c r="AB951" t="s">
        <v>17840</v>
      </c>
      <c r="AC951" t="s">
        <v>17841</v>
      </c>
      <c r="AD951" t="s">
        <v>8312</v>
      </c>
      <c r="AE951" t="s">
        <v>17842</v>
      </c>
      <c r="AF951" t="s">
        <v>74</v>
      </c>
      <c r="AG951">
        <v>33</v>
      </c>
      <c r="AH951">
        <v>6</v>
      </c>
      <c r="AI951">
        <v>7</v>
      </c>
      <c r="AJ951">
        <v>0</v>
      </c>
      <c r="AK951">
        <v>9</v>
      </c>
      <c r="AL951" t="s">
        <v>2603</v>
      </c>
      <c r="AM951" t="s">
        <v>2604</v>
      </c>
      <c r="AN951" t="s">
        <v>2605</v>
      </c>
      <c r="AO951" t="s">
        <v>8794</v>
      </c>
      <c r="AP951" t="s">
        <v>8795</v>
      </c>
      <c r="AQ951" t="s">
        <v>74</v>
      </c>
      <c r="AR951" t="s">
        <v>8796</v>
      </c>
      <c r="AS951" t="s">
        <v>8797</v>
      </c>
      <c r="AT951" t="s">
        <v>17151</v>
      </c>
      <c r="AU951">
        <v>2016</v>
      </c>
      <c r="AV951">
        <v>46</v>
      </c>
      <c r="AW951">
        <v>11</v>
      </c>
      <c r="AX951" t="s">
        <v>74</v>
      </c>
      <c r="AY951" t="s">
        <v>74</v>
      </c>
      <c r="AZ951" t="s">
        <v>74</v>
      </c>
      <c r="BA951" t="s">
        <v>74</v>
      </c>
      <c r="BB951">
        <v>3509</v>
      </c>
      <c r="BC951">
        <v>3526</v>
      </c>
      <c r="BD951" t="s">
        <v>74</v>
      </c>
      <c r="BE951" t="s">
        <v>17843</v>
      </c>
      <c r="BF951" t="str">
        <f>HYPERLINK("http://dx.doi.org/10.1175/JPO-D-15-0222.1","http://dx.doi.org/10.1175/JPO-D-15-0222.1")</f>
        <v>http://dx.doi.org/10.1175/JPO-D-15-0222.1</v>
      </c>
      <c r="BG951" t="s">
        <v>74</v>
      </c>
      <c r="BH951" t="s">
        <v>74</v>
      </c>
      <c r="BI951">
        <v>18</v>
      </c>
      <c r="BJ951" t="s">
        <v>2164</v>
      </c>
      <c r="BK951" t="s">
        <v>101</v>
      </c>
      <c r="BL951" t="s">
        <v>2164</v>
      </c>
      <c r="BM951" t="s">
        <v>17829</v>
      </c>
      <c r="BN951" t="s">
        <v>74</v>
      </c>
      <c r="BO951" t="s">
        <v>1223</v>
      </c>
      <c r="BP951" t="s">
        <v>74</v>
      </c>
      <c r="BQ951" t="s">
        <v>74</v>
      </c>
      <c r="BR951" t="s">
        <v>105</v>
      </c>
      <c r="BS951" t="s">
        <v>17844</v>
      </c>
      <c r="BT951" t="str">
        <f>HYPERLINK("https%3A%2F%2Fwww.webofscience.com%2Fwos%2Fwoscc%2Ffull-record%2FWOS:000389036600015","View Full Record in Web of Science")</f>
        <v>View Full Record in Web of Science</v>
      </c>
    </row>
    <row r="952" spans="1:72" x14ac:dyDescent="0.15">
      <c r="A952" t="s">
        <v>72</v>
      </c>
      <c r="B952" t="s">
        <v>17845</v>
      </c>
      <c r="C952" t="s">
        <v>74</v>
      </c>
      <c r="D952" t="s">
        <v>74</v>
      </c>
      <c r="E952" t="s">
        <v>74</v>
      </c>
      <c r="F952" t="s">
        <v>17846</v>
      </c>
      <c r="G952" t="s">
        <v>74</v>
      </c>
      <c r="H952" t="s">
        <v>74</v>
      </c>
      <c r="I952" t="s">
        <v>17847</v>
      </c>
      <c r="J952" t="s">
        <v>2239</v>
      </c>
      <c r="K952" t="s">
        <v>74</v>
      </c>
      <c r="L952" t="s">
        <v>74</v>
      </c>
      <c r="M952" t="s">
        <v>78</v>
      </c>
      <c r="N952" t="s">
        <v>79</v>
      </c>
      <c r="O952" t="s">
        <v>74</v>
      </c>
      <c r="P952" t="s">
        <v>74</v>
      </c>
      <c r="Q952" t="s">
        <v>74</v>
      </c>
      <c r="R952" t="s">
        <v>74</v>
      </c>
      <c r="S952" t="s">
        <v>74</v>
      </c>
      <c r="T952" t="s">
        <v>17848</v>
      </c>
      <c r="U952" t="s">
        <v>17849</v>
      </c>
      <c r="V952" t="s">
        <v>17850</v>
      </c>
      <c r="W952" t="s">
        <v>17851</v>
      </c>
      <c r="X952" t="s">
        <v>17852</v>
      </c>
      <c r="Y952" t="s">
        <v>17853</v>
      </c>
      <c r="Z952" t="s">
        <v>17854</v>
      </c>
      <c r="AA952" t="s">
        <v>17855</v>
      </c>
      <c r="AB952" t="s">
        <v>17856</v>
      </c>
      <c r="AC952" t="s">
        <v>17857</v>
      </c>
      <c r="AD952" t="s">
        <v>17858</v>
      </c>
      <c r="AE952" t="s">
        <v>17859</v>
      </c>
      <c r="AF952" t="s">
        <v>74</v>
      </c>
      <c r="AG952">
        <v>91</v>
      </c>
      <c r="AH952">
        <v>14</v>
      </c>
      <c r="AI952">
        <v>17</v>
      </c>
      <c r="AJ952">
        <v>1</v>
      </c>
      <c r="AK952">
        <v>31</v>
      </c>
      <c r="AL952" t="s">
        <v>168</v>
      </c>
      <c r="AM952" t="s">
        <v>169</v>
      </c>
      <c r="AN952" t="s">
        <v>170</v>
      </c>
      <c r="AO952" t="s">
        <v>2251</v>
      </c>
      <c r="AP952" t="s">
        <v>2252</v>
      </c>
      <c r="AQ952" t="s">
        <v>74</v>
      </c>
      <c r="AR952" t="s">
        <v>2253</v>
      </c>
      <c r="AS952" t="s">
        <v>2254</v>
      </c>
      <c r="AT952" t="s">
        <v>17151</v>
      </c>
      <c r="AU952">
        <v>2016</v>
      </c>
      <c r="AV952">
        <v>70</v>
      </c>
      <c r="AW952" t="s">
        <v>74</v>
      </c>
      <c r="AX952" t="s">
        <v>74</v>
      </c>
      <c r="AY952" t="s">
        <v>74</v>
      </c>
      <c r="AZ952" t="s">
        <v>270</v>
      </c>
      <c r="BA952" t="s">
        <v>74</v>
      </c>
      <c r="BB952">
        <v>531</v>
      </c>
      <c r="BC952">
        <v>544</v>
      </c>
      <c r="BD952" t="s">
        <v>74</v>
      </c>
      <c r="BE952" t="s">
        <v>17860</v>
      </c>
      <c r="BF952" t="str">
        <f>HYPERLINK("http://dx.doi.org/10.1016/j.ecolind.2016.05.049","http://dx.doi.org/10.1016/j.ecolind.2016.05.049")</f>
        <v>http://dx.doi.org/10.1016/j.ecolind.2016.05.049</v>
      </c>
      <c r="BG952" t="s">
        <v>74</v>
      </c>
      <c r="BH952" t="s">
        <v>74</v>
      </c>
      <c r="BI952">
        <v>14</v>
      </c>
      <c r="BJ952" t="s">
        <v>2256</v>
      </c>
      <c r="BK952" t="s">
        <v>101</v>
      </c>
      <c r="BL952" t="s">
        <v>2257</v>
      </c>
      <c r="BM952" t="s">
        <v>17861</v>
      </c>
      <c r="BN952" t="s">
        <v>74</v>
      </c>
      <c r="BO952" t="s">
        <v>74</v>
      </c>
      <c r="BP952" t="s">
        <v>74</v>
      </c>
      <c r="BQ952" t="s">
        <v>74</v>
      </c>
      <c r="BR952" t="s">
        <v>105</v>
      </c>
      <c r="BS952" t="s">
        <v>17862</v>
      </c>
      <c r="BT952" t="str">
        <f>HYPERLINK("https%3A%2F%2Fwww.webofscience.com%2Fwos%2Fwoscc%2Ffull-record%2FWOS:000388785200048","View Full Record in Web of Science")</f>
        <v>View Full Record in Web of Science</v>
      </c>
    </row>
    <row r="953" spans="1:72" x14ac:dyDescent="0.15">
      <c r="A953" t="s">
        <v>72</v>
      </c>
      <c r="B953" t="s">
        <v>17863</v>
      </c>
      <c r="C953" t="s">
        <v>74</v>
      </c>
      <c r="D953" t="s">
        <v>74</v>
      </c>
      <c r="E953" t="s">
        <v>74</v>
      </c>
      <c r="F953" t="s">
        <v>17864</v>
      </c>
      <c r="G953" t="s">
        <v>74</v>
      </c>
      <c r="H953" t="s">
        <v>74</v>
      </c>
      <c r="I953" t="s">
        <v>17865</v>
      </c>
      <c r="J953" t="s">
        <v>17866</v>
      </c>
      <c r="K953" t="s">
        <v>74</v>
      </c>
      <c r="L953" t="s">
        <v>74</v>
      </c>
      <c r="M953" t="s">
        <v>78</v>
      </c>
      <c r="N953" t="s">
        <v>79</v>
      </c>
      <c r="O953" t="s">
        <v>74</v>
      </c>
      <c r="P953" t="s">
        <v>74</v>
      </c>
      <c r="Q953" t="s">
        <v>74</v>
      </c>
      <c r="R953" t="s">
        <v>74</v>
      </c>
      <c r="S953" t="s">
        <v>74</v>
      </c>
      <c r="T953" t="s">
        <v>17867</v>
      </c>
      <c r="U953" t="s">
        <v>17868</v>
      </c>
      <c r="V953" t="s">
        <v>17869</v>
      </c>
      <c r="W953" t="s">
        <v>17870</v>
      </c>
      <c r="X953" t="s">
        <v>17871</v>
      </c>
      <c r="Y953" t="s">
        <v>17872</v>
      </c>
      <c r="Z953" t="s">
        <v>17873</v>
      </c>
      <c r="AA953" t="s">
        <v>74</v>
      </c>
      <c r="AB953" t="s">
        <v>17874</v>
      </c>
      <c r="AC953" t="s">
        <v>17875</v>
      </c>
      <c r="AD953" t="s">
        <v>17876</v>
      </c>
      <c r="AE953" t="s">
        <v>17877</v>
      </c>
      <c r="AF953" t="s">
        <v>74</v>
      </c>
      <c r="AG953">
        <v>114</v>
      </c>
      <c r="AH953">
        <v>9</v>
      </c>
      <c r="AI953">
        <v>11</v>
      </c>
      <c r="AJ953">
        <v>1</v>
      </c>
      <c r="AK953">
        <v>51</v>
      </c>
      <c r="AL953" t="s">
        <v>2377</v>
      </c>
      <c r="AM953" t="s">
        <v>2378</v>
      </c>
      <c r="AN953" t="s">
        <v>2379</v>
      </c>
      <c r="AO953" t="s">
        <v>17878</v>
      </c>
      <c r="AP953" t="s">
        <v>17879</v>
      </c>
      <c r="AQ953" t="s">
        <v>74</v>
      </c>
      <c r="AR953" t="s">
        <v>17880</v>
      </c>
      <c r="AS953" t="s">
        <v>17881</v>
      </c>
      <c r="AT953" t="s">
        <v>17151</v>
      </c>
      <c r="AU953">
        <v>2016</v>
      </c>
      <c r="AV953">
        <v>85</v>
      </c>
      <c r="AW953">
        <v>6</v>
      </c>
      <c r="AX953" t="s">
        <v>74</v>
      </c>
      <c r="AY953" t="s">
        <v>74</v>
      </c>
      <c r="AZ953" t="s">
        <v>74</v>
      </c>
      <c r="BA953" t="s">
        <v>74</v>
      </c>
      <c r="BB953">
        <v>1540</v>
      </c>
      <c r="BC953">
        <v>1551</v>
      </c>
      <c r="BD953" t="s">
        <v>74</v>
      </c>
      <c r="BE953" t="s">
        <v>17882</v>
      </c>
      <c r="BF953" t="str">
        <f>HYPERLINK("http://dx.doi.org/10.1111/1365-2656.12577","http://dx.doi.org/10.1111/1365-2656.12577")</f>
        <v>http://dx.doi.org/10.1111/1365-2656.12577</v>
      </c>
      <c r="BG953" t="s">
        <v>74</v>
      </c>
      <c r="BH953" t="s">
        <v>74</v>
      </c>
      <c r="BI953">
        <v>12</v>
      </c>
      <c r="BJ953" t="s">
        <v>3504</v>
      </c>
      <c r="BK953" t="s">
        <v>101</v>
      </c>
      <c r="BL953" t="s">
        <v>3505</v>
      </c>
      <c r="BM953" t="s">
        <v>17883</v>
      </c>
      <c r="BN953">
        <v>27448960</v>
      </c>
      <c r="BO953" t="s">
        <v>8332</v>
      </c>
      <c r="BP953" t="s">
        <v>74</v>
      </c>
      <c r="BQ953" t="s">
        <v>74</v>
      </c>
      <c r="BR953" t="s">
        <v>105</v>
      </c>
      <c r="BS953" t="s">
        <v>17884</v>
      </c>
      <c r="BT953" t="str">
        <f>HYPERLINK("https%3A%2F%2Fwww.webofscience.com%2Fwos%2Fwoscc%2Ffull-record%2FWOS:000388354200013","View Full Record in Web of Science")</f>
        <v>View Full Record in Web of Science</v>
      </c>
    </row>
    <row r="954" spans="1:72" x14ac:dyDescent="0.15">
      <c r="A954" t="s">
        <v>72</v>
      </c>
      <c r="B954" t="s">
        <v>17885</v>
      </c>
      <c r="C954" t="s">
        <v>74</v>
      </c>
      <c r="D954" t="s">
        <v>74</v>
      </c>
      <c r="E954" t="s">
        <v>74</v>
      </c>
      <c r="F954" t="s">
        <v>17886</v>
      </c>
      <c r="G954" t="s">
        <v>74</v>
      </c>
      <c r="H954" t="s">
        <v>74</v>
      </c>
      <c r="I954" t="s">
        <v>17887</v>
      </c>
      <c r="J954" t="s">
        <v>8979</v>
      </c>
      <c r="K954" t="s">
        <v>74</v>
      </c>
      <c r="L954" t="s">
        <v>74</v>
      </c>
      <c r="M954" t="s">
        <v>78</v>
      </c>
      <c r="N954" t="s">
        <v>79</v>
      </c>
      <c r="O954" t="s">
        <v>74</v>
      </c>
      <c r="P954" t="s">
        <v>74</v>
      </c>
      <c r="Q954" t="s">
        <v>74</v>
      </c>
      <c r="R954" t="s">
        <v>74</v>
      </c>
      <c r="S954" t="s">
        <v>74</v>
      </c>
      <c r="T954" t="s">
        <v>17888</v>
      </c>
      <c r="U954" t="s">
        <v>17889</v>
      </c>
      <c r="V954" t="s">
        <v>17890</v>
      </c>
      <c r="W954" t="s">
        <v>17891</v>
      </c>
      <c r="X954" t="s">
        <v>17892</v>
      </c>
      <c r="Y954" t="s">
        <v>17893</v>
      </c>
      <c r="Z954" t="s">
        <v>17894</v>
      </c>
      <c r="AA954" t="s">
        <v>17895</v>
      </c>
      <c r="AB954" t="s">
        <v>17896</v>
      </c>
      <c r="AC954" t="s">
        <v>17897</v>
      </c>
      <c r="AD954" t="s">
        <v>17898</v>
      </c>
      <c r="AE954" t="s">
        <v>17899</v>
      </c>
      <c r="AF954" t="s">
        <v>74</v>
      </c>
      <c r="AG954">
        <v>67</v>
      </c>
      <c r="AH954">
        <v>7</v>
      </c>
      <c r="AI954">
        <v>10</v>
      </c>
      <c r="AJ954">
        <v>0</v>
      </c>
      <c r="AK954">
        <v>34</v>
      </c>
      <c r="AL954" t="s">
        <v>2377</v>
      </c>
      <c r="AM954" t="s">
        <v>2378</v>
      </c>
      <c r="AN954" t="s">
        <v>2379</v>
      </c>
      <c r="AO954" t="s">
        <v>8992</v>
      </c>
      <c r="AP954" t="s">
        <v>74</v>
      </c>
      <c r="AQ954" t="s">
        <v>74</v>
      </c>
      <c r="AR954" t="s">
        <v>8993</v>
      </c>
      <c r="AS954" t="s">
        <v>8994</v>
      </c>
      <c r="AT954" t="s">
        <v>17151</v>
      </c>
      <c r="AU954">
        <v>2016</v>
      </c>
      <c r="AV954">
        <v>6</v>
      </c>
      <c r="AW954">
        <v>22</v>
      </c>
      <c r="AX954" t="s">
        <v>74</v>
      </c>
      <c r="AY954" t="s">
        <v>74</v>
      </c>
      <c r="AZ954" t="s">
        <v>74</v>
      </c>
      <c r="BA954" t="s">
        <v>74</v>
      </c>
      <c r="BB954">
        <v>8243</v>
      </c>
      <c r="BC954">
        <v>8255</v>
      </c>
      <c r="BD954" t="s">
        <v>74</v>
      </c>
      <c r="BE954" t="s">
        <v>17900</v>
      </c>
      <c r="BF954" t="str">
        <f>HYPERLINK("http://dx.doi.org/10.1002/ece3.2530","http://dx.doi.org/10.1002/ece3.2530")</f>
        <v>http://dx.doi.org/10.1002/ece3.2530</v>
      </c>
      <c r="BG954" t="s">
        <v>74</v>
      </c>
      <c r="BH954" t="s">
        <v>74</v>
      </c>
      <c r="BI954">
        <v>13</v>
      </c>
      <c r="BJ954" t="s">
        <v>8996</v>
      </c>
      <c r="BK954" t="s">
        <v>101</v>
      </c>
      <c r="BL954" t="s">
        <v>8997</v>
      </c>
      <c r="BM954" t="s">
        <v>17901</v>
      </c>
      <c r="BN954">
        <v>27878092</v>
      </c>
      <c r="BO954" t="s">
        <v>918</v>
      </c>
      <c r="BP954" t="s">
        <v>74</v>
      </c>
      <c r="BQ954" t="s">
        <v>74</v>
      </c>
      <c r="BR954" t="s">
        <v>105</v>
      </c>
      <c r="BS954" t="s">
        <v>17902</v>
      </c>
      <c r="BT954" t="str">
        <f>HYPERLINK("https%3A%2F%2Fwww.webofscience.com%2Fwos%2Fwoscc%2Ffull-record%2FWOS:000387664500028","View Full Record in Web of Science")</f>
        <v>View Full Record in Web of Science</v>
      </c>
    </row>
    <row r="955" spans="1:72" x14ac:dyDescent="0.15">
      <c r="A955" t="s">
        <v>72</v>
      </c>
      <c r="B955" t="s">
        <v>17903</v>
      </c>
      <c r="C955" t="s">
        <v>74</v>
      </c>
      <c r="D955" t="s">
        <v>74</v>
      </c>
      <c r="E955" t="s">
        <v>74</v>
      </c>
      <c r="F955" t="s">
        <v>17904</v>
      </c>
      <c r="G955" t="s">
        <v>74</v>
      </c>
      <c r="H955" t="s">
        <v>74</v>
      </c>
      <c r="I955" t="s">
        <v>17905</v>
      </c>
      <c r="J955" t="s">
        <v>17906</v>
      </c>
      <c r="K955" t="s">
        <v>74</v>
      </c>
      <c r="L955" t="s">
        <v>74</v>
      </c>
      <c r="M955" t="s">
        <v>78</v>
      </c>
      <c r="N955" t="s">
        <v>79</v>
      </c>
      <c r="O955" t="s">
        <v>74</v>
      </c>
      <c r="P955" t="s">
        <v>74</v>
      </c>
      <c r="Q955" t="s">
        <v>74</v>
      </c>
      <c r="R955" t="s">
        <v>74</v>
      </c>
      <c r="S955" t="s">
        <v>74</v>
      </c>
      <c r="T955" t="s">
        <v>17907</v>
      </c>
      <c r="U955" t="s">
        <v>17908</v>
      </c>
      <c r="V955" t="s">
        <v>17909</v>
      </c>
      <c r="W955" t="s">
        <v>17910</v>
      </c>
      <c r="X955" t="s">
        <v>17911</v>
      </c>
      <c r="Y955" t="s">
        <v>17912</v>
      </c>
      <c r="Z955" t="s">
        <v>17913</v>
      </c>
      <c r="AA955" t="s">
        <v>17914</v>
      </c>
      <c r="AB955" t="s">
        <v>17915</v>
      </c>
      <c r="AC955" t="s">
        <v>17916</v>
      </c>
      <c r="AD955" t="s">
        <v>17917</v>
      </c>
      <c r="AE955" t="s">
        <v>17918</v>
      </c>
      <c r="AF955" t="s">
        <v>74</v>
      </c>
      <c r="AG955">
        <v>78</v>
      </c>
      <c r="AH955">
        <v>32</v>
      </c>
      <c r="AI955">
        <v>33</v>
      </c>
      <c r="AJ955">
        <v>0</v>
      </c>
      <c r="AK955">
        <v>35</v>
      </c>
      <c r="AL955" t="s">
        <v>1610</v>
      </c>
      <c r="AM955" t="s">
        <v>292</v>
      </c>
      <c r="AN955" t="s">
        <v>1611</v>
      </c>
      <c r="AO955" t="s">
        <v>17919</v>
      </c>
      <c r="AP955" t="s">
        <v>17920</v>
      </c>
      <c r="AQ955" t="s">
        <v>74</v>
      </c>
      <c r="AR955" t="s">
        <v>17921</v>
      </c>
      <c r="AS955" t="s">
        <v>17922</v>
      </c>
      <c r="AT955" t="s">
        <v>17151</v>
      </c>
      <c r="AU955">
        <v>2016</v>
      </c>
      <c r="AV955">
        <v>92</v>
      </c>
      <c r="AW955">
        <v>11</v>
      </c>
      <c r="AX955" t="s">
        <v>74</v>
      </c>
      <c r="AY955" t="s">
        <v>74</v>
      </c>
      <c r="AZ955" t="s">
        <v>74</v>
      </c>
      <c r="BA955" t="s">
        <v>74</v>
      </c>
      <c r="BB955" t="s">
        <v>74</v>
      </c>
      <c r="BC955" t="s">
        <v>74</v>
      </c>
      <c r="BD955" t="s">
        <v>17923</v>
      </c>
      <c r="BE955" t="s">
        <v>17924</v>
      </c>
      <c r="BF955" t="str">
        <f>HYPERLINK("http://dx.doi.org/10.1093/femsec/fiw171","http://dx.doi.org/10.1093/femsec/fiw171")</f>
        <v>http://dx.doi.org/10.1093/femsec/fiw171</v>
      </c>
      <c r="BG955" t="s">
        <v>74</v>
      </c>
      <c r="BH955" t="s">
        <v>74</v>
      </c>
      <c r="BI955">
        <v>16</v>
      </c>
      <c r="BJ955" t="s">
        <v>2026</v>
      </c>
      <c r="BK955" t="s">
        <v>101</v>
      </c>
      <c r="BL955" t="s">
        <v>2026</v>
      </c>
      <c r="BM955" t="s">
        <v>17925</v>
      </c>
      <c r="BN955">
        <v>27515734</v>
      </c>
      <c r="BO955" t="s">
        <v>17926</v>
      </c>
      <c r="BP955" t="s">
        <v>74</v>
      </c>
      <c r="BQ955" t="s">
        <v>74</v>
      </c>
      <c r="BR955" t="s">
        <v>105</v>
      </c>
      <c r="BS955" t="s">
        <v>17927</v>
      </c>
      <c r="BT955" t="str">
        <f>HYPERLINK("https%3A%2F%2Fwww.webofscience.com%2Fwos%2Fwoscc%2Ffull-record%2FWOS:000387994800009","View Full Record in Web of Science")</f>
        <v>View Full Record in Web of Science</v>
      </c>
    </row>
    <row r="956" spans="1:72" x14ac:dyDescent="0.15">
      <c r="A956" t="s">
        <v>72</v>
      </c>
      <c r="B956" t="s">
        <v>17928</v>
      </c>
      <c r="C956" t="s">
        <v>74</v>
      </c>
      <c r="D956" t="s">
        <v>74</v>
      </c>
      <c r="E956" t="s">
        <v>74</v>
      </c>
      <c r="F956" t="s">
        <v>17929</v>
      </c>
      <c r="G956" t="s">
        <v>74</v>
      </c>
      <c r="H956" t="s">
        <v>74</v>
      </c>
      <c r="I956" t="s">
        <v>17930</v>
      </c>
      <c r="J956" t="s">
        <v>8726</v>
      </c>
      <c r="K956" t="s">
        <v>74</v>
      </c>
      <c r="L956" t="s">
        <v>74</v>
      </c>
      <c r="M956" t="s">
        <v>78</v>
      </c>
      <c r="N956" t="s">
        <v>79</v>
      </c>
      <c r="O956" t="s">
        <v>74</v>
      </c>
      <c r="P956" t="s">
        <v>74</v>
      </c>
      <c r="Q956" t="s">
        <v>74</v>
      </c>
      <c r="R956" t="s">
        <v>74</v>
      </c>
      <c r="S956" t="s">
        <v>74</v>
      </c>
      <c r="T956" t="s">
        <v>17931</v>
      </c>
      <c r="U956" t="s">
        <v>17932</v>
      </c>
      <c r="V956" t="s">
        <v>17933</v>
      </c>
      <c r="W956" t="s">
        <v>17934</v>
      </c>
      <c r="X956" t="s">
        <v>17935</v>
      </c>
      <c r="Y956" t="s">
        <v>17936</v>
      </c>
      <c r="Z956" t="s">
        <v>17937</v>
      </c>
      <c r="AA956" t="s">
        <v>17938</v>
      </c>
      <c r="AB956" t="s">
        <v>17939</v>
      </c>
      <c r="AC956" t="s">
        <v>17940</v>
      </c>
      <c r="AD956" t="s">
        <v>17941</v>
      </c>
      <c r="AE956" t="s">
        <v>17942</v>
      </c>
      <c r="AF956" t="s">
        <v>74</v>
      </c>
      <c r="AG956">
        <v>105</v>
      </c>
      <c r="AH956">
        <v>8</v>
      </c>
      <c r="AI956">
        <v>11</v>
      </c>
      <c r="AJ956">
        <v>1</v>
      </c>
      <c r="AK956">
        <v>14</v>
      </c>
      <c r="AL956" t="s">
        <v>264</v>
      </c>
      <c r="AM956" t="s">
        <v>169</v>
      </c>
      <c r="AN956" t="s">
        <v>265</v>
      </c>
      <c r="AO956" t="s">
        <v>8739</v>
      </c>
      <c r="AP956" t="s">
        <v>8740</v>
      </c>
      <c r="AQ956" t="s">
        <v>74</v>
      </c>
      <c r="AR956" t="s">
        <v>8741</v>
      </c>
      <c r="AS956" t="s">
        <v>8742</v>
      </c>
      <c r="AT956" t="s">
        <v>17151</v>
      </c>
      <c r="AU956">
        <v>2016</v>
      </c>
      <c r="AV956">
        <v>146</v>
      </c>
      <c r="AW956" t="s">
        <v>74</v>
      </c>
      <c r="AX956" t="s">
        <v>74</v>
      </c>
      <c r="AY956" t="s">
        <v>74</v>
      </c>
      <c r="AZ956" t="s">
        <v>74</v>
      </c>
      <c r="BA956" t="s">
        <v>74</v>
      </c>
      <c r="BB956">
        <v>38</v>
      </c>
      <c r="BC956">
        <v>52</v>
      </c>
      <c r="BD956" t="s">
        <v>74</v>
      </c>
      <c r="BE956" t="s">
        <v>17943</v>
      </c>
      <c r="BF956" t="str">
        <f>HYPERLINK("http://dx.doi.org/10.1016/j.gloplacha.2016.09.001","http://dx.doi.org/10.1016/j.gloplacha.2016.09.001")</f>
        <v>http://dx.doi.org/10.1016/j.gloplacha.2016.09.001</v>
      </c>
      <c r="BG956" t="s">
        <v>74</v>
      </c>
      <c r="BH956" t="s">
        <v>74</v>
      </c>
      <c r="BI956">
        <v>15</v>
      </c>
      <c r="BJ956" t="s">
        <v>615</v>
      </c>
      <c r="BK956" t="s">
        <v>101</v>
      </c>
      <c r="BL956" t="s">
        <v>616</v>
      </c>
      <c r="BM956" t="s">
        <v>17944</v>
      </c>
      <c r="BN956" t="s">
        <v>74</v>
      </c>
      <c r="BO956" t="s">
        <v>301</v>
      </c>
      <c r="BP956" t="s">
        <v>74</v>
      </c>
      <c r="BQ956" t="s">
        <v>74</v>
      </c>
      <c r="BR956" t="s">
        <v>105</v>
      </c>
      <c r="BS956" t="s">
        <v>17945</v>
      </c>
      <c r="BT956" t="str">
        <f>HYPERLINK("https%3A%2F%2Fwww.webofscience.com%2Fwos%2Fwoscc%2Ffull-record%2FWOS:000388049700005","View Full Record in Web of Science")</f>
        <v>View Full Record in Web of Science</v>
      </c>
    </row>
    <row r="957" spans="1:72" x14ac:dyDescent="0.15">
      <c r="A957" t="s">
        <v>72</v>
      </c>
      <c r="B957" t="s">
        <v>17946</v>
      </c>
      <c r="C957" t="s">
        <v>74</v>
      </c>
      <c r="D957" t="s">
        <v>74</v>
      </c>
      <c r="E957" t="s">
        <v>74</v>
      </c>
      <c r="F957" t="s">
        <v>17947</v>
      </c>
      <c r="G957" t="s">
        <v>74</v>
      </c>
      <c r="H957" t="s">
        <v>74</v>
      </c>
      <c r="I957" t="s">
        <v>17948</v>
      </c>
      <c r="J957" t="s">
        <v>17949</v>
      </c>
      <c r="K957" t="s">
        <v>74</v>
      </c>
      <c r="L957" t="s">
        <v>74</v>
      </c>
      <c r="M957" t="s">
        <v>78</v>
      </c>
      <c r="N957" t="s">
        <v>79</v>
      </c>
      <c r="O957" t="s">
        <v>74</v>
      </c>
      <c r="P957" t="s">
        <v>74</v>
      </c>
      <c r="Q957" t="s">
        <v>74</v>
      </c>
      <c r="R957" t="s">
        <v>74</v>
      </c>
      <c r="S957" t="s">
        <v>74</v>
      </c>
      <c r="T957" t="s">
        <v>17950</v>
      </c>
      <c r="U957" t="s">
        <v>17951</v>
      </c>
      <c r="V957" t="s">
        <v>17952</v>
      </c>
      <c r="W957" t="s">
        <v>17953</v>
      </c>
      <c r="X957" t="s">
        <v>17954</v>
      </c>
      <c r="Y957" t="s">
        <v>17955</v>
      </c>
      <c r="Z957" t="s">
        <v>17956</v>
      </c>
      <c r="AA957" t="s">
        <v>17957</v>
      </c>
      <c r="AB957" t="s">
        <v>17958</v>
      </c>
      <c r="AC957" t="s">
        <v>17959</v>
      </c>
      <c r="AD957" t="s">
        <v>17960</v>
      </c>
      <c r="AE957" t="s">
        <v>17961</v>
      </c>
      <c r="AF957" t="s">
        <v>74</v>
      </c>
      <c r="AG957">
        <v>36</v>
      </c>
      <c r="AH957">
        <v>36</v>
      </c>
      <c r="AI957">
        <v>41</v>
      </c>
      <c r="AJ957">
        <v>1</v>
      </c>
      <c r="AK957">
        <v>15</v>
      </c>
      <c r="AL957" t="s">
        <v>211</v>
      </c>
      <c r="AM957" t="s">
        <v>187</v>
      </c>
      <c r="AN957" t="s">
        <v>933</v>
      </c>
      <c r="AO957" t="s">
        <v>17962</v>
      </c>
      <c r="AP957" t="s">
        <v>17963</v>
      </c>
      <c r="AQ957" t="s">
        <v>74</v>
      </c>
      <c r="AR957" t="s">
        <v>17964</v>
      </c>
      <c r="AS957" t="s">
        <v>17965</v>
      </c>
      <c r="AT957" t="s">
        <v>17151</v>
      </c>
      <c r="AU957">
        <v>2016</v>
      </c>
      <c r="AV957">
        <v>90</v>
      </c>
      <c r="AW957">
        <v>11</v>
      </c>
      <c r="AX957" t="s">
        <v>74</v>
      </c>
      <c r="AY957" t="s">
        <v>74</v>
      </c>
      <c r="AZ957" t="s">
        <v>74</v>
      </c>
      <c r="BA957" t="s">
        <v>74</v>
      </c>
      <c r="BB957">
        <v>1207</v>
      </c>
      <c r="BC957">
        <v>1221</v>
      </c>
      <c r="BD957" t="s">
        <v>74</v>
      </c>
      <c r="BE957" t="s">
        <v>17966</v>
      </c>
      <c r="BF957" t="str">
        <f>HYPERLINK("http://dx.doi.org/10.1007/s00190-016-0918-5","http://dx.doi.org/10.1007/s00190-016-0918-5")</f>
        <v>http://dx.doi.org/10.1007/s00190-016-0918-5</v>
      </c>
      <c r="BG957" t="s">
        <v>74</v>
      </c>
      <c r="BH957" t="s">
        <v>74</v>
      </c>
      <c r="BI957">
        <v>15</v>
      </c>
      <c r="BJ957" t="s">
        <v>17967</v>
      </c>
      <c r="BK957" t="s">
        <v>101</v>
      </c>
      <c r="BL957" t="s">
        <v>17967</v>
      </c>
      <c r="BM957" t="s">
        <v>17968</v>
      </c>
      <c r="BN957" t="s">
        <v>74</v>
      </c>
      <c r="BO957" t="s">
        <v>2140</v>
      </c>
      <c r="BP957" t="s">
        <v>74</v>
      </c>
      <c r="BQ957" t="s">
        <v>74</v>
      </c>
      <c r="BR957" t="s">
        <v>105</v>
      </c>
      <c r="BS957" t="s">
        <v>17969</v>
      </c>
      <c r="BT957" t="str">
        <f>HYPERLINK("https%3A%2F%2Fwww.webofscience.com%2Fwos%2Fwoscc%2Ffull-record%2FWOS:000387721600001","View Full Record in Web of Science")</f>
        <v>View Full Record in Web of Science</v>
      </c>
    </row>
    <row r="958" spans="1:72" x14ac:dyDescent="0.15">
      <c r="A958" t="s">
        <v>72</v>
      </c>
      <c r="B958" t="s">
        <v>17970</v>
      </c>
      <c r="C958" t="s">
        <v>74</v>
      </c>
      <c r="D958" t="s">
        <v>74</v>
      </c>
      <c r="E958" t="s">
        <v>74</v>
      </c>
      <c r="F958" t="s">
        <v>17971</v>
      </c>
      <c r="G958" t="s">
        <v>74</v>
      </c>
      <c r="H958" t="s">
        <v>74</v>
      </c>
      <c r="I958" t="s">
        <v>17972</v>
      </c>
      <c r="J958" t="s">
        <v>2731</v>
      </c>
      <c r="K958" t="s">
        <v>74</v>
      </c>
      <c r="L958" t="s">
        <v>74</v>
      </c>
      <c r="M958" t="s">
        <v>78</v>
      </c>
      <c r="N958" t="s">
        <v>2034</v>
      </c>
      <c r="O958" t="s">
        <v>74</v>
      </c>
      <c r="P958" t="s">
        <v>74</v>
      </c>
      <c r="Q958" t="s">
        <v>74</v>
      </c>
      <c r="R958" t="s">
        <v>74</v>
      </c>
      <c r="S958" t="s">
        <v>74</v>
      </c>
      <c r="T958" t="s">
        <v>74</v>
      </c>
      <c r="U958" t="s">
        <v>17973</v>
      </c>
      <c r="V958" t="s">
        <v>17974</v>
      </c>
      <c r="W958" t="s">
        <v>17975</v>
      </c>
      <c r="X958" t="s">
        <v>17976</v>
      </c>
      <c r="Y958" t="s">
        <v>17977</v>
      </c>
      <c r="Z958" t="s">
        <v>17978</v>
      </c>
      <c r="AA958" t="s">
        <v>17979</v>
      </c>
      <c r="AB958" t="s">
        <v>17980</v>
      </c>
      <c r="AC958" t="s">
        <v>17981</v>
      </c>
      <c r="AD958" t="s">
        <v>17982</v>
      </c>
      <c r="AE958" t="s">
        <v>17983</v>
      </c>
      <c r="AF958" t="s">
        <v>74</v>
      </c>
      <c r="AG958">
        <v>58</v>
      </c>
      <c r="AH958">
        <v>33</v>
      </c>
      <c r="AI958">
        <v>37</v>
      </c>
      <c r="AJ958">
        <v>8</v>
      </c>
      <c r="AK958">
        <v>99</v>
      </c>
      <c r="AL958" t="s">
        <v>8845</v>
      </c>
      <c r="AM958" t="s">
        <v>2378</v>
      </c>
      <c r="AN958" t="s">
        <v>2379</v>
      </c>
      <c r="AO958" t="s">
        <v>2743</v>
      </c>
      <c r="AP958" t="s">
        <v>2744</v>
      </c>
      <c r="AQ958" t="s">
        <v>74</v>
      </c>
      <c r="AR958" t="s">
        <v>2745</v>
      </c>
      <c r="AS958" t="s">
        <v>2746</v>
      </c>
      <c r="AT958" t="s">
        <v>17151</v>
      </c>
      <c r="AU958">
        <v>2016</v>
      </c>
      <c r="AV958">
        <v>61</v>
      </c>
      <c r="AW958">
        <v>6</v>
      </c>
      <c r="AX958" t="s">
        <v>74</v>
      </c>
      <c r="AY958" t="s">
        <v>74</v>
      </c>
      <c r="AZ958" t="s">
        <v>74</v>
      </c>
      <c r="BA958" t="s">
        <v>74</v>
      </c>
      <c r="BB958">
        <v>2207</v>
      </c>
      <c r="BC958">
        <v>2221</v>
      </c>
      <c r="BD958" t="s">
        <v>74</v>
      </c>
      <c r="BE958" t="s">
        <v>17984</v>
      </c>
      <c r="BF958" t="str">
        <f>HYPERLINK("http://dx.doi.org/10.1002/lno.10366","http://dx.doi.org/10.1002/lno.10366")</f>
        <v>http://dx.doi.org/10.1002/lno.10366</v>
      </c>
      <c r="BG958" t="s">
        <v>74</v>
      </c>
      <c r="BH958" t="s">
        <v>74</v>
      </c>
      <c r="BI958">
        <v>15</v>
      </c>
      <c r="BJ958" t="s">
        <v>2748</v>
      </c>
      <c r="BK958" t="s">
        <v>101</v>
      </c>
      <c r="BL958" t="s">
        <v>1641</v>
      </c>
      <c r="BM958" t="s">
        <v>17985</v>
      </c>
      <c r="BN958" t="s">
        <v>74</v>
      </c>
      <c r="BO958" t="s">
        <v>672</v>
      </c>
      <c r="BP958" t="s">
        <v>74</v>
      </c>
      <c r="BQ958" t="s">
        <v>74</v>
      </c>
      <c r="BR958" t="s">
        <v>105</v>
      </c>
      <c r="BS958" t="s">
        <v>17986</v>
      </c>
      <c r="BT958" t="str">
        <f>HYPERLINK("https%3A%2F%2Fwww.webofscience.com%2Fwos%2Fwoscc%2Ffull-record%2FWOS:000387749500018","View Full Record in Web of Science")</f>
        <v>View Full Record in Web of Science</v>
      </c>
    </row>
    <row r="959" spans="1:72" x14ac:dyDescent="0.15">
      <c r="A959" t="s">
        <v>72</v>
      </c>
      <c r="B959" t="s">
        <v>17987</v>
      </c>
      <c r="C959" t="s">
        <v>74</v>
      </c>
      <c r="D959" t="s">
        <v>74</v>
      </c>
      <c r="E959" t="s">
        <v>74</v>
      </c>
      <c r="F959" t="s">
        <v>17988</v>
      </c>
      <c r="G959" t="s">
        <v>74</v>
      </c>
      <c r="H959" t="s">
        <v>74</v>
      </c>
      <c r="I959" t="s">
        <v>17989</v>
      </c>
      <c r="J959" t="s">
        <v>17990</v>
      </c>
      <c r="K959" t="s">
        <v>74</v>
      </c>
      <c r="L959" t="s">
        <v>74</v>
      </c>
      <c r="M959" t="s">
        <v>78</v>
      </c>
      <c r="N959" t="s">
        <v>79</v>
      </c>
      <c r="O959" t="s">
        <v>74</v>
      </c>
      <c r="P959" t="s">
        <v>74</v>
      </c>
      <c r="Q959" t="s">
        <v>74</v>
      </c>
      <c r="R959" t="s">
        <v>74</v>
      </c>
      <c r="S959" t="s">
        <v>74</v>
      </c>
      <c r="T959" t="s">
        <v>17991</v>
      </c>
      <c r="U959" t="s">
        <v>74</v>
      </c>
      <c r="V959" t="s">
        <v>17992</v>
      </c>
      <c r="W959" t="s">
        <v>17993</v>
      </c>
      <c r="X959" t="s">
        <v>17994</v>
      </c>
      <c r="Y959" t="s">
        <v>17995</v>
      </c>
      <c r="Z959" t="s">
        <v>17996</v>
      </c>
      <c r="AA959" t="s">
        <v>17997</v>
      </c>
      <c r="AB959" t="s">
        <v>17998</v>
      </c>
      <c r="AC959" t="s">
        <v>17999</v>
      </c>
      <c r="AD959" t="s">
        <v>18000</v>
      </c>
      <c r="AE959" t="s">
        <v>18001</v>
      </c>
      <c r="AF959" t="s">
        <v>74</v>
      </c>
      <c r="AG959">
        <v>27</v>
      </c>
      <c r="AH959">
        <v>1</v>
      </c>
      <c r="AI959">
        <v>2</v>
      </c>
      <c r="AJ959">
        <v>2</v>
      </c>
      <c r="AK959">
        <v>24</v>
      </c>
      <c r="AL959" t="s">
        <v>291</v>
      </c>
      <c r="AM959" t="s">
        <v>292</v>
      </c>
      <c r="AN959" t="s">
        <v>293</v>
      </c>
      <c r="AO959" t="s">
        <v>18002</v>
      </c>
      <c r="AP959" t="s">
        <v>74</v>
      </c>
      <c r="AQ959" t="s">
        <v>74</v>
      </c>
      <c r="AR959" t="s">
        <v>18003</v>
      </c>
      <c r="AS959" t="s">
        <v>18004</v>
      </c>
      <c r="AT959" t="s">
        <v>17577</v>
      </c>
      <c r="AU959">
        <v>2016</v>
      </c>
      <c r="AV959">
        <v>126</v>
      </c>
      <c r="AW959" t="s">
        <v>74</v>
      </c>
      <c r="AX959" t="s">
        <v>74</v>
      </c>
      <c r="AY959" t="s">
        <v>74</v>
      </c>
      <c r="AZ959" t="s">
        <v>74</v>
      </c>
      <c r="BA959" t="s">
        <v>74</v>
      </c>
      <c r="BB959">
        <v>232</v>
      </c>
      <c r="BC959">
        <v>239</v>
      </c>
      <c r="BD959" t="s">
        <v>74</v>
      </c>
      <c r="BE959" t="s">
        <v>18005</v>
      </c>
      <c r="BF959" t="str">
        <f>HYPERLINK("http://dx.doi.org/10.1016/j.oceaneng.2016.09.023","http://dx.doi.org/10.1016/j.oceaneng.2016.09.023")</f>
        <v>http://dx.doi.org/10.1016/j.oceaneng.2016.09.023</v>
      </c>
      <c r="BG959" t="s">
        <v>74</v>
      </c>
      <c r="BH959" t="s">
        <v>74</v>
      </c>
      <c r="BI959">
        <v>8</v>
      </c>
      <c r="BJ959" t="s">
        <v>18006</v>
      </c>
      <c r="BK959" t="s">
        <v>101</v>
      </c>
      <c r="BL959" t="s">
        <v>11595</v>
      </c>
      <c r="BM959" t="s">
        <v>18007</v>
      </c>
      <c r="BN959" t="s">
        <v>74</v>
      </c>
      <c r="BO959" t="s">
        <v>74</v>
      </c>
      <c r="BP959" t="s">
        <v>74</v>
      </c>
      <c r="BQ959" t="s">
        <v>74</v>
      </c>
      <c r="BR959" t="s">
        <v>105</v>
      </c>
      <c r="BS959" t="s">
        <v>18008</v>
      </c>
      <c r="BT959" t="str">
        <f>HYPERLINK("https%3A%2F%2Fwww.webofscience.com%2Fwos%2Fwoscc%2Ffull-record%2FWOS:000388052400018","View Full Record in Web of Science")</f>
        <v>View Full Record in Web of Science</v>
      </c>
    </row>
    <row r="960" spans="1:72" x14ac:dyDescent="0.15">
      <c r="A960" t="s">
        <v>72</v>
      </c>
      <c r="B960" t="s">
        <v>18009</v>
      </c>
      <c r="C960" t="s">
        <v>74</v>
      </c>
      <c r="D960" t="s">
        <v>74</v>
      </c>
      <c r="E960" t="s">
        <v>74</v>
      </c>
      <c r="F960" t="s">
        <v>18010</v>
      </c>
      <c r="G960" t="s">
        <v>74</v>
      </c>
      <c r="H960" t="s">
        <v>74</v>
      </c>
      <c r="I960" t="s">
        <v>18011</v>
      </c>
      <c r="J960" t="s">
        <v>3085</v>
      </c>
      <c r="K960" t="s">
        <v>74</v>
      </c>
      <c r="L960" t="s">
        <v>74</v>
      </c>
      <c r="M960" t="s">
        <v>78</v>
      </c>
      <c r="N960" t="s">
        <v>79</v>
      </c>
      <c r="O960" t="s">
        <v>74</v>
      </c>
      <c r="P960" t="s">
        <v>74</v>
      </c>
      <c r="Q960" t="s">
        <v>74</v>
      </c>
      <c r="R960" t="s">
        <v>74</v>
      </c>
      <c r="S960" t="s">
        <v>74</v>
      </c>
      <c r="T960" t="s">
        <v>74</v>
      </c>
      <c r="U960" t="s">
        <v>18012</v>
      </c>
      <c r="V960" t="s">
        <v>18013</v>
      </c>
      <c r="W960" t="s">
        <v>18014</v>
      </c>
      <c r="X960" t="s">
        <v>74</v>
      </c>
      <c r="Y960" t="s">
        <v>18015</v>
      </c>
      <c r="Z960" t="s">
        <v>18016</v>
      </c>
      <c r="AA960" t="s">
        <v>74</v>
      </c>
      <c r="AB960" t="s">
        <v>74</v>
      </c>
      <c r="AC960" t="s">
        <v>18017</v>
      </c>
      <c r="AD960" t="s">
        <v>18017</v>
      </c>
      <c r="AE960" t="s">
        <v>18018</v>
      </c>
      <c r="AF960" t="s">
        <v>74</v>
      </c>
      <c r="AG960">
        <v>12</v>
      </c>
      <c r="AH960">
        <v>5</v>
      </c>
      <c r="AI960">
        <v>6</v>
      </c>
      <c r="AJ960">
        <v>0</v>
      </c>
      <c r="AK960">
        <v>10</v>
      </c>
      <c r="AL960" t="s">
        <v>3097</v>
      </c>
      <c r="AM960" t="s">
        <v>187</v>
      </c>
      <c r="AN960" t="s">
        <v>3098</v>
      </c>
      <c r="AO960" t="s">
        <v>3099</v>
      </c>
      <c r="AP960" t="s">
        <v>3100</v>
      </c>
      <c r="AQ960" t="s">
        <v>74</v>
      </c>
      <c r="AR960" t="s">
        <v>3101</v>
      </c>
      <c r="AS960" t="s">
        <v>3102</v>
      </c>
      <c r="AT960" t="s">
        <v>17151</v>
      </c>
      <c r="AU960">
        <v>2016</v>
      </c>
      <c r="AV960">
        <v>52</v>
      </c>
      <c r="AW960">
        <v>6</v>
      </c>
      <c r="AX960" t="s">
        <v>74</v>
      </c>
      <c r="AY960" t="s">
        <v>74</v>
      </c>
      <c r="AZ960" t="s">
        <v>74</v>
      </c>
      <c r="BA960" t="s">
        <v>74</v>
      </c>
      <c r="BB960">
        <v>686</v>
      </c>
      <c r="BC960">
        <v>697</v>
      </c>
      <c r="BD960" t="s">
        <v>74</v>
      </c>
      <c r="BE960" t="s">
        <v>18019</v>
      </c>
      <c r="BF960" t="str">
        <f>HYPERLINK("http://dx.doi.org/10.1017/S0032247416000073","http://dx.doi.org/10.1017/S0032247416000073")</f>
        <v>http://dx.doi.org/10.1017/S0032247416000073</v>
      </c>
      <c r="BG960" t="s">
        <v>74</v>
      </c>
      <c r="BH960" t="s">
        <v>74</v>
      </c>
      <c r="BI960">
        <v>12</v>
      </c>
      <c r="BJ960" t="s">
        <v>3104</v>
      </c>
      <c r="BK960" t="s">
        <v>245</v>
      </c>
      <c r="BL960" t="s">
        <v>178</v>
      </c>
      <c r="BM960" t="s">
        <v>18020</v>
      </c>
      <c r="BN960" t="s">
        <v>74</v>
      </c>
      <c r="BO960" t="s">
        <v>74</v>
      </c>
      <c r="BP960" t="s">
        <v>74</v>
      </c>
      <c r="BQ960" t="s">
        <v>74</v>
      </c>
      <c r="BR960" t="s">
        <v>105</v>
      </c>
      <c r="BS960" t="s">
        <v>18021</v>
      </c>
      <c r="BT960" t="str">
        <f>HYPERLINK("https%3A%2F%2Fwww.webofscience.com%2Fwos%2Fwoscc%2Ffull-record%2FWOS:000387967200009","View Full Record in Web of Science")</f>
        <v>View Full Record in Web of Science</v>
      </c>
    </row>
    <row r="961" spans="1:72" x14ac:dyDescent="0.15">
      <c r="A961" t="s">
        <v>72</v>
      </c>
      <c r="B961" t="s">
        <v>18022</v>
      </c>
      <c r="C961" t="s">
        <v>74</v>
      </c>
      <c r="D961" t="s">
        <v>74</v>
      </c>
      <c r="E961" t="s">
        <v>74</v>
      </c>
      <c r="F961" t="s">
        <v>18023</v>
      </c>
      <c r="G961" t="s">
        <v>74</v>
      </c>
      <c r="H961" t="s">
        <v>74</v>
      </c>
      <c r="I961" t="s">
        <v>18024</v>
      </c>
      <c r="J961" t="s">
        <v>3085</v>
      </c>
      <c r="K961" t="s">
        <v>74</v>
      </c>
      <c r="L961" t="s">
        <v>74</v>
      </c>
      <c r="M961" t="s">
        <v>78</v>
      </c>
      <c r="N961" t="s">
        <v>79</v>
      </c>
      <c r="O961" t="s">
        <v>74</v>
      </c>
      <c r="P961" t="s">
        <v>74</v>
      </c>
      <c r="Q961" t="s">
        <v>74</v>
      </c>
      <c r="R961" t="s">
        <v>74</v>
      </c>
      <c r="S961" t="s">
        <v>74</v>
      </c>
      <c r="T961" t="s">
        <v>74</v>
      </c>
      <c r="U961" t="s">
        <v>74</v>
      </c>
      <c r="V961" t="s">
        <v>18025</v>
      </c>
      <c r="W961" t="s">
        <v>18026</v>
      </c>
      <c r="X961" t="s">
        <v>4786</v>
      </c>
      <c r="Y961" t="s">
        <v>18027</v>
      </c>
      <c r="Z961" t="s">
        <v>18028</v>
      </c>
      <c r="AA961" t="s">
        <v>11810</v>
      </c>
      <c r="AB961" t="s">
        <v>11811</v>
      </c>
      <c r="AC961" t="s">
        <v>18029</v>
      </c>
      <c r="AD961" t="s">
        <v>18030</v>
      </c>
      <c r="AE961" t="s">
        <v>18031</v>
      </c>
      <c r="AF961" t="s">
        <v>74</v>
      </c>
      <c r="AG961">
        <v>53</v>
      </c>
      <c r="AH961">
        <v>4</v>
      </c>
      <c r="AI961">
        <v>4</v>
      </c>
      <c r="AJ961">
        <v>0</v>
      </c>
      <c r="AK961">
        <v>1</v>
      </c>
      <c r="AL961" t="s">
        <v>3097</v>
      </c>
      <c r="AM961" t="s">
        <v>187</v>
      </c>
      <c r="AN961" t="s">
        <v>3098</v>
      </c>
      <c r="AO961" t="s">
        <v>3099</v>
      </c>
      <c r="AP961" t="s">
        <v>3100</v>
      </c>
      <c r="AQ961" t="s">
        <v>74</v>
      </c>
      <c r="AR961" t="s">
        <v>3101</v>
      </c>
      <c r="AS961" t="s">
        <v>3102</v>
      </c>
      <c r="AT961" t="s">
        <v>17151</v>
      </c>
      <c r="AU961">
        <v>2016</v>
      </c>
      <c r="AV961">
        <v>52</v>
      </c>
      <c r="AW961">
        <v>6</v>
      </c>
      <c r="AX961" t="s">
        <v>74</v>
      </c>
      <c r="AY961" t="s">
        <v>74</v>
      </c>
      <c r="AZ961" t="s">
        <v>74</v>
      </c>
      <c r="BA961" t="s">
        <v>74</v>
      </c>
      <c r="BB961">
        <v>698</v>
      </c>
      <c r="BC961">
        <v>716</v>
      </c>
      <c r="BD961" t="s">
        <v>74</v>
      </c>
      <c r="BE961" t="s">
        <v>18032</v>
      </c>
      <c r="BF961" t="str">
        <f>HYPERLINK("http://dx.doi.org/10.1017/S0032247416000255","http://dx.doi.org/10.1017/S0032247416000255")</f>
        <v>http://dx.doi.org/10.1017/S0032247416000255</v>
      </c>
      <c r="BG961" t="s">
        <v>74</v>
      </c>
      <c r="BH961" t="s">
        <v>74</v>
      </c>
      <c r="BI961">
        <v>19</v>
      </c>
      <c r="BJ961" t="s">
        <v>3104</v>
      </c>
      <c r="BK961" t="s">
        <v>18033</v>
      </c>
      <c r="BL961" t="s">
        <v>178</v>
      </c>
      <c r="BM961" t="s">
        <v>18020</v>
      </c>
      <c r="BN961" t="s">
        <v>74</v>
      </c>
      <c r="BO961" t="s">
        <v>74</v>
      </c>
      <c r="BP961" t="s">
        <v>74</v>
      </c>
      <c r="BQ961" t="s">
        <v>74</v>
      </c>
      <c r="BR961" t="s">
        <v>105</v>
      </c>
      <c r="BS961" t="s">
        <v>18034</v>
      </c>
      <c r="BT961" t="str">
        <f>HYPERLINK("https%3A%2F%2Fwww.webofscience.com%2Fwos%2Fwoscc%2Ffull-record%2FWOS:000387967200010","View Full Record in Web of Science")</f>
        <v>View Full Record in Web of Science</v>
      </c>
    </row>
    <row r="962" spans="1:72" x14ac:dyDescent="0.15">
      <c r="A962" t="s">
        <v>72</v>
      </c>
      <c r="B962" t="s">
        <v>18035</v>
      </c>
      <c r="C962" t="s">
        <v>74</v>
      </c>
      <c r="D962" t="s">
        <v>74</v>
      </c>
      <c r="E962" t="s">
        <v>74</v>
      </c>
      <c r="F962" t="s">
        <v>18036</v>
      </c>
      <c r="G962" t="s">
        <v>74</v>
      </c>
      <c r="H962" t="s">
        <v>74</v>
      </c>
      <c r="I962" t="s">
        <v>18037</v>
      </c>
      <c r="J962" t="s">
        <v>3085</v>
      </c>
      <c r="K962" t="s">
        <v>74</v>
      </c>
      <c r="L962" t="s">
        <v>74</v>
      </c>
      <c r="M962" t="s">
        <v>78</v>
      </c>
      <c r="N962" t="s">
        <v>79</v>
      </c>
      <c r="O962" t="s">
        <v>74</v>
      </c>
      <c r="P962" t="s">
        <v>74</v>
      </c>
      <c r="Q962" t="s">
        <v>74</v>
      </c>
      <c r="R962" t="s">
        <v>74</v>
      </c>
      <c r="S962" t="s">
        <v>74</v>
      </c>
      <c r="T962" t="s">
        <v>74</v>
      </c>
      <c r="U962" t="s">
        <v>74</v>
      </c>
      <c r="V962" t="s">
        <v>18038</v>
      </c>
      <c r="W962" t="s">
        <v>74</v>
      </c>
      <c r="X962" t="s">
        <v>74</v>
      </c>
      <c r="Y962" t="s">
        <v>74</v>
      </c>
      <c r="Z962" t="s">
        <v>18039</v>
      </c>
      <c r="AA962" t="s">
        <v>74</v>
      </c>
      <c r="AB962" t="s">
        <v>74</v>
      </c>
      <c r="AC962" t="s">
        <v>74</v>
      </c>
      <c r="AD962" t="s">
        <v>74</v>
      </c>
      <c r="AE962" t="s">
        <v>74</v>
      </c>
      <c r="AF962" t="s">
        <v>74</v>
      </c>
      <c r="AG962">
        <v>106</v>
      </c>
      <c r="AH962">
        <v>0</v>
      </c>
      <c r="AI962">
        <v>0</v>
      </c>
      <c r="AJ962">
        <v>0</v>
      </c>
      <c r="AK962">
        <v>4</v>
      </c>
      <c r="AL962" t="s">
        <v>3097</v>
      </c>
      <c r="AM962" t="s">
        <v>187</v>
      </c>
      <c r="AN962" t="s">
        <v>3098</v>
      </c>
      <c r="AO962" t="s">
        <v>3099</v>
      </c>
      <c r="AP962" t="s">
        <v>3100</v>
      </c>
      <c r="AQ962" t="s">
        <v>74</v>
      </c>
      <c r="AR962" t="s">
        <v>3101</v>
      </c>
      <c r="AS962" t="s">
        <v>3102</v>
      </c>
      <c r="AT962" t="s">
        <v>17151</v>
      </c>
      <c r="AU962">
        <v>2016</v>
      </c>
      <c r="AV962">
        <v>52</v>
      </c>
      <c r="AW962">
        <v>6</v>
      </c>
      <c r="AX962" t="s">
        <v>74</v>
      </c>
      <c r="AY962" t="s">
        <v>74</v>
      </c>
      <c r="AZ962" t="s">
        <v>74</v>
      </c>
      <c r="BA962" t="s">
        <v>74</v>
      </c>
      <c r="BB962">
        <v>717</v>
      </c>
      <c r="BC962">
        <v>729</v>
      </c>
      <c r="BD962" t="s">
        <v>74</v>
      </c>
      <c r="BE962" t="s">
        <v>18040</v>
      </c>
      <c r="BF962" t="str">
        <f>HYPERLINK("http://dx.doi.org/10.1017/S0032247416000292","http://dx.doi.org/10.1017/S0032247416000292")</f>
        <v>http://dx.doi.org/10.1017/S0032247416000292</v>
      </c>
      <c r="BG962" t="s">
        <v>74</v>
      </c>
      <c r="BH962" t="s">
        <v>74</v>
      </c>
      <c r="BI962">
        <v>13</v>
      </c>
      <c r="BJ962" t="s">
        <v>3104</v>
      </c>
      <c r="BK962" t="s">
        <v>101</v>
      </c>
      <c r="BL962" t="s">
        <v>178</v>
      </c>
      <c r="BM962" t="s">
        <v>18020</v>
      </c>
      <c r="BN962" t="s">
        <v>74</v>
      </c>
      <c r="BO962" t="s">
        <v>74</v>
      </c>
      <c r="BP962" t="s">
        <v>74</v>
      </c>
      <c r="BQ962" t="s">
        <v>74</v>
      </c>
      <c r="BR962" t="s">
        <v>105</v>
      </c>
      <c r="BS962" t="s">
        <v>18041</v>
      </c>
      <c r="BT962" t="str">
        <f>HYPERLINK("https%3A%2F%2Fwww.webofscience.com%2Fwos%2Fwoscc%2Ffull-record%2FWOS:000387967200011","View Full Record in Web of Science")</f>
        <v>View Full Record in Web of Science</v>
      </c>
    </row>
    <row r="963" spans="1:72" x14ac:dyDescent="0.15">
      <c r="A963" t="s">
        <v>72</v>
      </c>
      <c r="B963" t="s">
        <v>18042</v>
      </c>
      <c r="C963" t="s">
        <v>74</v>
      </c>
      <c r="D963" t="s">
        <v>74</v>
      </c>
      <c r="E963" t="s">
        <v>74</v>
      </c>
      <c r="F963" t="s">
        <v>18043</v>
      </c>
      <c r="G963" t="s">
        <v>74</v>
      </c>
      <c r="H963" t="s">
        <v>74</v>
      </c>
      <c r="I963" t="s">
        <v>18044</v>
      </c>
      <c r="J963" t="s">
        <v>18045</v>
      </c>
      <c r="K963" t="s">
        <v>74</v>
      </c>
      <c r="L963" t="s">
        <v>74</v>
      </c>
      <c r="M963" t="s">
        <v>78</v>
      </c>
      <c r="N963" t="s">
        <v>79</v>
      </c>
      <c r="O963" t="s">
        <v>74</v>
      </c>
      <c r="P963" t="s">
        <v>74</v>
      </c>
      <c r="Q963" t="s">
        <v>74</v>
      </c>
      <c r="R963" t="s">
        <v>74</v>
      </c>
      <c r="S963" t="s">
        <v>74</v>
      </c>
      <c r="T963" t="s">
        <v>18046</v>
      </c>
      <c r="U963" t="s">
        <v>18047</v>
      </c>
      <c r="V963" t="s">
        <v>18048</v>
      </c>
      <c r="W963" t="s">
        <v>18049</v>
      </c>
      <c r="X963" t="s">
        <v>18050</v>
      </c>
      <c r="Y963" t="s">
        <v>18051</v>
      </c>
      <c r="Z963" t="s">
        <v>18052</v>
      </c>
      <c r="AA963" t="s">
        <v>18053</v>
      </c>
      <c r="AB963" t="s">
        <v>18054</v>
      </c>
      <c r="AC963" t="s">
        <v>18055</v>
      </c>
      <c r="AD963" t="s">
        <v>18056</v>
      </c>
      <c r="AE963" t="s">
        <v>18057</v>
      </c>
      <c r="AF963" t="s">
        <v>74</v>
      </c>
      <c r="AG963">
        <v>41</v>
      </c>
      <c r="AH963">
        <v>10</v>
      </c>
      <c r="AI963">
        <v>10</v>
      </c>
      <c r="AJ963">
        <v>1</v>
      </c>
      <c r="AK963">
        <v>2</v>
      </c>
      <c r="AL963" t="s">
        <v>18058</v>
      </c>
      <c r="AM963" t="s">
        <v>18059</v>
      </c>
      <c r="AN963" t="s">
        <v>18060</v>
      </c>
      <c r="AO963" t="s">
        <v>74</v>
      </c>
      <c r="AP963" t="s">
        <v>18061</v>
      </c>
      <c r="AQ963" t="s">
        <v>74</v>
      </c>
      <c r="AR963" t="s">
        <v>18062</v>
      </c>
      <c r="AS963" t="s">
        <v>18063</v>
      </c>
      <c r="AT963" t="s">
        <v>17151</v>
      </c>
      <c r="AU963">
        <v>2016</v>
      </c>
      <c r="AV963">
        <v>72</v>
      </c>
      <c r="AW963" t="s">
        <v>74</v>
      </c>
      <c r="AX963">
        <v>11</v>
      </c>
      <c r="AY963" t="s">
        <v>74</v>
      </c>
      <c r="AZ963" t="s">
        <v>74</v>
      </c>
      <c r="BA963" t="s">
        <v>74</v>
      </c>
      <c r="BB963">
        <v>831</v>
      </c>
      <c r="BC963">
        <v>839</v>
      </c>
      <c r="BD963" t="s">
        <v>74</v>
      </c>
      <c r="BE963" t="s">
        <v>18064</v>
      </c>
      <c r="BF963" t="str">
        <f>HYPERLINK("http://dx.doi.org/10.1107/S2053230X16015612","http://dx.doi.org/10.1107/S2053230X16015612")</f>
        <v>http://dx.doi.org/10.1107/S2053230X16015612</v>
      </c>
      <c r="BG963" t="s">
        <v>74</v>
      </c>
      <c r="BH963" t="s">
        <v>74</v>
      </c>
      <c r="BI963">
        <v>9</v>
      </c>
      <c r="BJ963" t="s">
        <v>18065</v>
      </c>
      <c r="BK963" t="s">
        <v>101</v>
      </c>
      <c r="BL963" t="s">
        <v>18066</v>
      </c>
      <c r="BM963" t="s">
        <v>18067</v>
      </c>
      <c r="BN963">
        <v>27827354</v>
      </c>
      <c r="BO963" t="s">
        <v>9194</v>
      </c>
      <c r="BP963" t="s">
        <v>74</v>
      </c>
      <c r="BQ963" t="s">
        <v>74</v>
      </c>
      <c r="BR963" t="s">
        <v>105</v>
      </c>
      <c r="BS963" t="s">
        <v>18068</v>
      </c>
      <c r="BT963" t="str">
        <f>HYPERLINK("https%3A%2F%2Fwww.webofscience.com%2Fwos%2Fwoscc%2Ffull-record%2FWOS:000387585800005","View Full Record in Web of Science")</f>
        <v>View Full Record in Web of Science</v>
      </c>
    </row>
    <row r="964" spans="1:72" x14ac:dyDescent="0.15">
      <c r="A964" t="s">
        <v>72</v>
      </c>
      <c r="B964" t="s">
        <v>18069</v>
      </c>
      <c r="C964" t="s">
        <v>74</v>
      </c>
      <c r="D964" t="s">
        <v>74</v>
      </c>
      <c r="E964" t="s">
        <v>74</v>
      </c>
      <c r="F964" t="s">
        <v>18070</v>
      </c>
      <c r="G964" t="s">
        <v>74</v>
      </c>
      <c r="H964" t="s">
        <v>74</v>
      </c>
      <c r="I964" t="s">
        <v>18071</v>
      </c>
      <c r="J964" t="s">
        <v>18072</v>
      </c>
      <c r="K964" t="s">
        <v>74</v>
      </c>
      <c r="L964" t="s">
        <v>74</v>
      </c>
      <c r="M964" t="s">
        <v>5225</v>
      </c>
      <c r="N964" t="s">
        <v>79</v>
      </c>
      <c r="O964" t="s">
        <v>74</v>
      </c>
      <c r="P964" t="s">
        <v>74</v>
      </c>
      <c r="Q964" t="s">
        <v>74</v>
      </c>
      <c r="R964" t="s">
        <v>74</v>
      </c>
      <c r="S964" t="s">
        <v>74</v>
      </c>
      <c r="T964" t="s">
        <v>18073</v>
      </c>
      <c r="U964" t="s">
        <v>18074</v>
      </c>
      <c r="V964" t="s">
        <v>18075</v>
      </c>
      <c r="W964" t="s">
        <v>18076</v>
      </c>
      <c r="X964" t="s">
        <v>18077</v>
      </c>
      <c r="Y964" t="s">
        <v>18078</v>
      </c>
      <c r="Z964" t="s">
        <v>18079</v>
      </c>
      <c r="AA964" t="s">
        <v>18080</v>
      </c>
      <c r="AB964" t="s">
        <v>74</v>
      </c>
      <c r="AC964" t="s">
        <v>74</v>
      </c>
      <c r="AD964" t="s">
        <v>74</v>
      </c>
      <c r="AE964" t="s">
        <v>74</v>
      </c>
      <c r="AF964" t="s">
        <v>74</v>
      </c>
      <c r="AG964">
        <v>34</v>
      </c>
      <c r="AH964">
        <v>5</v>
      </c>
      <c r="AI964">
        <v>5</v>
      </c>
      <c r="AJ964">
        <v>0</v>
      </c>
      <c r="AK964">
        <v>32</v>
      </c>
      <c r="AL964" t="s">
        <v>3235</v>
      </c>
      <c r="AM964" t="s">
        <v>3236</v>
      </c>
      <c r="AN964" t="s">
        <v>3237</v>
      </c>
      <c r="AO964" t="s">
        <v>18081</v>
      </c>
      <c r="AP964" t="s">
        <v>74</v>
      </c>
      <c r="AQ964" t="s">
        <v>74</v>
      </c>
      <c r="AR964" t="s">
        <v>18082</v>
      </c>
      <c r="AS964" t="s">
        <v>18083</v>
      </c>
      <c r="AT964" t="s">
        <v>17151</v>
      </c>
      <c r="AU964">
        <v>2016</v>
      </c>
      <c r="AV964">
        <v>59</v>
      </c>
      <c r="AW964">
        <v>11</v>
      </c>
      <c r="AX964" t="s">
        <v>74</v>
      </c>
      <c r="AY964" t="s">
        <v>74</v>
      </c>
      <c r="AZ964" t="s">
        <v>74</v>
      </c>
      <c r="BA964" t="s">
        <v>74</v>
      </c>
      <c r="BB964">
        <v>4007</v>
      </c>
      <c r="BC964">
        <v>4021</v>
      </c>
      <c r="BD964" t="s">
        <v>74</v>
      </c>
      <c r="BE964" t="s">
        <v>18084</v>
      </c>
      <c r="BF964" t="str">
        <f>HYPERLINK("http://dx.doi.org/10.6038/cjg20161107","http://dx.doi.org/10.6038/cjg20161107")</f>
        <v>http://dx.doi.org/10.6038/cjg20161107</v>
      </c>
      <c r="BG964" t="s">
        <v>74</v>
      </c>
      <c r="BH964" t="s">
        <v>74</v>
      </c>
      <c r="BI964">
        <v>15</v>
      </c>
      <c r="BJ964" t="s">
        <v>299</v>
      </c>
      <c r="BK964" t="s">
        <v>101</v>
      </c>
      <c r="BL964" t="s">
        <v>299</v>
      </c>
      <c r="BM964" t="s">
        <v>18085</v>
      </c>
      <c r="BN964" t="s">
        <v>74</v>
      </c>
      <c r="BO964" t="s">
        <v>74</v>
      </c>
      <c r="BP964" t="s">
        <v>74</v>
      </c>
      <c r="BQ964" t="s">
        <v>74</v>
      </c>
      <c r="BR964" t="s">
        <v>105</v>
      </c>
      <c r="BS964" t="s">
        <v>18086</v>
      </c>
      <c r="BT964" t="str">
        <f>HYPERLINK("https%3A%2F%2Fwww.webofscience.com%2Fwos%2Fwoscc%2Ffull-record%2FWOS:000387300200007","View Full Record in Web of Science")</f>
        <v>View Full Record in Web of Science</v>
      </c>
    </row>
    <row r="965" spans="1:72" x14ac:dyDescent="0.15">
      <c r="A965" t="s">
        <v>72</v>
      </c>
      <c r="B965" t="s">
        <v>18087</v>
      </c>
      <c r="C965" t="s">
        <v>74</v>
      </c>
      <c r="D965" t="s">
        <v>74</v>
      </c>
      <c r="E965" t="s">
        <v>74</v>
      </c>
      <c r="F965" t="s">
        <v>18088</v>
      </c>
      <c r="G965" t="s">
        <v>74</v>
      </c>
      <c r="H965" t="s">
        <v>74</v>
      </c>
      <c r="I965" t="s">
        <v>18089</v>
      </c>
      <c r="J965" t="s">
        <v>18090</v>
      </c>
      <c r="K965" t="s">
        <v>74</v>
      </c>
      <c r="L965" t="s">
        <v>74</v>
      </c>
      <c r="M965" t="s">
        <v>78</v>
      </c>
      <c r="N965" t="s">
        <v>79</v>
      </c>
      <c r="O965" t="s">
        <v>74</v>
      </c>
      <c r="P965" t="s">
        <v>74</v>
      </c>
      <c r="Q965" t="s">
        <v>74</v>
      </c>
      <c r="R965" t="s">
        <v>74</v>
      </c>
      <c r="S965" t="s">
        <v>74</v>
      </c>
      <c r="T965" t="s">
        <v>74</v>
      </c>
      <c r="U965" t="s">
        <v>18091</v>
      </c>
      <c r="V965" t="s">
        <v>18092</v>
      </c>
      <c r="W965" t="s">
        <v>18093</v>
      </c>
      <c r="X965" t="s">
        <v>18094</v>
      </c>
      <c r="Y965" t="s">
        <v>18095</v>
      </c>
      <c r="Z965" t="s">
        <v>18096</v>
      </c>
      <c r="AA965" t="s">
        <v>18097</v>
      </c>
      <c r="AB965" t="s">
        <v>18098</v>
      </c>
      <c r="AC965" t="s">
        <v>18099</v>
      </c>
      <c r="AD965" t="s">
        <v>18100</v>
      </c>
      <c r="AE965" t="s">
        <v>18101</v>
      </c>
      <c r="AF965" t="s">
        <v>74</v>
      </c>
      <c r="AG965">
        <v>56</v>
      </c>
      <c r="AH965">
        <v>85</v>
      </c>
      <c r="AI965">
        <v>88</v>
      </c>
      <c r="AJ965">
        <v>1</v>
      </c>
      <c r="AK965">
        <v>40</v>
      </c>
      <c r="AL965" t="s">
        <v>211</v>
      </c>
      <c r="AM965" t="s">
        <v>212</v>
      </c>
      <c r="AN965" t="s">
        <v>213</v>
      </c>
      <c r="AO965" t="s">
        <v>18102</v>
      </c>
      <c r="AP965" t="s">
        <v>18103</v>
      </c>
      <c r="AQ965" t="s">
        <v>74</v>
      </c>
      <c r="AR965" t="s">
        <v>18090</v>
      </c>
      <c r="AS965" t="s">
        <v>18104</v>
      </c>
      <c r="AT965" t="s">
        <v>17151</v>
      </c>
      <c r="AU965">
        <v>2016</v>
      </c>
      <c r="AV965">
        <v>139</v>
      </c>
      <c r="AW965">
        <v>1</v>
      </c>
      <c r="AX965" t="s">
        <v>74</v>
      </c>
      <c r="AY965" t="s">
        <v>74</v>
      </c>
      <c r="AZ965" t="s">
        <v>74</v>
      </c>
      <c r="BA965" t="s">
        <v>74</v>
      </c>
      <c r="BB965">
        <v>21</v>
      </c>
      <c r="BC965">
        <v>35</v>
      </c>
      <c r="BD965" t="s">
        <v>74</v>
      </c>
      <c r="BE965" t="s">
        <v>18105</v>
      </c>
      <c r="BF965" t="str">
        <f>HYPERLINK("http://dx.doi.org/10.1007/s10584-016-1689-y","http://dx.doi.org/10.1007/s10584-016-1689-y")</f>
        <v>http://dx.doi.org/10.1007/s10584-016-1689-y</v>
      </c>
      <c r="BG965" t="s">
        <v>74</v>
      </c>
      <c r="BH965" t="s">
        <v>74</v>
      </c>
      <c r="BI965">
        <v>15</v>
      </c>
      <c r="BJ965" t="s">
        <v>981</v>
      </c>
      <c r="BK965" t="s">
        <v>101</v>
      </c>
      <c r="BL965" t="s">
        <v>982</v>
      </c>
      <c r="BM965" t="s">
        <v>18106</v>
      </c>
      <c r="BN965" t="s">
        <v>74</v>
      </c>
      <c r="BO965" t="s">
        <v>1223</v>
      </c>
      <c r="BP965" t="s">
        <v>74</v>
      </c>
      <c r="BQ965" t="s">
        <v>74</v>
      </c>
      <c r="BR965" t="s">
        <v>105</v>
      </c>
      <c r="BS965" t="s">
        <v>18107</v>
      </c>
      <c r="BT965" t="str">
        <f>HYPERLINK("https%3A%2F%2Fwww.webofscience.com%2Fwos%2Fwoscc%2Ffull-record%2FWOS:000387580100002","View Full Record in Web of Science")</f>
        <v>View Full Record in Web of Science</v>
      </c>
    </row>
    <row r="966" spans="1:72" x14ac:dyDescent="0.15">
      <c r="A966" t="s">
        <v>72</v>
      </c>
      <c r="B966" t="s">
        <v>18108</v>
      </c>
      <c r="C966" t="s">
        <v>74</v>
      </c>
      <c r="D966" t="s">
        <v>74</v>
      </c>
      <c r="E966" t="s">
        <v>74</v>
      </c>
      <c r="F966" t="s">
        <v>18109</v>
      </c>
      <c r="G966" t="s">
        <v>74</v>
      </c>
      <c r="H966" t="s">
        <v>74</v>
      </c>
      <c r="I966" t="s">
        <v>18110</v>
      </c>
      <c r="J966" t="s">
        <v>18090</v>
      </c>
      <c r="K966" t="s">
        <v>74</v>
      </c>
      <c r="L966" t="s">
        <v>74</v>
      </c>
      <c r="M966" t="s">
        <v>78</v>
      </c>
      <c r="N966" t="s">
        <v>79</v>
      </c>
      <c r="O966" t="s">
        <v>74</v>
      </c>
      <c r="P966" t="s">
        <v>74</v>
      </c>
      <c r="Q966" t="s">
        <v>74</v>
      </c>
      <c r="R966" t="s">
        <v>74</v>
      </c>
      <c r="S966" t="s">
        <v>74</v>
      </c>
      <c r="T966" t="s">
        <v>74</v>
      </c>
      <c r="U966" t="s">
        <v>18111</v>
      </c>
      <c r="V966" t="s">
        <v>18112</v>
      </c>
      <c r="W966" t="s">
        <v>18113</v>
      </c>
      <c r="X966" t="s">
        <v>18114</v>
      </c>
      <c r="Y966" t="s">
        <v>18115</v>
      </c>
      <c r="Z966" t="s">
        <v>18116</v>
      </c>
      <c r="AA966" t="s">
        <v>18117</v>
      </c>
      <c r="AB966" t="s">
        <v>18118</v>
      </c>
      <c r="AC966" t="s">
        <v>18119</v>
      </c>
      <c r="AD966" t="s">
        <v>18120</v>
      </c>
      <c r="AE966" t="s">
        <v>18121</v>
      </c>
      <c r="AF966" t="s">
        <v>74</v>
      </c>
      <c r="AG966">
        <v>81</v>
      </c>
      <c r="AH966">
        <v>24</v>
      </c>
      <c r="AI966">
        <v>25</v>
      </c>
      <c r="AJ966">
        <v>0</v>
      </c>
      <c r="AK966">
        <v>20</v>
      </c>
      <c r="AL966" t="s">
        <v>211</v>
      </c>
      <c r="AM966" t="s">
        <v>212</v>
      </c>
      <c r="AN966" t="s">
        <v>213</v>
      </c>
      <c r="AO966" t="s">
        <v>18102</v>
      </c>
      <c r="AP966" t="s">
        <v>18103</v>
      </c>
      <c r="AQ966" t="s">
        <v>74</v>
      </c>
      <c r="AR966" t="s">
        <v>18090</v>
      </c>
      <c r="AS966" t="s">
        <v>18104</v>
      </c>
      <c r="AT966" t="s">
        <v>17151</v>
      </c>
      <c r="AU966">
        <v>2016</v>
      </c>
      <c r="AV966">
        <v>139</v>
      </c>
      <c r="AW966">
        <v>1</v>
      </c>
      <c r="AX966" t="s">
        <v>74</v>
      </c>
      <c r="AY966" t="s">
        <v>74</v>
      </c>
      <c r="AZ966" t="s">
        <v>74</v>
      </c>
      <c r="BA966" t="s">
        <v>74</v>
      </c>
      <c r="BB966">
        <v>55</v>
      </c>
      <c r="BC966">
        <v>67</v>
      </c>
      <c r="BD966" t="s">
        <v>74</v>
      </c>
      <c r="BE966" t="s">
        <v>18122</v>
      </c>
      <c r="BF966" t="str">
        <f>HYPERLINK("http://dx.doi.org/10.1007/s10584-016-1737-7","http://dx.doi.org/10.1007/s10584-016-1737-7")</f>
        <v>http://dx.doi.org/10.1007/s10584-016-1737-7</v>
      </c>
      <c r="BG966" t="s">
        <v>74</v>
      </c>
      <c r="BH966" t="s">
        <v>74</v>
      </c>
      <c r="BI966">
        <v>13</v>
      </c>
      <c r="BJ966" t="s">
        <v>981</v>
      </c>
      <c r="BK966" t="s">
        <v>101</v>
      </c>
      <c r="BL966" t="s">
        <v>982</v>
      </c>
      <c r="BM966" t="s">
        <v>18106</v>
      </c>
      <c r="BN966" t="s">
        <v>74</v>
      </c>
      <c r="BO966" t="s">
        <v>1695</v>
      </c>
      <c r="BP966" t="s">
        <v>74</v>
      </c>
      <c r="BQ966" t="s">
        <v>74</v>
      </c>
      <c r="BR966" t="s">
        <v>105</v>
      </c>
      <c r="BS966" t="s">
        <v>18123</v>
      </c>
      <c r="BT966" t="str">
        <f>HYPERLINK("https%3A%2F%2Fwww.webofscience.com%2Fwos%2Fwoscc%2Ffull-record%2FWOS:000387580100004","View Full Record in Web of Science")</f>
        <v>View Full Record in Web of Science</v>
      </c>
    </row>
    <row r="967" spans="1:72" x14ac:dyDescent="0.15">
      <c r="A967" t="s">
        <v>72</v>
      </c>
      <c r="B967" t="s">
        <v>18124</v>
      </c>
      <c r="C967" t="s">
        <v>74</v>
      </c>
      <c r="D967" t="s">
        <v>74</v>
      </c>
      <c r="E967" t="s">
        <v>74</v>
      </c>
      <c r="F967" t="s">
        <v>18125</v>
      </c>
      <c r="G967" t="s">
        <v>74</v>
      </c>
      <c r="H967" t="s">
        <v>74</v>
      </c>
      <c r="I967" t="s">
        <v>18126</v>
      </c>
      <c r="J967" t="s">
        <v>8664</v>
      </c>
      <c r="K967" t="s">
        <v>74</v>
      </c>
      <c r="L967" t="s">
        <v>74</v>
      </c>
      <c r="M967" t="s">
        <v>78</v>
      </c>
      <c r="N967" t="s">
        <v>79</v>
      </c>
      <c r="O967" t="s">
        <v>74</v>
      </c>
      <c r="P967" t="s">
        <v>74</v>
      </c>
      <c r="Q967" t="s">
        <v>74</v>
      </c>
      <c r="R967" t="s">
        <v>74</v>
      </c>
      <c r="S967" t="s">
        <v>74</v>
      </c>
      <c r="T967" t="s">
        <v>18127</v>
      </c>
      <c r="U967" t="s">
        <v>18128</v>
      </c>
      <c r="V967" t="s">
        <v>18129</v>
      </c>
      <c r="W967" t="s">
        <v>18130</v>
      </c>
      <c r="X967" t="s">
        <v>18131</v>
      </c>
      <c r="Y967" t="s">
        <v>18132</v>
      </c>
      <c r="Z967" t="s">
        <v>18133</v>
      </c>
      <c r="AA967" t="s">
        <v>18134</v>
      </c>
      <c r="AB967" t="s">
        <v>18135</v>
      </c>
      <c r="AC967" t="s">
        <v>18136</v>
      </c>
      <c r="AD967" t="s">
        <v>18137</v>
      </c>
      <c r="AE967" t="s">
        <v>18138</v>
      </c>
      <c r="AF967" t="s">
        <v>74</v>
      </c>
      <c r="AG967">
        <v>28</v>
      </c>
      <c r="AH967">
        <v>8</v>
      </c>
      <c r="AI967">
        <v>8</v>
      </c>
      <c r="AJ967">
        <v>1</v>
      </c>
      <c r="AK967">
        <v>39</v>
      </c>
      <c r="AL967" t="s">
        <v>3841</v>
      </c>
      <c r="AM967" t="s">
        <v>3261</v>
      </c>
      <c r="AN967" t="s">
        <v>18139</v>
      </c>
      <c r="AO967" t="s">
        <v>8681</v>
      </c>
      <c r="AP967" t="s">
        <v>8682</v>
      </c>
      <c r="AQ967" t="s">
        <v>74</v>
      </c>
      <c r="AR967" t="s">
        <v>8664</v>
      </c>
      <c r="AS967" t="s">
        <v>8683</v>
      </c>
      <c r="AT967" t="s">
        <v>17151</v>
      </c>
      <c r="AU967">
        <v>2016</v>
      </c>
      <c r="AV967">
        <v>20</v>
      </c>
      <c r="AW967">
        <v>6</v>
      </c>
      <c r="AX967" t="s">
        <v>74</v>
      </c>
      <c r="AY967" t="s">
        <v>74</v>
      </c>
      <c r="AZ967" t="s">
        <v>74</v>
      </c>
      <c r="BA967" t="s">
        <v>74</v>
      </c>
      <c r="BB967">
        <v>875</v>
      </c>
      <c r="BC967">
        <v>884</v>
      </c>
      <c r="BD967" t="s">
        <v>74</v>
      </c>
      <c r="BE967" t="s">
        <v>18140</v>
      </c>
      <c r="BF967" t="str">
        <f>HYPERLINK("http://dx.doi.org/10.1007/s00792-016-0878-y","http://dx.doi.org/10.1007/s00792-016-0878-y")</f>
        <v>http://dx.doi.org/10.1007/s00792-016-0878-y</v>
      </c>
      <c r="BG967" t="s">
        <v>74</v>
      </c>
      <c r="BH967" t="s">
        <v>74</v>
      </c>
      <c r="BI967">
        <v>10</v>
      </c>
      <c r="BJ967" t="s">
        <v>8685</v>
      </c>
      <c r="BK967" t="s">
        <v>101</v>
      </c>
      <c r="BL967" t="s">
        <v>8685</v>
      </c>
      <c r="BM967" t="s">
        <v>18141</v>
      </c>
      <c r="BN967">
        <v>27709303</v>
      </c>
      <c r="BO967" t="s">
        <v>74</v>
      </c>
      <c r="BP967" t="s">
        <v>74</v>
      </c>
      <c r="BQ967" t="s">
        <v>74</v>
      </c>
      <c r="BR967" t="s">
        <v>105</v>
      </c>
      <c r="BS967" t="s">
        <v>18142</v>
      </c>
      <c r="BT967" t="str">
        <f>HYPERLINK("https%3A%2F%2Fwww.webofscience.com%2Fwos%2Fwoscc%2Ffull-record%2FWOS:000387270500006","View Full Record in Web of Science")</f>
        <v>View Full Record in Web of Science</v>
      </c>
    </row>
    <row r="968" spans="1:72" x14ac:dyDescent="0.15">
      <c r="A968" t="s">
        <v>72</v>
      </c>
      <c r="B968" t="s">
        <v>18143</v>
      </c>
      <c r="C968" t="s">
        <v>74</v>
      </c>
      <c r="D968" t="s">
        <v>74</v>
      </c>
      <c r="E968" t="s">
        <v>74</v>
      </c>
      <c r="F968" t="s">
        <v>18144</v>
      </c>
      <c r="G968" t="s">
        <v>74</v>
      </c>
      <c r="H968" t="s">
        <v>74</v>
      </c>
      <c r="I968" t="s">
        <v>18145</v>
      </c>
      <c r="J968" t="s">
        <v>18146</v>
      </c>
      <c r="K968" t="s">
        <v>74</v>
      </c>
      <c r="L968" t="s">
        <v>74</v>
      </c>
      <c r="M968" t="s">
        <v>78</v>
      </c>
      <c r="N968" t="s">
        <v>79</v>
      </c>
      <c r="O968" t="s">
        <v>74</v>
      </c>
      <c r="P968" t="s">
        <v>74</v>
      </c>
      <c r="Q968" t="s">
        <v>74</v>
      </c>
      <c r="R968" t="s">
        <v>74</v>
      </c>
      <c r="S968" t="s">
        <v>74</v>
      </c>
      <c r="T968" t="s">
        <v>18147</v>
      </c>
      <c r="U968" t="s">
        <v>18148</v>
      </c>
      <c r="V968" t="s">
        <v>18149</v>
      </c>
      <c r="W968" t="s">
        <v>18150</v>
      </c>
      <c r="X968" t="s">
        <v>74</v>
      </c>
      <c r="Y968" t="s">
        <v>18151</v>
      </c>
      <c r="Z968" t="s">
        <v>18152</v>
      </c>
      <c r="AA968" t="s">
        <v>74</v>
      </c>
      <c r="AB968" t="s">
        <v>74</v>
      </c>
      <c r="AC968" t="s">
        <v>74</v>
      </c>
      <c r="AD968" t="s">
        <v>74</v>
      </c>
      <c r="AE968" t="s">
        <v>74</v>
      </c>
      <c r="AF968" t="s">
        <v>74</v>
      </c>
      <c r="AG968">
        <v>38</v>
      </c>
      <c r="AH968">
        <v>7</v>
      </c>
      <c r="AI968">
        <v>8</v>
      </c>
      <c r="AJ968">
        <v>0</v>
      </c>
      <c r="AK968">
        <v>39</v>
      </c>
      <c r="AL968" t="s">
        <v>3841</v>
      </c>
      <c r="AM968" t="s">
        <v>3261</v>
      </c>
      <c r="AN968" t="s">
        <v>18139</v>
      </c>
      <c r="AO968" t="s">
        <v>18153</v>
      </c>
      <c r="AP968" t="s">
        <v>18154</v>
      </c>
      <c r="AQ968" t="s">
        <v>74</v>
      </c>
      <c r="AR968" t="s">
        <v>18155</v>
      </c>
      <c r="AS968" t="s">
        <v>18156</v>
      </c>
      <c r="AT968" t="s">
        <v>17151</v>
      </c>
      <c r="AU968">
        <v>2016</v>
      </c>
      <c r="AV968">
        <v>82</v>
      </c>
      <c r="AW968">
        <v>6</v>
      </c>
      <c r="AX968" t="s">
        <v>74</v>
      </c>
      <c r="AY968" t="s">
        <v>74</v>
      </c>
      <c r="AZ968" t="s">
        <v>74</v>
      </c>
      <c r="BA968" t="s">
        <v>74</v>
      </c>
      <c r="BB968">
        <v>873</v>
      </c>
      <c r="BC968">
        <v>886</v>
      </c>
      <c r="BD968" t="s">
        <v>74</v>
      </c>
      <c r="BE968" t="s">
        <v>18157</v>
      </c>
      <c r="BF968" t="str">
        <f>HYPERLINK("http://dx.doi.org/10.1007/s12562-016-1025-5","http://dx.doi.org/10.1007/s12562-016-1025-5")</f>
        <v>http://dx.doi.org/10.1007/s12562-016-1025-5</v>
      </c>
      <c r="BG968" t="s">
        <v>74</v>
      </c>
      <c r="BH968" t="s">
        <v>74</v>
      </c>
      <c r="BI968">
        <v>14</v>
      </c>
      <c r="BJ968" t="s">
        <v>272</v>
      </c>
      <c r="BK968" t="s">
        <v>101</v>
      </c>
      <c r="BL968" t="s">
        <v>272</v>
      </c>
      <c r="BM968" t="s">
        <v>18158</v>
      </c>
      <c r="BN968" t="s">
        <v>74</v>
      </c>
      <c r="BO968" t="s">
        <v>74</v>
      </c>
      <c r="BP968" t="s">
        <v>74</v>
      </c>
      <c r="BQ968" t="s">
        <v>74</v>
      </c>
      <c r="BR968" t="s">
        <v>105</v>
      </c>
      <c r="BS968" t="s">
        <v>18159</v>
      </c>
      <c r="BT968" t="str">
        <f>HYPERLINK("https%3A%2F%2Fwww.webofscience.com%2Fwos%2Fwoscc%2Ffull-record%2FWOS:000387335500003","View Full Record in Web of Science")</f>
        <v>View Full Record in Web of Science</v>
      </c>
    </row>
    <row r="969" spans="1:72" x14ac:dyDescent="0.15">
      <c r="A969" t="s">
        <v>72</v>
      </c>
      <c r="B969" t="s">
        <v>18160</v>
      </c>
      <c r="C969" t="s">
        <v>74</v>
      </c>
      <c r="D969" t="s">
        <v>74</v>
      </c>
      <c r="E969" t="s">
        <v>74</v>
      </c>
      <c r="F969" t="s">
        <v>18161</v>
      </c>
      <c r="G969" t="s">
        <v>74</v>
      </c>
      <c r="H969" t="s">
        <v>74</v>
      </c>
      <c r="I969" t="s">
        <v>18162</v>
      </c>
      <c r="J969" t="s">
        <v>18163</v>
      </c>
      <c r="K969" t="s">
        <v>74</v>
      </c>
      <c r="L969" t="s">
        <v>74</v>
      </c>
      <c r="M969" t="s">
        <v>78</v>
      </c>
      <c r="N969" t="s">
        <v>79</v>
      </c>
      <c r="O969" t="s">
        <v>74</v>
      </c>
      <c r="P969" t="s">
        <v>74</v>
      </c>
      <c r="Q969" t="s">
        <v>74</v>
      </c>
      <c r="R969" t="s">
        <v>74</v>
      </c>
      <c r="S969" t="s">
        <v>74</v>
      </c>
      <c r="T969" t="s">
        <v>18164</v>
      </c>
      <c r="U969" t="s">
        <v>18165</v>
      </c>
      <c r="V969" t="s">
        <v>18166</v>
      </c>
      <c r="W969" t="s">
        <v>18167</v>
      </c>
      <c r="X969" t="s">
        <v>18168</v>
      </c>
      <c r="Y969" t="s">
        <v>18169</v>
      </c>
      <c r="Z969" t="s">
        <v>18170</v>
      </c>
      <c r="AA969" t="s">
        <v>18171</v>
      </c>
      <c r="AB969" t="s">
        <v>18172</v>
      </c>
      <c r="AC969" t="s">
        <v>18173</v>
      </c>
      <c r="AD969" t="s">
        <v>18173</v>
      </c>
      <c r="AE969" t="s">
        <v>18174</v>
      </c>
      <c r="AF969" t="s">
        <v>74</v>
      </c>
      <c r="AG969">
        <v>66</v>
      </c>
      <c r="AH969">
        <v>13</v>
      </c>
      <c r="AI969">
        <v>14</v>
      </c>
      <c r="AJ969">
        <v>3</v>
      </c>
      <c r="AK969">
        <v>26</v>
      </c>
      <c r="AL969" t="s">
        <v>2377</v>
      </c>
      <c r="AM969" t="s">
        <v>2378</v>
      </c>
      <c r="AN969" t="s">
        <v>2379</v>
      </c>
      <c r="AO969" t="s">
        <v>18175</v>
      </c>
      <c r="AP969" t="s">
        <v>18176</v>
      </c>
      <c r="AQ969" t="s">
        <v>74</v>
      </c>
      <c r="AR969" t="s">
        <v>18177</v>
      </c>
      <c r="AS969" t="s">
        <v>18178</v>
      </c>
      <c r="AT969" t="s">
        <v>17151</v>
      </c>
      <c r="AU969">
        <v>2016</v>
      </c>
      <c r="AV969">
        <v>30</v>
      </c>
      <c r="AW969">
        <v>11</v>
      </c>
      <c r="AX969" t="s">
        <v>74</v>
      </c>
      <c r="AY969" t="s">
        <v>74</v>
      </c>
      <c r="AZ969" t="s">
        <v>74</v>
      </c>
      <c r="BA969" t="s">
        <v>74</v>
      </c>
      <c r="BB969">
        <v>1834</v>
      </c>
      <c r="BC969">
        <v>1844</v>
      </c>
      <c r="BD969" t="s">
        <v>74</v>
      </c>
      <c r="BE969" t="s">
        <v>18179</v>
      </c>
      <c r="BF969" t="str">
        <f>HYPERLINK("http://dx.doi.org/10.1111/1365-2435.12675","http://dx.doi.org/10.1111/1365-2435.12675")</f>
        <v>http://dx.doi.org/10.1111/1365-2435.12675</v>
      </c>
      <c r="BG969" t="s">
        <v>74</v>
      </c>
      <c r="BH969" t="s">
        <v>74</v>
      </c>
      <c r="BI969">
        <v>11</v>
      </c>
      <c r="BJ969" t="s">
        <v>1739</v>
      </c>
      <c r="BK969" t="s">
        <v>101</v>
      </c>
      <c r="BL969" t="s">
        <v>178</v>
      </c>
      <c r="BM969" t="s">
        <v>18180</v>
      </c>
      <c r="BN969" t="s">
        <v>74</v>
      </c>
      <c r="BO969" t="s">
        <v>672</v>
      </c>
      <c r="BP969" t="s">
        <v>74</v>
      </c>
      <c r="BQ969" t="s">
        <v>74</v>
      </c>
      <c r="BR969" t="s">
        <v>105</v>
      </c>
      <c r="BS969" t="s">
        <v>18181</v>
      </c>
      <c r="BT969" t="str">
        <f>HYPERLINK("https%3A%2F%2Fwww.webofscience.com%2Fwos%2Fwoscc%2Ffull-record%2FWOS:000387362600011","View Full Record in Web of Science")</f>
        <v>View Full Record in Web of Science</v>
      </c>
    </row>
    <row r="970" spans="1:72" x14ac:dyDescent="0.15">
      <c r="A970" t="s">
        <v>72</v>
      </c>
      <c r="B970" t="s">
        <v>18182</v>
      </c>
      <c r="C970" t="s">
        <v>74</v>
      </c>
      <c r="D970" t="s">
        <v>74</v>
      </c>
      <c r="E970" t="s">
        <v>74</v>
      </c>
      <c r="F970" t="s">
        <v>18183</v>
      </c>
      <c r="G970" t="s">
        <v>74</v>
      </c>
      <c r="H970" t="s">
        <v>74</v>
      </c>
      <c r="I970" t="s">
        <v>18184</v>
      </c>
      <c r="J970" t="s">
        <v>2118</v>
      </c>
      <c r="K970" t="s">
        <v>74</v>
      </c>
      <c r="L970" t="s">
        <v>74</v>
      </c>
      <c r="M970" t="s">
        <v>78</v>
      </c>
      <c r="N970" t="s">
        <v>79</v>
      </c>
      <c r="O970" t="s">
        <v>74</v>
      </c>
      <c r="P970" t="s">
        <v>74</v>
      </c>
      <c r="Q970" t="s">
        <v>74</v>
      </c>
      <c r="R970" t="s">
        <v>74</v>
      </c>
      <c r="S970" t="s">
        <v>74</v>
      </c>
      <c r="T970" t="s">
        <v>18185</v>
      </c>
      <c r="U970" t="s">
        <v>18186</v>
      </c>
      <c r="V970" t="s">
        <v>18187</v>
      </c>
      <c r="W970" t="s">
        <v>18188</v>
      </c>
      <c r="X970" t="s">
        <v>18189</v>
      </c>
      <c r="Y970" t="s">
        <v>18190</v>
      </c>
      <c r="Z970" t="s">
        <v>18191</v>
      </c>
      <c r="AA970" t="s">
        <v>18192</v>
      </c>
      <c r="AB970" t="s">
        <v>18193</v>
      </c>
      <c r="AC970" t="s">
        <v>74</v>
      </c>
      <c r="AD970" t="s">
        <v>74</v>
      </c>
      <c r="AE970" t="s">
        <v>74</v>
      </c>
      <c r="AF970" t="s">
        <v>74</v>
      </c>
      <c r="AG970">
        <v>51</v>
      </c>
      <c r="AH970">
        <v>16</v>
      </c>
      <c r="AI970">
        <v>16</v>
      </c>
      <c r="AJ970">
        <v>0</v>
      </c>
      <c r="AK970">
        <v>12</v>
      </c>
      <c r="AL970" t="s">
        <v>211</v>
      </c>
      <c r="AM970" t="s">
        <v>187</v>
      </c>
      <c r="AN970" t="s">
        <v>933</v>
      </c>
      <c r="AO970" t="s">
        <v>2132</v>
      </c>
      <c r="AP970" t="s">
        <v>2133</v>
      </c>
      <c r="AQ970" t="s">
        <v>74</v>
      </c>
      <c r="AR970" t="s">
        <v>2134</v>
      </c>
      <c r="AS970" t="s">
        <v>2135</v>
      </c>
      <c r="AT970" t="s">
        <v>17151</v>
      </c>
      <c r="AU970">
        <v>2016</v>
      </c>
      <c r="AV970">
        <v>47</v>
      </c>
      <c r="AW970" t="s">
        <v>18194</v>
      </c>
      <c r="AX970" t="s">
        <v>74</v>
      </c>
      <c r="AY970" t="s">
        <v>74</v>
      </c>
      <c r="AZ970" t="s">
        <v>74</v>
      </c>
      <c r="BA970" t="s">
        <v>74</v>
      </c>
      <c r="BB970">
        <v>3253</v>
      </c>
      <c r="BC970">
        <v>3270</v>
      </c>
      <c r="BD970" t="s">
        <v>74</v>
      </c>
      <c r="BE970" t="s">
        <v>18195</v>
      </c>
      <c r="BF970" t="str">
        <f>HYPERLINK("http://dx.doi.org/10.1007/s00382-016-3024-8","http://dx.doi.org/10.1007/s00382-016-3024-8")</f>
        <v>http://dx.doi.org/10.1007/s00382-016-3024-8</v>
      </c>
      <c r="BG970" t="s">
        <v>74</v>
      </c>
      <c r="BH970" t="s">
        <v>74</v>
      </c>
      <c r="BI970">
        <v>18</v>
      </c>
      <c r="BJ970" t="s">
        <v>747</v>
      </c>
      <c r="BK970" t="s">
        <v>101</v>
      </c>
      <c r="BL970" t="s">
        <v>747</v>
      </c>
      <c r="BM970" t="s">
        <v>18196</v>
      </c>
      <c r="BN970" t="s">
        <v>74</v>
      </c>
      <c r="BO970" t="s">
        <v>74</v>
      </c>
      <c r="BP970" t="s">
        <v>74</v>
      </c>
      <c r="BQ970" t="s">
        <v>74</v>
      </c>
      <c r="BR970" t="s">
        <v>105</v>
      </c>
      <c r="BS970" t="s">
        <v>18197</v>
      </c>
      <c r="BT970" t="str">
        <f>HYPERLINK("https%3A%2F%2Fwww.webofscience.com%2Fwos%2Fwoscc%2Ffull-record%2FWOS:000386062000032","View Full Record in Web of Science")</f>
        <v>View Full Record in Web of Science</v>
      </c>
    </row>
    <row r="971" spans="1:72" x14ac:dyDescent="0.15">
      <c r="A971" t="s">
        <v>72</v>
      </c>
      <c r="B971" t="s">
        <v>18198</v>
      </c>
      <c r="C971" t="s">
        <v>74</v>
      </c>
      <c r="D971" t="s">
        <v>74</v>
      </c>
      <c r="E971" t="s">
        <v>74</v>
      </c>
      <c r="F971" t="s">
        <v>18199</v>
      </c>
      <c r="G971" t="s">
        <v>74</v>
      </c>
      <c r="H971" t="s">
        <v>74</v>
      </c>
      <c r="I971" t="s">
        <v>18200</v>
      </c>
      <c r="J971" t="s">
        <v>8010</v>
      </c>
      <c r="K971" t="s">
        <v>74</v>
      </c>
      <c r="L971" t="s">
        <v>74</v>
      </c>
      <c r="M971" t="s">
        <v>78</v>
      </c>
      <c r="N971" t="s">
        <v>79</v>
      </c>
      <c r="O971" t="s">
        <v>74</v>
      </c>
      <c r="P971" t="s">
        <v>74</v>
      </c>
      <c r="Q971" t="s">
        <v>74</v>
      </c>
      <c r="R971" t="s">
        <v>74</v>
      </c>
      <c r="S971" t="s">
        <v>74</v>
      </c>
      <c r="T971" t="s">
        <v>18201</v>
      </c>
      <c r="U971" t="s">
        <v>18202</v>
      </c>
      <c r="V971" t="s">
        <v>18203</v>
      </c>
      <c r="W971" t="s">
        <v>18204</v>
      </c>
      <c r="X971" t="s">
        <v>8015</v>
      </c>
      <c r="Y971" t="s">
        <v>8016</v>
      </c>
      <c r="Z971" t="s">
        <v>8017</v>
      </c>
      <c r="AA971" t="s">
        <v>18205</v>
      </c>
      <c r="AB971" t="s">
        <v>8019</v>
      </c>
      <c r="AC971" t="s">
        <v>18206</v>
      </c>
      <c r="AD971" t="s">
        <v>18207</v>
      </c>
      <c r="AE971" t="s">
        <v>18208</v>
      </c>
      <c r="AF971" t="s">
        <v>74</v>
      </c>
      <c r="AG971">
        <v>126</v>
      </c>
      <c r="AH971">
        <v>57</v>
      </c>
      <c r="AI971">
        <v>68</v>
      </c>
      <c r="AJ971">
        <v>2</v>
      </c>
      <c r="AK971">
        <v>41</v>
      </c>
      <c r="AL971" t="s">
        <v>1610</v>
      </c>
      <c r="AM971" t="s">
        <v>292</v>
      </c>
      <c r="AN971" t="s">
        <v>1611</v>
      </c>
      <c r="AO971" t="s">
        <v>8023</v>
      </c>
      <c r="AP971" t="s">
        <v>8024</v>
      </c>
      <c r="AQ971" t="s">
        <v>74</v>
      </c>
      <c r="AR971" t="s">
        <v>8025</v>
      </c>
      <c r="AS971" t="s">
        <v>8026</v>
      </c>
      <c r="AT971" t="s">
        <v>17151</v>
      </c>
      <c r="AU971">
        <v>2016</v>
      </c>
      <c r="AV971">
        <v>207</v>
      </c>
      <c r="AW971">
        <v>2</v>
      </c>
      <c r="AX971" t="s">
        <v>74</v>
      </c>
      <c r="AY971" t="s">
        <v>74</v>
      </c>
      <c r="AZ971" t="s">
        <v>74</v>
      </c>
      <c r="BA971" t="s">
        <v>74</v>
      </c>
      <c r="BB971">
        <v>741</v>
      </c>
      <c r="BC971">
        <v>773</v>
      </c>
      <c r="BD971" t="s">
        <v>74</v>
      </c>
      <c r="BE971" t="s">
        <v>18209</v>
      </c>
      <c r="BF971" t="str">
        <f>HYPERLINK("http://dx.doi.org/10.1093/gji/ggw305","http://dx.doi.org/10.1093/gji/ggw305")</f>
        <v>http://dx.doi.org/10.1093/gji/ggw305</v>
      </c>
      <c r="BG971" t="s">
        <v>74</v>
      </c>
      <c r="BH971" t="s">
        <v>74</v>
      </c>
      <c r="BI971">
        <v>33</v>
      </c>
      <c r="BJ971" t="s">
        <v>299</v>
      </c>
      <c r="BK971" t="s">
        <v>101</v>
      </c>
      <c r="BL971" t="s">
        <v>299</v>
      </c>
      <c r="BM971" t="s">
        <v>18210</v>
      </c>
      <c r="BN971" t="s">
        <v>74</v>
      </c>
      <c r="BO971" t="s">
        <v>74</v>
      </c>
      <c r="BP971" t="s">
        <v>74</v>
      </c>
      <c r="BQ971" t="s">
        <v>74</v>
      </c>
      <c r="BR971" t="s">
        <v>105</v>
      </c>
      <c r="BS971" t="s">
        <v>18211</v>
      </c>
      <c r="BT971" t="str">
        <f>HYPERLINK("https%3A%2F%2Fwww.webofscience.com%2Fwos%2Fwoscc%2Ffull-record%2FWOS:000386453200008","View Full Record in Web of Science")</f>
        <v>View Full Record in Web of Science</v>
      </c>
    </row>
    <row r="972" spans="1:72" x14ac:dyDescent="0.15">
      <c r="A972" t="s">
        <v>72</v>
      </c>
      <c r="B972" t="s">
        <v>18212</v>
      </c>
      <c r="C972" t="s">
        <v>74</v>
      </c>
      <c r="D972" t="s">
        <v>74</v>
      </c>
      <c r="E972" t="s">
        <v>74</v>
      </c>
      <c r="F972" t="s">
        <v>18213</v>
      </c>
      <c r="G972" t="s">
        <v>74</v>
      </c>
      <c r="H972" t="s">
        <v>74</v>
      </c>
      <c r="I972" t="s">
        <v>18214</v>
      </c>
      <c r="J972" t="s">
        <v>8414</v>
      </c>
      <c r="K972" t="s">
        <v>74</v>
      </c>
      <c r="L972" t="s">
        <v>74</v>
      </c>
      <c r="M972" t="s">
        <v>78</v>
      </c>
      <c r="N972" t="s">
        <v>2034</v>
      </c>
      <c r="O972" t="s">
        <v>74</v>
      </c>
      <c r="P972" t="s">
        <v>74</v>
      </c>
      <c r="Q972" t="s">
        <v>74</v>
      </c>
      <c r="R972" t="s">
        <v>74</v>
      </c>
      <c r="S972" t="s">
        <v>74</v>
      </c>
      <c r="T972" t="s">
        <v>18215</v>
      </c>
      <c r="U972" t="s">
        <v>18216</v>
      </c>
      <c r="V972" t="s">
        <v>18217</v>
      </c>
      <c r="W972" t="s">
        <v>18218</v>
      </c>
      <c r="X972" t="s">
        <v>18219</v>
      </c>
      <c r="Y972" t="s">
        <v>18220</v>
      </c>
      <c r="Z972" t="s">
        <v>18221</v>
      </c>
      <c r="AA972" t="s">
        <v>18222</v>
      </c>
      <c r="AB972" t="s">
        <v>18223</v>
      </c>
      <c r="AC972" t="s">
        <v>18224</v>
      </c>
      <c r="AD972" t="s">
        <v>18225</v>
      </c>
      <c r="AE972" t="s">
        <v>18226</v>
      </c>
      <c r="AF972" t="s">
        <v>74</v>
      </c>
      <c r="AG972">
        <v>56</v>
      </c>
      <c r="AH972">
        <v>53</v>
      </c>
      <c r="AI972">
        <v>56</v>
      </c>
      <c r="AJ972">
        <v>1</v>
      </c>
      <c r="AK972">
        <v>21</v>
      </c>
      <c r="AL972" t="s">
        <v>211</v>
      </c>
      <c r="AM972" t="s">
        <v>212</v>
      </c>
      <c r="AN972" t="s">
        <v>213</v>
      </c>
      <c r="AO972" t="s">
        <v>8424</v>
      </c>
      <c r="AP972" t="s">
        <v>8425</v>
      </c>
      <c r="AQ972" t="s">
        <v>74</v>
      </c>
      <c r="AR972" t="s">
        <v>8426</v>
      </c>
      <c r="AS972" t="s">
        <v>8427</v>
      </c>
      <c r="AT972" t="s">
        <v>17151</v>
      </c>
      <c r="AU972">
        <v>2016</v>
      </c>
      <c r="AV972">
        <v>37</v>
      </c>
      <c r="AW972">
        <v>6</v>
      </c>
      <c r="AX972" t="s">
        <v>74</v>
      </c>
      <c r="AY972" t="s">
        <v>74</v>
      </c>
      <c r="AZ972" t="s">
        <v>74</v>
      </c>
      <c r="BA972" t="s">
        <v>74</v>
      </c>
      <c r="BB972">
        <v>1035</v>
      </c>
      <c r="BC972">
        <v>1074</v>
      </c>
      <c r="BD972" t="s">
        <v>74</v>
      </c>
      <c r="BE972" t="s">
        <v>18227</v>
      </c>
      <c r="BF972" t="str">
        <f>HYPERLINK("http://dx.doi.org/10.1007/s10712-016-9382-2","http://dx.doi.org/10.1007/s10712-016-9382-2")</f>
        <v>http://dx.doi.org/10.1007/s10712-016-9382-2</v>
      </c>
      <c r="BG972" t="s">
        <v>74</v>
      </c>
      <c r="BH972" t="s">
        <v>74</v>
      </c>
      <c r="BI972">
        <v>40</v>
      </c>
      <c r="BJ972" t="s">
        <v>299</v>
      </c>
      <c r="BK972" t="s">
        <v>101</v>
      </c>
      <c r="BL972" t="s">
        <v>299</v>
      </c>
      <c r="BM972" t="s">
        <v>18228</v>
      </c>
      <c r="BN972" t="s">
        <v>74</v>
      </c>
      <c r="BO972" t="s">
        <v>378</v>
      </c>
      <c r="BP972" t="s">
        <v>74</v>
      </c>
      <c r="BQ972" t="s">
        <v>74</v>
      </c>
      <c r="BR972" t="s">
        <v>105</v>
      </c>
      <c r="BS972" t="s">
        <v>18229</v>
      </c>
      <c r="BT972" t="str">
        <f>HYPERLINK("https%3A%2F%2Fwww.webofscience.com%2Fwos%2Fwoscc%2Ffull-record%2FWOS:000386578500001","View Full Record in Web of Science")</f>
        <v>View Full Record in Web of Science</v>
      </c>
    </row>
    <row r="973" spans="1:72" x14ac:dyDescent="0.15">
      <c r="A973" t="s">
        <v>72</v>
      </c>
      <c r="B973" t="s">
        <v>18230</v>
      </c>
      <c r="C973" t="s">
        <v>74</v>
      </c>
      <c r="D973" t="s">
        <v>74</v>
      </c>
      <c r="E973" t="s">
        <v>74</v>
      </c>
      <c r="F973" t="s">
        <v>18231</v>
      </c>
      <c r="G973" t="s">
        <v>74</v>
      </c>
      <c r="H973" t="s">
        <v>74</v>
      </c>
      <c r="I973" t="s">
        <v>18232</v>
      </c>
      <c r="J973" t="s">
        <v>18233</v>
      </c>
      <c r="K973" t="s">
        <v>74</v>
      </c>
      <c r="L973" t="s">
        <v>74</v>
      </c>
      <c r="M973" t="s">
        <v>78</v>
      </c>
      <c r="N973" t="s">
        <v>79</v>
      </c>
      <c r="O973" t="s">
        <v>74</v>
      </c>
      <c r="P973" t="s">
        <v>74</v>
      </c>
      <c r="Q973" t="s">
        <v>74</v>
      </c>
      <c r="R973" t="s">
        <v>74</v>
      </c>
      <c r="S973" t="s">
        <v>74</v>
      </c>
      <c r="T973" t="s">
        <v>74</v>
      </c>
      <c r="U973" t="s">
        <v>18234</v>
      </c>
      <c r="V973" t="s">
        <v>18235</v>
      </c>
      <c r="W973" t="s">
        <v>18236</v>
      </c>
      <c r="X973" t="s">
        <v>18237</v>
      </c>
      <c r="Y973" t="s">
        <v>18238</v>
      </c>
      <c r="Z973" t="s">
        <v>18239</v>
      </c>
      <c r="AA973" t="s">
        <v>18240</v>
      </c>
      <c r="AB973" t="s">
        <v>18241</v>
      </c>
      <c r="AC973" t="s">
        <v>18242</v>
      </c>
      <c r="AD973" t="s">
        <v>18243</v>
      </c>
      <c r="AE973" t="s">
        <v>18244</v>
      </c>
      <c r="AF973" t="s">
        <v>74</v>
      </c>
      <c r="AG973">
        <v>51</v>
      </c>
      <c r="AH973">
        <v>25</v>
      </c>
      <c r="AI973">
        <v>26</v>
      </c>
      <c r="AJ973">
        <v>0</v>
      </c>
      <c r="AK973">
        <v>17</v>
      </c>
      <c r="AL973" t="s">
        <v>2377</v>
      </c>
      <c r="AM973" t="s">
        <v>2378</v>
      </c>
      <c r="AN973" t="s">
        <v>2379</v>
      </c>
      <c r="AO973" t="s">
        <v>18245</v>
      </c>
      <c r="AP973" t="s">
        <v>18246</v>
      </c>
      <c r="AQ973" t="s">
        <v>74</v>
      </c>
      <c r="AR973" t="s">
        <v>18233</v>
      </c>
      <c r="AS973" t="s">
        <v>18247</v>
      </c>
      <c r="AT973" t="s">
        <v>17151</v>
      </c>
      <c r="AU973">
        <v>2016</v>
      </c>
      <c r="AV973">
        <v>14</v>
      </c>
      <c r="AW973">
        <v>6</v>
      </c>
      <c r="AX973" t="s">
        <v>74</v>
      </c>
      <c r="AY973" t="s">
        <v>74</v>
      </c>
      <c r="AZ973" t="s">
        <v>74</v>
      </c>
      <c r="BA973" t="s">
        <v>74</v>
      </c>
      <c r="BB973">
        <v>556</v>
      </c>
      <c r="BC973">
        <v>574</v>
      </c>
      <c r="BD973" t="s">
        <v>74</v>
      </c>
      <c r="BE973" t="s">
        <v>18248</v>
      </c>
      <c r="BF973" t="str">
        <f>HYPERLINK("http://dx.doi.org/10.1111/gbi.12188","http://dx.doi.org/10.1111/gbi.12188")</f>
        <v>http://dx.doi.org/10.1111/gbi.12188</v>
      </c>
      <c r="BG973" t="s">
        <v>74</v>
      </c>
      <c r="BH973" t="s">
        <v>74</v>
      </c>
      <c r="BI973">
        <v>19</v>
      </c>
      <c r="BJ973" t="s">
        <v>18249</v>
      </c>
      <c r="BK973" t="s">
        <v>101</v>
      </c>
      <c r="BL973" t="s">
        <v>18250</v>
      </c>
      <c r="BM973" t="s">
        <v>18251</v>
      </c>
      <c r="BN973">
        <v>27474373</v>
      </c>
      <c r="BO973" t="s">
        <v>74</v>
      </c>
      <c r="BP973" t="s">
        <v>74</v>
      </c>
      <c r="BQ973" t="s">
        <v>74</v>
      </c>
      <c r="BR973" t="s">
        <v>105</v>
      </c>
      <c r="BS973" t="s">
        <v>18252</v>
      </c>
      <c r="BT973" t="str">
        <f>HYPERLINK("https%3A%2F%2Fwww.webofscience.com%2Fwos%2Fwoscc%2Ffull-record%2FWOS:000386026800003","View Full Record in Web of Science")</f>
        <v>View Full Record in Web of Science</v>
      </c>
    </row>
    <row r="974" spans="1:72" x14ac:dyDescent="0.15">
      <c r="A974" t="s">
        <v>72</v>
      </c>
      <c r="B974" t="s">
        <v>18253</v>
      </c>
      <c r="C974" t="s">
        <v>74</v>
      </c>
      <c r="D974" t="s">
        <v>74</v>
      </c>
      <c r="E974" t="s">
        <v>74</v>
      </c>
      <c r="F974" t="s">
        <v>18254</v>
      </c>
      <c r="G974" t="s">
        <v>74</v>
      </c>
      <c r="H974" t="s">
        <v>74</v>
      </c>
      <c r="I974" t="s">
        <v>18255</v>
      </c>
      <c r="J974" t="s">
        <v>18233</v>
      </c>
      <c r="K974" t="s">
        <v>74</v>
      </c>
      <c r="L974" t="s">
        <v>74</v>
      </c>
      <c r="M974" t="s">
        <v>78</v>
      </c>
      <c r="N974" t="s">
        <v>79</v>
      </c>
      <c r="O974" t="s">
        <v>74</v>
      </c>
      <c r="P974" t="s">
        <v>74</v>
      </c>
      <c r="Q974" t="s">
        <v>74</v>
      </c>
      <c r="R974" t="s">
        <v>74</v>
      </c>
      <c r="S974" t="s">
        <v>74</v>
      </c>
      <c r="T974" t="s">
        <v>74</v>
      </c>
      <c r="U974" t="s">
        <v>18256</v>
      </c>
      <c r="V974" t="s">
        <v>18257</v>
      </c>
      <c r="W974" t="s">
        <v>18258</v>
      </c>
      <c r="X974" t="s">
        <v>18259</v>
      </c>
      <c r="Y974" t="s">
        <v>18260</v>
      </c>
      <c r="Z974" t="s">
        <v>18261</v>
      </c>
      <c r="AA974" t="s">
        <v>74</v>
      </c>
      <c r="AB974" t="s">
        <v>18262</v>
      </c>
      <c r="AC974" t="s">
        <v>18263</v>
      </c>
      <c r="AD974" t="s">
        <v>18264</v>
      </c>
      <c r="AE974" t="s">
        <v>18265</v>
      </c>
      <c r="AF974" t="s">
        <v>74</v>
      </c>
      <c r="AG974">
        <v>61</v>
      </c>
      <c r="AH974">
        <v>29</v>
      </c>
      <c r="AI974">
        <v>31</v>
      </c>
      <c r="AJ974">
        <v>3</v>
      </c>
      <c r="AK974">
        <v>50</v>
      </c>
      <c r="AL974" t="s">
        <v>2377</v>
      </c>
      <c r="AM974" t="s">
        <v>2378</v>
      </c>
      <c r="AN974" t="s">
        <v>2379</v>
      </c>
      <c r="AO974" t="s">
        <v>18245</v>
      </c>
      <c r="AP974" t="s">
        <v>18246</v>
      </c>
      <c r="AQ974" t="s">
        <v>74</v>
      </c>
      <c r="AR974" t="s">
        <v>18233</v>
      </c>
      <c r="AS974" t="s">
        <v>18247</v>
      </c>
      <c r="AT974" t="s">
        <v>17151</v>
      </c>
      <c r="AU974">
        <v>2016</v>
      </c>
      <c r="AV974">
        <v>14</v>
      </c>
      <c r="AW974">
        <v>6</v>
      </c>
      <c r="AX974" t="s">
        <v>74</v>
      </c>
      <c r="AY974" t="s">
        <v>74</v>
      </c>
      <c r="AZ974" t="s">
        <v>74</v>
      </c>
      <c r="BA974" t="s">
        <v>74</v>
      </c>
      <c r="BB974">
        <v>575</v>
      </c>
      <c r="BC974">
        <v>587</v>
      </c>
      <c r="BD974" t="s">
        <v>74</v>
      </c>
      <c r="BE974" t="s">
        <v>18266</v>
      </c>
      <c r="BF974" t="str">
        <f>HYPERLINK("http://dx.doi.org/10.1111/gbi.12190","http://dx.doi.org/10.1111/gbi.12190")</f>
        <v>http://dx.doi.org/10.1111/gbi.12190</v>
      </c>
      <c r="BG974" t="s">
        <v>74</v>
      </c>
      <c r="BH974" t="s">
        <v>74</v>
      </c>
      <c r="BI974">
        <v>13</v>
      </c>
      <c r="BJ974" t="s">
        <v>18249</v>
      </c>
      <c r="BK974" t="s">
        <v>101</v>
      </c>
      <c r="BL974" t="s">
        <v>18250</v>
      </c>
      <c r="BM974" t="s">
        <v>18251</v>
      </c>
      <c r="BN974">
        <v>27418276</v>
      </c>
      <c r="BO974" t="s">
        <v>672</v>
      </c>
      <c r="BP974" t="s">
        <v>74</v>
      </c>
      <c r="BQ974" t="s">
        <v>74</v>
      </c>
      <c r="BR974" t="s">
        <v>105</v>
      </c>
      <c r="BS974" t="s">
        <v>18267</v>
      </c>
      <c r="BT974" t="str">
        <f>HYPERLINK("https%3A%2F%2Fwww.webofscience.com%2Fwos%2Fwoscc%2Ffull-record%2FWOS:000386026800004","View Full Record in Web of Science")</f>
        <v>View Full Record in Web of Science</v>
      </c>
    </row>
    <row r="975" spans="1:72" x14ac:dyDescent="0.15">
      <c r="A975" t="s">
        <v>72</v>
      </c>
      <c r="B975" t="s">
        <v>18268</v>
      </c>
      <c r="C975" t="s">
        <v>74</v>
      </c>
      <c r="D975" t="s">
        <v>74</v>
      </c>
      <c r="E975" t="s">
        <v>74</v>
      </c>
      <c r="F975" t="s">
        <v>18269</v>
      </c>
      <c r="G975" t="s">
        <v>74</v>
      </c>
      <c r="H975" t="s">
        <v>74</v>
      </c>
      <c r="I975" t="s">
        <v>18270</v>
      </c>
      <c r="J975" t="s">
        <v>18271</v>
      </c>
      <c r="K975" t="s">
        <v>74</v>
      </c>
      <c r="L975" t="s">
        <v>74</v>
      </c>
      <c r="M975" t="s">
        <v>78</v>
      </c>
      <c r="N975" t="s">
        <v>79</v>
      </c>
      <c r="O975" t="s">
        <v>74</v>
      </c>
      <c r="P975" t="s">
        <v>74</v>
      </c>
      <c r="Q975" t="s">
        <v>74</v>
      </c>
      <c r="R975" t="s">
        <v>74</v>
      </c>
      <c r="S975" t="s">
        <v>74</v>
      </c>
      <c r="T975" t="s">
        <v>18272</v>
      </c>
      <c r="U975" t="s">
        <v>18273</v>
      </c>
      <c r="V975" t="s">
        <v>18274</v>
      </c>
      <c r="W975" t="s">
        <v>18275</v>
      </c>
      <c r="X975" t="s">
        <v>18276</v>
      </c>
      <c r="Y975" t="s">
        <v>18277</v>
      </c>
      <c r="Z975" t="s">
        <v>18278</v>
      </c>
      <c r="AA975" t="s">
        <v>18279</v>
      </c>
      <c r="AB975" t="s">
        <v>18280</v>
      </c>
      <c r="AC975" t="s">
        <v>18281</v>
      </c>
      <c r="AD975" t="s">
        <v>18282</v>
      </c>
      <c r="AE975" t="s">
        <v>18283</v>
      </c>
      <c r="AF975" t="s">
        <v>74</v>
      </c>
      <c r="AG975">
        <v>59</v>
      </c>
      <c r="AH975">
        <v>28</v>
      </c>
      <c r="AI975">
        <v>32</v>
      </c>
      <c r="AJ975">
        <v>2</v>
      </c>
      <c r="AK975">
        <v>41</v>
      </c>
      <c r="AL975" t="s">
        <v>168</v>
      </c>
      <c r="AM975" t="s">
        <v>169</v>
      </c>
      <c r="AN975" t="s">
        <v>170</v>
      </c>
      <c r="AO975" t="s">
        <v>18284</v>
      </c>
      <c r="AP975" t="s">
        <v>18285</v>
      </c>
      <c r="AQ975" t="s">
        <v>74</v>
      </c>
      <c r="AR975" t="s">
        <v>18286</v>
      </c>
      <c r="AS975" t="s">
        <v>18287</v>
      </c>
      <c r="AT975" t="s">
        <v>17151</v>
      </c>
      <c r="AU975">
        <v>2016</v>
      </c>
      <c r="AV975">
        <v>92</v>
      </c>
      <c r="AW975" t="s">
        <v>74</v>
      </c>
      <c r="AX975" t="s">
        <v>74</v>
      </c>
      <c r="AY975" t="s">
        <v>74</v>
      </c>
      <c r="AZ975" t="s">
        <v>74</v>
      </c>
      <c r="BA975" t="s">
        <v>74</v>
      </c>
      <c r="BB975">
        <v>1266</v>
      </c>
      <c r="BC975">
        <v>1276</v>
      </c>
      <c r="BD975" t="s">
        <v>74</v>
      </c>
      <c r="BE975" t="s">
        <v>18288</v>
      </c>
      <c r="BF975" t="str">
        <f>HYPERLINK("http://dx.doi.org/10.1016/j.ijbiomac.2016.06.095","http://dx.doi.org/10.1016/j.ijbiomac.2016.06.095")</f>
        <v>http://dx.doi.org/10.1016/j.ijbiomac.2016.06.095</v>
      </c>
      <c r="BG975" t="s">
        <v>74</v>
      </c>
      <c r="BH975" t="s">
        <v>74</v>
      </c>
      <c r="BI975">
        <v>11</v>
      </c>
      <c r="BJ975" t="s">
        <v>18289</v>
      </c>
      <c r="BK975" t="s">
        <v>101</v>
      </c>
      <c r="BL975" t="s">
        <v>18290</v>
      </c>
      <c r="BM975" t="s">
        <v>18291</v>
      </c>
      <c r="BN975">
        <v>27506122</v>
      </c>
      <c r="BO975" t="s">
        <v>1223</v>
      </c>
      <c r="BP975" t="s">
        <v>74</v>
      </c>
      <c r="BQ975" t="s">
        <v>74</v>
      </c>
      <c r="BR975" t="s">
        <v>105</v>
      </c>
      <c r="BS975" t="s">
        <v>18292</v>
      </c>
      <c r="BT975" t="str">
        <f>HYPERLINK("https%3A%2F%2Fwww.webofscience.com%2Fwos%2Fwoscc%2Ffull-record%2FWOS:000386402900149","View Full Record in Web of Science")</f>
        <v>View Full Record in Web of Science</v>
      </c>
    </row>
    <row r="976" spans="1:72" x14ac:dyDescent="0.15">
      <c r="A976" t="s">
        <v>72</v>
      </c>
      <c r="B976" t="s">
        <v>18293</v>
      </c>
      <c r="C976" t="s">
        <v>74</v>
      </c>
      <c r="D976" t="s">
        <v>74</v>
      </c>
      <c r="E976" t="s">
        <v>74</v>
      </c>
      <c r="F976" t="s">
        <v>18294</v>
      </c>
      <c r="G976" t="s">
        <v>74</v>
      </c>
      <c r="H976" t="s">
        <v>74</v>
      </c>
      <c r="I976" t="s">
        <v>18295</v>
      </c>
      <c r="J976" t="s">
        <v>2591</v>
      </c>
      <c r="K976" t="s">
        <v>74</v>
      </c>
      <c r="L976" t="s">
        <v>74</v>
      </c>
      <c r="M976" t="s">
        <v>78</v>
      </c>
      <c r="N976" t="s">
        <v>79</v>
      </c>
      <c r="O976" t="s">
        <v>74</v>
      </c>
      <c r="P976" t="s">
        <v>74</v>
      </c>
      <c r="Q976" t="s">
        <v>74</v>
      </c>
      <c r="R976" t="s">
        <v>74</v>
      </c>
      <c r="S976" t="s">
        <v>74</v>
      </c>
      <c r="T976" t="s">
        <v>74</v>
      </c>
      <c r="U976" t="s">
        <v>18296</v>
      </c>
      <c r="V976" t="s">
        <v>18297</v>
      </c>
      <c r="W976" t="s">
        <v>18298</v>
      </c>
      <c r="X976" t="s">
        <v>18299</v>
      </c>
      <c r="Y976" t="s">
        <v>18300</v>
      </c>
      <c r="Z976" t="s">
        <v>18301</v>
      </c>
      <c r="AA976" t="s">
        <v>74</v>
      </c>
      <c r="AB976" t="s">
        <v>18302</v>
      </c>
      <c r="AC976" t="s">
        <v>74</v>
      </c>
      <c r="AD976" t="s">
        <v>74</v>
      </c>
      <c r="AE976" t="s">
        <v>74</v>
      </c>
      <c r="AF976" t="s">
        <v>74</v>
      </c>
      <c r="AG976">
        <v>39</v>
      </c>
      <c r="AH976">
        <v>19</v>
      </c>
      <c r="AI976">
        <v>20</v>
      </c>
      <c r="AJ976">
        <v>0</v>
      </c>
      <c r="AK976">
        <v>16</v>
      </c>
      <c r="AL976" t="s">
        <v>2603</v>
      </c>
      <c r="AM976" t="s">
        <v>2604</v>
      </c>
      <c r="AN976" t="s">
        <v>2605</v>
      </c>
      <c r="AO976" t="s">
        <v>2606</v>
      </c>
      <c r="AP976" t="s">
        <v>2607</v>
      </c>
      <c r="AQ976" t="s">
        <v>74</v>
      </c>
      <c r="AR976" t="s">
        <v>2608</v>
      </c>
      <c r="AS976" t="s">
        <v>2609</v>
      </c>
      <c r="AT976" t="s">
        <v>17151</v>
      </c>
      <c r="AU976">
        <v>2016</v>
      </c>
      <c r="AV976">
        <v>29</v>
      </c>
      <c r="AW976">
        <v>21</v>
      </c>
      <c r="AX976" t="s">
        <v>74</v>
      </c>
      <c r="AY976" t="s">
        <v>74</v>
      </c>
      <c r="AZ976" t="s">
        <v>74</v>
      </c>
      <c r="BA976" t="s">
        <v>74</v>
      </c>
      <c r="BB976">
        <v>7599</v>
      </c>
      <c r="BC976">
        <v>7611</v>
      </c>
      <c r="BD976" t="s">
        <v>74</v>
      </c>
      <c r="BE976" t="s">
        <v>18303</v>
      </c>
      <c r="BF976" t="str">
        <f>HYPERLINK("http://dx.doi.org/10.1175/JCLI-D-15-0754.1","http://dx.doi.org/10.1175/JCLI-D-15-0754.1")</f>
        <v>http://dx.doi.org/10.1175/JCLI-D-15-0754.1</v>
      </c>
      <c r="BG976" t="s">
        <v>74</v>
      </c>
      <c r="BH976" t="s">
        <v>74</v>
      </c>
      <c r="BI976">
        <v>13</v>
      </c>
      <c r="BJ976" t="s">
        <v>747</v>
      </c>
      <c r="BK976" t="s">
        <v>101</v>
      </c>
      <c r="BL976" t="s">
        <v>747</v>
      </c>
      <c r="BM976" t="s">
        <v>18304</v>
      </c>
      <c r="BN976" t="s">
        <v>74</v>
      </c>
      <c r="BO976" t="s">
        <v>301</v>
      </c>
      <c r="BP976" t="s">
        <v>74</v>
      </c>
      <c r="BQ976" t="s">
        <v>74</v>
      </c>
      <c r="BR976" t="s">
        <v>105</v>
      </c>
      <c r="BS976" t="s">
        <v>18305</v>
      </c>
      <c r="BT976" t="str">
        <f>HYPERLINK("https%3A%2F%2Fwww.webofscience.com%2Fwos%2Fwoscc%2Ffull-record%2FWOS:000386205900003","View Full Record in Web of Science")</f>
        <v>View Full Record in Web of Science</v>
      </c>
    </row>
    <row r="977" spans="1:72" x14ac:dyDescent="0.15">
      <c r="A977" t="s">
        <v>72</v>
      </c>
      <c r="B977" t="s">
        <v>18306</v>
      </c>
      <c r="C977" t="s">
        <v>74</v>
      </c>
      <c r="D977" t="s">
        <v>74</v>
      </c>
      <c r="E977" t="s">
        <v>74</v>
      </c>
      <c r="F977" t="s">
        <v>18307</v>
      </c>
      <c r="G977" t="s">
        <v>74</v>
      </c>
      <c r="H977" t="s">
        <v>74</v>
      </c>
      <c r="I977" t="s">
        <v>18308</v>
      </c>
      <c r="J977" t="s">
        <v>18309</v>
      </c>
      <c r="K977" t="s">
        <v>74</v>
      </c>
      <c r="L977" t="s">
        <v>74</v>
      </c>
      <c r="M977" t="s">
        <v>78</v>
      </c>
      <c r="N977" t="s">
        <v>79</v>
      </c>
      <c r="O977" t="s">
        <v>74</v>
      </c>
      <c r="P977" t="s">
        <v>74</v>
      </c>
      <c r="Q977" t="s">
        <v>74</v>
      </c>
      <c r="R977" t="s">
        <v>74</v>
      </c>
      <c r="S977" t="s">
        <v>74</v>
      </c>
      <c r="T977" t="s">
        <v>18310</v>
      </c>
      <c r="U977" t="s">
        <v>18311</v>
      </c>
      <c r="V977" t="s">
        <v>18312</v>
      </c>
      <c r="W977" t="s">
        <v>18313</v>
      </c>
      <c r="X977" t="s">
        <v>18314</v>
      </c>
      <c r="Y977" t="s">
        <v>18315</v>
      </c>
      <c r="Z977" t="s">
        <v>18316</v>
      </c>
      <c r="AA977" t="s">
        <v>18317</v>
      </c>
      <c r="AB977" t="s">
        <v>74</v>
      </c>
      <c r="AC977" t="s">
        <v>18318</v>
      </c>
      <c r="AD977" t="s">
        <v>18319</v>
      </c>
      <c r="AE977" t="s">
        <v>18320</v>
      </c>
      <c r="AF977" t="s">
        <v>74</v>
      </c>
      <c r="AG977">
        <v>50</v>
      </c>
      <c r="AH977">
        <v>6</v>
      </c>
      <c r="AI977">
        <v>7</v>
      </c>
      <c r="AJ977">
        <v>0</v>
      </c>
      <c r="AK977">
        <v>14</v>
      </c>
      <c r="AL977" t="s">
        <v>18321</v>
      </c>
      <c r="AM977" t="s">
        <v>93</v>
      </c>
      <c r="AN977" t="s">
        <v>18322</v>
      </c>
      <c r="AO977" t="s">
        <v>18323</v>
      </c>
      <c r="AP977" t="s">
        <v>18324</v>
      </c>
      <c r="AQ977" t="s">
        <v>74</v>
      </c>
      <c r="AR977" t="s">
        <v>18325</v>
      </c>
      <c r="AS977" t="s">
        <v>18326</v>
      </c>
      <c r="AT977" t="s">
        <v>17151</v>
      </c>
      <c r="AU977">
        <v>2016</v>
      </c>
      <c r="AV977">
        <v>54</v>
      </c>
      <c r="AW977">
        <v>4</v>
      </c>
      <c r="AX977" t="s">
        <v>74</v>
      </c>
      <c r="AY977" t="s">
        <v>74</v>
      </c>
      <c r="AZ977" t="s">
        <v>74</v>
      </c>
      <c r="BA977" t="s">
        <v>74</v>
      </c>
      <c r="BB977">
        <v>269</v>
      </c>
      <c r="BC977">
        <v>275</v>
      </c>
      <c r="BD977" t="s">
        <v>74</v>
      </c>
      <c r="BE977" t="s">
        <v>18327</v>
      </c>
      <c r="BF977" t="str">
        <f>HYPERLINK("http://dx.doi.org/10.1111/jzs.12135","http://dx.doi.org/10.1111/jzs.12135")</f>
        <v>http://dx.doi.org/10.1111/jzs.12135</v>
      </c>
      <c r="BG977" t="s">
        <v>74</v>
      </c>
      <c r="BH977" t="s">
        <v>74</v>
      </c>
      <c r="BI977">
        <v>7</v>
      </c>
      <c r="BJ977" t="s">
        <v>7672</v>
      </c>
      <c r="BK977" t="s">
        <v>101</v>
      </c>
      <c r="BL977" t="s">
        <v>7672</v>
      </c>
      <c r="BM977" t="s">
        <v>18328</v>
      </c>
      <c r="BN977" t="s">
        <v>74</v>
      </c>
      <c r="BO977" t="s">
        <v>941</v>
      </c>
      <c r="BP977" t="s">
        <v>74</v>
      </c>
      <c r="BQ977" t="s">
        <v>74</v>
      </c>
      <c r="BR977" t="s">
        <v>105</v>
      </c>
      <c r="BS977" t="s">
        <v>18329</v>
      </c>
      <c r="BT977" t="str">
        <f>HYPERLINK("https%3A%2F%2Fwww.webofscience.com%2Fwos%2Fwoscc%2Ffull-record%2FWOS:000386032500003","View Full Record in Web of Science")</f>
        <v>View Full Record in Web of Science</v>
      </c>
    </row>
    <row r="978" spans="1:72" x14ac:dyDescent="0.15">
      <c r="A978" t="s">
        <v>72</v>
      </c>
      <c r="B978" t="s">
        <v>18330</v>
      </c>
      <c r="C978" t="s">
        <v>74</v>
      </c>
      <c r="D978" t="s">
        <v>74</v>
      </c>
      <c r="E978" t="s">
        <v>74</v>
      </c>
      <c r="F978" t="s">
        <v>18331</v>
      </c>
      <c r="G978" t="s">
        <v>74</v>
      </c>
      <c r="H978" t="s">
        <v>74</v>
      </c>
      <c r="I978" t="s">
        <v>18332</v>
      </c>
      <c r="J978" t="s">
        <v>18333</v>
      </c>
      <c r="K978" t="s">
        <v>74</v>
      </c>
      <c r="L978" t="s">
        <v>74</v>
      </c>
      <c r="M978" t="s">
        <v>78</v>
      </c>
      <c r="N978" t="s">
        <v>79</v>
      </c>
      <c r="O978" t="s">
        <v>74</v>
      </c>
      <c r="P978" t="s">
        <v>74</v>
      </c>
      <c r="Q978" t="s">
        <v>74</v>
      </c>
      <c r="R978" t="s">
        <v>74</v>
      </c>
      <c r="S978" t="s">
        <v>74</v>
      </c>
      <c r="T978" t="s">
        <v>18334</v>
      </c>
      <c r="U978" t="s">
        <v>18335</v>
      </c>
      <c r="V978" t="s">
        <v>18336</v>
      </c>
      <c r="W978" t="s">
        <v>18337</v>
      </c>
      <c r="X978" t="s">
        <v>18338</v>
      </c>
      <c r="Y978" t="s">
        <v>18339</v>
      </c>
      <c r="Z978" t="s">
        <v>18340</v>
      </c>
      <c r="AA978" t="s">
        <v>18341</v>
      </c>
      <c r="AB978" t="s">
        <v>18342</v>
      </c>
      <c r="AC978" t="s">
        <v>18343</v>
      </c>
      <c r="AD978" t="s">
        <v>18344</v>
      </c>
      <c r="AE978" t="s">
        <v>18345</v>
      </c>
      <c r="AF978" t="s">
        <v>74</v>
      </c>
      <c r="AG978">
        <v>36</v>
      </c>
      <c r="AH978">
        <v>19</v>
      </c>
      <c r="AI978">
        <v>20</v>
      </c>
      <c r="AJ978">
        <v>3</v>
      </c>
      <c r="AK978">
        <v>29</v>
      </c>
      <c r="AL978" t="s">
        <v>168</v>
      </c>
      <c r="AM978" t="s">
        <v>169</v>
      </c>
      <c r="AN978" t="s">
        <v>170</v>
      </c>
      <c r="AO978" t="s">
        <v>18346</v>
      </c>
      <c r="AP978" t="s">
        <v>18347</v>
      </c>
      <c r="AQ978" t="s">
        <v>74</v>
      </c>
      <c r="AR978" t="s">
        <v>18348</v>
      </c>
      <c r="AS978" t="s">
        <v>18349</v>
      </c>
      <c r="AT978" t="s">
        <v>17151</v>
      </c>
      <c r="AU978">
        <v>2016</v>
      </c>
      <c r="AV978">
        <v>1861</v>
      </c>
      <c r="AW978">
        <v>11</v>
      </c>
      <c r="AX978" t="s">
        <v>74</v>
      </c>
      <c r="AY978" t="s">
        <v>74</v>
      </c>
      <c r="AZ978" t="s">
        <v>74</v>
      </c>
      <c r="BA978" t="s">
        <v>74</v>
      </c>
      <c r="BB978">
        <v>1634</v>
      </c>
      <c r="BC978">
        <v>1642</v>
      </c>
      <c r="BD978" t="s">
        <v>74</v>
      </c>
      <c r="BE978" t="s">
        <v>18350</v>
      </c>
      <c r="BF978" t="str">
        <f>HYPERLINK("http://dx.doi.org/10.1016/j.bbalip.2016.07.005","http://dx.doi.org/10.1016/j.bbalip.2016.07.005")</f>
        <v>http://dx.doi.org/10.1016/j.bbalip.2016.07.005</v>
      </c>
      <c r="BG978" t="s">
        <v>74</v>
      </c>
      <c r="BH978" t="s">
        <v>74</v>
      </c>
      <c r="BI978">
        <v>9</v>
      </c>
      <c r="BJ978" t="s">
        <v>18351</v>
      </c>
      <c r="BK978" t="s">
        <v>101</v>
      </c>
      <c r="BL978" t="s">
        <v>18351</v>
      </c>
      <c r="BM978" t="s">
        <v>18352</v>
      </c>
      <c r="BN978">
        <v>27422372</v>
      </c>
      <c r="BO978" t="s">
        <v>74</v>
      </c>
      <c r="BP978" t="s">
        <v>74</v>
      </c>
      <c r="BQ978" t="s">
        <v>74</v>
      </c>
      <c r="BR978" t="s">
        <v>105</v>
      </c>
      <c r="BS978" t="s">
        <v>18353</v>
      </c>
      <c r="BT978" t="str">
        <f>HYPERLINK("https%3A%2F%2Fwww.webofscience.com%2Fwos%2Fwoscc%2Ffull-record%2FWOS:000385325800005","View Full Record in Web of Science")</f>
        <v>View Full Record in Web of Science</v>
      </c>
    </row>
    <row r="979" spans="1:72" x14ac:dyDescent="0.15">
      <c r="A979" t="s">
        <v>72</v>
      </c>
      <c r="B979" t="s">
        <v>18354</v>
      </c>
      <c r="C979" t="s">
        <v>74</v>
      </c>
      <c r="D979" t="s">
        <v>74</v>
      </c>
      <c r="E979" t="s">
        <v>74</v>
      </c>
      <c r="F979" t="s">
        <v>18355</v>
      </c>
      <c r="G979" t="s">
        <v>74</v>
      </c>
      <c r="H979" t="s">
        <v>74</v>
      </c>
      <c r="I979" t="s">
        <v>18356</v>
      </c>
      <c r="J979" t="s">
        <v>14461</v>
      </c>
      <c r="K979" t="s">
        <v>74</v>
      </c>
      <c r="L979" t="s">
        <v>74</v>
      </c>
      <c r="M979" t="s">
        <v>78</v>
      </c>
      <c r="N979" t="s">
        <v>79</v>
      </c>
      <c r="O979" t="s">
        <v>74</v>
      </c>
      <c r="P979" t="s">
        <v>74</v>
      </c>
      <c r="Q979" t="s">
        <v>74</v>
      </c>
      <c r="R979" t="s">
        <v>74</v>
      </c>
      <c r="S979" t="s">
        <v>74</v>
      </c>
      <c r="T979" t="s">
        <v>18357</v>
      </c>
      <c r="U979" t="s">
        <v>18358</v>
      </c>
      <c r="V979" t="s">
        <v>18359</v>
      </c>
      <c r="W979" t="s">
        <v>18360</v>
      </c>
      <c r="X979" t="s">
        <v>18361</v>
      </c>
      <c r="Y979" t="s">
        <v>18362</v>
      </c>
      <c r="Z979" t="s">
        <v>18363</v>
      </c>
      <c r="AA979" t="s">
        <v>74</v>
      </c>
      <c r="AB979" t="s">
        <v>74</v>
      </c>
      <c r="AC979" t="s">
        <v>18364</v>
      </c>
      <c r="AD979" t="s">
        <v>18365</v>
      </c>
      <c r="AE979" t="s">
        <v>18366</v>
      </c>
      <c r="AF979" t="s">
        <v>74</v>
      </c>
      <c r="AG979">
        <v>71</v>
      </c>
      <c r="AH979">
        <v>10</v>
      </c>
      <c r="AI979">
        <v>13</v>
      </c>
      <c r="AJ979">
        <v>1</v>
      </c>
      <c r="AK979">
        <v>14</v>
      </c>
      <c r="AL979" t="s">
        <v>8606</v>
      </c>
      <c r="AM979" t="s">
        <v>187</v>
      </c>
      <c r="AN979" t="s">
        <v>18367</v>
      </c>
      <c r="AO979" t="s">
        <v>14474</v>
      </c>
      <c r="AP979" t="s">
        <v>14475</v>
      </c>
      <c r="AQ979" t="s">
        <v>74</v>
      </c>
      <c r="AR979" t="s">
        <v>14476</v>
      </c>
      <c r="AS979" t="s">
        <v>14477</v>
      </c>
      <c r="AT979" t="s">
        <v>17151</v>
      </c>
      <c r="AU979">
        <v>2016</v>
      </c>
      <c r="AV979">
        <v>201</v>
      </c>
      <c r="AW979" t="s">
        <v>74</v>
      </c>
      <c r="AX979" t="s">
        <v>74</v>
      </c>
      <c r="AY979" t="s">
        <v>74</v>
      </c>
      <c r="AZ979" t="s">
        <v>74</v>
      </c>
      <c r="BA979" t="s">
        <v>74</v>
      </c>
      <c r="BB979">
        <v>156</v>
      </c>
      <c r="BC979">
        <v>161</v>
      </c>
      <c r="BD979" t="s">
        <v>74</v>
      </c>
      <c r="BE979" t="s">
        <v>18368</v>
      </c>
      <c r="BF979" t="str">
        <f>HYPERLINK("http://dx.doi.org/10.1016/j.cbpa.2016.04.023","http://dx.doi.org/10.1016/j.cbpa.2016.04.023")</f>
        <v>http://dx.doi.org/10.1016/j.cbpa.2016.04.023</v>
      </c>
      <c r="BG979" t="s">
        <v>74</v>
      </c>
      <c r="BH979" t="s">
        <v>74</v>
      </c>
      <c r="BI979">
        <v>6</v>
      </c>
      <c r="BJ979" t="s">
        <v>14479</v>
      </c>
      <c r="BK979" t="s">
        <v>101</v>
      </c>
      <c r="BL979" t="s">
        <v>14479</v>
      </c>
      <c r="BM979" t="s">
        <v>18369</v>
      </c>
      <c r="BN979">
        <v>27421238</v>
      </c>
      <c r="BO979" t="s">
        <v>74</v>
      </c>
      <c r="BP979" t="s">
        <v>74</v>
      </c>
      <c r="BQ979" t="s">
        <v>74</v>
      </c>
      <c r="BR979" t="s">
        <v>105</v>
      </c>
      <c r="BS979" t="s">
        <v>18370</v>
      </c>
      <c r="BT979" t="str">
        <f>HYPERLINK("https%3A%2F%2Fwww.webofscience.com%2Fwos%2Fwoscc%2Ffull-record%2FWOS:000385325700020","View Full Record in Web of Science")</f>
        <v>View Full Record in Web of Science</v>
      </c>
    </row>
    <row r="980" spans="1:72" x14ac:dyDescent="0.15">
      <c r="A980" t="s">
        <v>72</v>
      </c>
      <c r="B980" t="s">
        <v>18371</v>
      </c>
      <c r="C980" t="s">
        <v>74</v>
      </c>
      <c r="D980" t="s">
        <v>74</v>
      </c>
      <c r="E980" t="s">
        <v>74</v>
      </c>
      <c r="F980" t="s">
        <v>18372</v>
      </c>
      <c r="G980" t="s">
        <v>74</v>
      </c>
      <c r="H980" t="s">
        <v>74</v>
      </c>
      <c r="I980" t="s">
        <v>18373</v>
      </c>
      <c r="J980" t="s">
        <v>18374</v>
      </c>
      <c r="K980" t="s">
        <v>74</v>
      </c>
      <c r="L980" t="s">
        <v>74</v>
      </c>
      <c r="M980" t="s">
        <v>78</v>
      </c>
      <c r="N980" t="s">
        <v>79</v>
      </c>
      <c r="O980" t="s">
        <v>74</v>
      </c>
      <c r="P980" t="s">
        <v>74</v>
      </c>
      <c r="Q980" t="s">
        <v>74</v>
      </c>
      <c r="R980" t="s">
        <v>74</v>
      </c>
      <c r="S980" t="s">
        <v>74</v>
      </c>
      <c r="T980" t="s">
        <v>18375</v>
      </c>
      <c r="U980" t="s">
        <v>18376</v>
      </c>
      <c r="V980" t="s">
        <v>18377</v>
      </c>
      <c r="W980" t="s">
        <v>18378</v>
      </c>
      <c r="X980" t="s">
        <v>18379</v>
      </c>
      <c r="Y980" t="s">
        <v>18380</v>
      </c>
      <c r="Z980" t="s">
        <v>18381</v>
      </c>
      <c r="AA980" t="s">
        <v>18382</v>
      </c>
      <c r="AB980" t="s">
        <v>18383</v>
      </c>
      <c r="AC980" t="s">
        <v>18384</v>
      </c>
      <c r="AD980" t="s">
        <v>18384</v>
      </c>
      <c r="AE980" t="s">
        <v>18385</v>
      </c>
      <c r="AF980" t="s">
        <v>74</v>
      </c>
      <c r="AG980">
        <v>58</v>
      </c>
      <c r="AH980">
        <v>8</v>
      </c>
      <c r="AI980">
        <v>12</v>
      </c>
      <c r="AJ980">
        <v>3</v>
      </c>
      <c r="AK980">
        <v>49</v>
      </c>
      <c r="AL980" t="s">
        <v>2377</v>
      </c>
      <c r="AM980" t="s">
        <v>2378</v>
      </c>
      <c r="AN980" t="s">
        <v>2379</v>
      </c>
      <c r="AO980" t="s">
        <v>18386</v>
      </c>
      <c r="AP980" t="s">
        <v>18387</v>
      </c>
      <c r="AQ980" t="s">
        <v>74</v>
      </c>
      <c r="AR980" t="s">
        <v>18388</v>
      </c>
      <c r="AS980" t="s">
        <v>18389</v>
      </c>
      <c r="AT980" t="s">
        <v>17151</v>
      </c>
      <c r="AU980">
        <v>2016</v>
      </c>
      <c r="AV980">
        <v>22</v>
      </c>
      <c r="AW980">
        <v>11</v>
      </c>
      <c r="AX980" t="s">
        <v>74</v>
      </c>
      <c r="AY980" t="s">
        <v>74</v>
      </c>
      <c r="AZ980" t="s">
        <v>74</v>
      </c>
      <c r="BA980" t="s">
        <v>74</v>
      </c>
      <c r="BB980">
        <v>1186</v>
      </c>
      <c r="BC980">
        <v>1198</v>
      </c>
      <c r="BD980" t="s">
        <v>74</v>
      </c>
      <c r="BE980" t="s">
        <v>18390</v>
      </c>
      <c r="BF980" t="str">
        <f>HYPERLINK("http://dx.doi.org/10.1111/ddi.12482","http://dx.doi.org/10.1111/ddi.12482")</f>
        <v>http://dx.doi.org/10.1111/ddi.12482</v>
      </c>
      <c r="BG980" t="s">
        <v>74</v>
      </c>
      <c r="BH980" t="s">
        <v>74</v>
      </c>
      <c r="BI980">
        <v>13</v>
      </c>
      <c r="BJ980" t="s">
        <v>5867</v>
      </c>
      <c r="BK980" t="s">
        <v>101</v>
      </c>
      <c r="BL980" t="s">
        <v>2257</v>
      </c>
      <c r="BM980" t="s">
        <v>18391</v>
      </c>
      <c r="BN980" t="s">
        <v>74</v>
      </c>
      <c r="BO980" t="s">
        <v>301</v>
      </c>
      <c r="BP980" t="s">
        <v>74</v>
      </c>
      <c r="BQ980" t="s">
        <v>74</v>
      </c>
      <c r="BR980" t="s">
        <v>105</v>
      </c>
      <c r="BS980" t="s">
        <v>18392</v>
      </c>
      <c r="BT980" t="str">
        <f>HYPERLINK("https%3A%2F%2Fwww.webofscience.com%2Fwos%2Fwoscc%2Ffull-record%2FWOS:000385552300010","View Full Record in Web of Science")</f>
        <v>View Full Record in Web of Science</v>
      </c>
    </row>
    <row r="981" spans="1:72" x14ac:dyDescent="0.15">
      <c r="A981" t="s">
        <v>72</v>
      </c>
      <c r="B981" t="s">
        <v>18393</v>
      </c>
      <c r="C981" t="s">
        <v>74</v>
      </c>
      <c r="D981" t="s">
        <v>74</v>
      </c>
      <c r="E981" t="s">
        <v>74</v>
      </c>
      <c r="F981" t="s">
        <v>18394</v>
      </c>
      <c r="G981" t="s">
        <v>74</v>
      </c>
      <c r="H981" t="s">
        <v>74</v>
      </c>
      <c r="I981" t="s">
        <v>18395</v>
      </c>
      <c r="J981" t="s">
        <v>2312</v>
      </c>
      <c r="K981" t="s">
        <v>74</v>
      </c>
      <c r="L981" t="s">
        <v>74</v>
      </c>
      <c r="M981" t="s">
        <v>78</v>
      </c>
      <c r="N981" t="s">
        <v>79</v>
      </c>
      <c r="O981" t="s">
        <v>74</v>
      </c>
      <c r="P981" t="s">
        <v>74</v>
      </c>
      <c r="Q981" t="s">
        <v>74</v>
      </c>
      <c r="R981" t="s">
        <v>74</v>
      </c>
      <c r="S981" t="s">
        <v>74</v>
      </c>
      <c r="T981" t="s">
        <v>18396</v>
      </c>
      <c r="U981" t="s">
        <v>18397</v>
      </c>
      <c r="V981" t="s">
        <v>18398</v>
      </c>
      <c r="W981" t="s">
        <v>18399</v>
      </c>
      <c r="X981" t="s">
        <v>18400</v>
      </c>
      <c r="Y981" t="s">
        <v>18401</v>
      </c>
      <c r="Z981" t="s">
        <v>18402</v>
      </c>
      <c r="AA981" t="s">
        <v>18403</v>
      </c>
      <c r="AB981" t="s">
        <v>18404</v>
      </c>
      <c r="AC981" t="s">
        <v>18405</v>
      </c>
      <c r="AD981" t="s">
        <v>18406</v>
      </c>
      <c r="AE981" t="s">
        <v>18407</v>
      </c>
      <c r="AF981" t="s">
        <v>74</v>
      </c>
      <c r="AG981">
        <v>74</v>
      </c>
      <c r="AH981">
        <v>42</v>
      </c>
      <c r="AI981">
        <v>45</v>
      </c>
      <c r="AJ981">
        <v>0</v>
      </c>
      <c r="AK981">
        <v>63</v>
      </c>
      <c r="AL981" t="s">
        <v>2325</v>
      </c>
      <c r="AM981" t="s">
        <v>292</v>
      </c>
      <c r="AN981" t="s">
        <v>2326</v>
      </c>
      <c r="AO981" t="s">
        <v>2327</v>
      </c>
      <c r="AP981" t="s">
        <v>2328</v>
      </c>
      <c r="AQ981" t="s">
        <v>74</v>
      </c>
      <c r="AR981" t="s">
        <v>2329</v>
      </c>
      <c r="AS981" t="s">
        <v>2330</v>
      </c>
      <c r="AT981" t="s">
        <v>17151</v>
      </c>
      <c r="AU981">
        <v>2016</v>
      </c>
      <c r="AV981">
        <v>218</v>
      </c>
      <c r="AW981" t="s">
        <v>74</v>
      </c>
      <c r="AX981" t="s">
        <v>74</v>
      </c>
      <c r="AY981" t="s">
        <v>74</v>
      </c>
      <c r="AZ981" t="s">
        <v>74</v>
      </c>
      <c r="BA981" t="s">
        <v>74</v>
      </c>
      <c r="BB981">
        <v>196</v>
      </c>
      <c r="BC981">
        <v>206</v>
      </c>
      <c r="BD981" t="s">
        <v>74</v>
      </c>
      <c r="BE981" t="s">
        <v>18408</v>
      </c>
      <c r="BF981" t="str">
        <f>HYPERLINK("http://dx.doi.org/10.1016/j.envpol.2016.04.097","http://dx.doi.org/10.1016/j.envpol.2016.04.097")</f>
        <v>http://dx.doi.org/10.1016/j.envpol.2016.04.097</v>
      </c>
      <c r="BG981" t="s">
        <v>74</v>
      </c>
      <c r="BH981" t="s">
        <v>74</v>
      </c>
      <c r="BI981">
        <v>11</v>
      </c>
      <c r="BJ981" t="s">
        <v>177</v>
      </c>
      <c r="BK981" t="s">
        <v>101</v>
      </c>
      <c r="BL981" t="s">
        <v>178</v>
      </c>
      <c r="BM981" t="s">
        <v>18409</v>
      </c>
      <c r="BN981">
        <v>27567712</v>
      </c>
      <c r="BO981" t="s">
        <v>301</v>
      </c>
      <c r="BP981" t="s">
        <v>74</v>
      </c>
      <c r="BQ981" t="s">
        <v>74</v>
      </c>
      <c r="BR981" t="s">
        <v>105</v>
      </c>
      <c r="BS981" t="s">
        <v>18410</v>
      </c>
      <c r="BT981" t="str">
        <f>HYPERLINK("https%3A%2F%2Fwww.webofscience.com%2Fwos%2Fwoscc%2Ffull-record%2FWOS:000385596000023","View Full Record in Web of Science")</f>
        <v>View Full Record in Web of Science</v>
      </c>
    </row>
    <row r="982" spans="1:72" x14ac:dyDescent="0.15">
      <c r="A982" t="s">
        <v>72</v>
      </c>
      <c r="B982" t="s">
        <v>18411</v>
      </c>
      <c r="C982" t="s">
        <v>74</v>
      </c>
      <c r="D982" t="s">
        <v>74</v>
      </c>
      <c r="E982" t="s">
        <v>74</v>
      </c>
      <c r="F982" t="s">
        <v>18412</v>
      </c>
      <c r="G982" t="s">
        <v>74</v>
      </c>
      <c r="H982" t="s">
        <v>74</v>
      </c>
      <c r="I982" t="s">
        <v>18413</v>
      </c>
      <c r="J982" t="s">
        <v>10543</v>
      </c>
      <c r="K982" t="s">
        <v>74</v>
      </c>
      <c r="L982" t="s">
        <v>74</v>
      </c>
      <c r="M982" t="s">
        <v>78</v>
      </c>
      <c r="N982" t="s">
        <v>79</v>
      </c>
      <c r="O982" t="s">
        <v>74</v>
      </c>
      <c r="P982" t="s">
        <v>74</v>
      </c>
      <c r="Q982" t="s">
        <v>74</v>
      </c>
      <c r="R982" t="s">
        <v>74</v>
      </c>
      <c r="S982" t="s">
        <v>74</v>
      </c>
      <c r="T982" t="s">
        <v>18414</v>
      </c>
      <c r="U982" t="s">
        <v>18415</v>
      </c>
      <c r="V982" t="s">
        <v>18416</v>
      </c>
      <c r="W982" t="s">
        <v>18417</v>
      </c>
      <c r="X982" t="s">
        <v>18418</v>
      </c>
      <c r="Y982" t="s">
        <v>18419</v>
      </c>
      <c r="Z982" t="s">
        <v>18420</v>
      </c>
      <c r="AA982" t="s">
        <v>18421</v>
      </c>
      <c r="AB982" t="s">
        <v>74</v>
      </c>
      <c r="AC982" t="s">
        <v>18422</v>
      </c>
      <c r="AD982" t="s">
        <v>18422</v>
      </c>
      <c r="AE982" t="s">
        <v>18423</v>
      </c>
      <c r="AF982" t="s">
        <v>74</v>
      </c>
      <c r="AG982">
        <v>39</v>
      </c>
      <c r="AH982">
        <v>13</v>
      </c>
      <c r="AI982">
        <v>13</v>
      </c>
      <c r="AJ982">
        <v>2</v>
      </c>
      <c r="AK982">
        <v>20</v>
      </c>
      <c r="AL982" t="s">
        <v>2377</v>
      </c>
      <c r="AM982" t="s">
        <v>2378</v>
      </c>
      <c r="AN982" t="s">
        <v>2379</v>
      </c>
      <c r="AO982" t="s">
        <v>10556</v>
      </c>
      <c r="AP982" t="s">
        <v>10557</v>
      </c>
      <c r="AQ982" t="s">
        <v>74</v>
      </c>
      <c r="AR982" t="s">
        <v>10558</v>
      </c>
      <c r="AS982" t="s">
        <v>10559</v>
      </c>
      <c r="AT982" t="s">
        <v>17151</v>
      </c>
      <c r="AU982">
        <v>2016</v>
      </c>
      <c r="AV982">
        <v>25</v>
      </c>
      <c r="AW982">
        <v>6</v>
      </c>
      <c r="AX982" t="s">
        <v>74</v>
      </c>
      <c r="AY982" t="s">
        <v>74</v>
      </c>
      <c r="AZ982" t="s">
        <v>74</v>
      </c>
      <c r="BA982" t="s">
        <v>74</v>
      </c>
      <c r="BB982">
        <v>624</v>
      </c>
      <c r="BC982">
        <v>636</v>
      </c>
      <c r="BD982" t="s">
        <v>74</v>
      </c>
      <c r="BE982" t="s">
        <v>18424</v>
      </c>
      <c r="BF982" t="str">
        <f>HYPERLINK("http://dx.doi.org/10.1111/fog.12178","http://dx.doi.org/10.1111/fog.12178")</f>
        <v>http://dx.doi.org/10.1111/fog.12178</v>
      </c>
      <c r="BG982" t="s">
        <v>74</v>
      </c>
      <c r="BH982" t="s">
        <v>74</v>
      </c>
      <c r="BI982">
        <v>13</v>
      </c>
      <c r="BJ982" t="s">
        <v>10561</v>
      </c>
      <c r="BK982" t="s">
        <v>101</v>
      </c>
      <c r="BL982" t="s">
        <v>10561</v>
      </c>
      <c r="BM982" t="s">
        <v>18425</v>
      </c>
      <c r="BN982" t="s">
        <v>74</v>
      </c>
      <c r="BO982" t="s">
        <v>506</v>
      </c>
      <c r="BP982" t="s">
        <v>74</v>
      </c>
      <c r="BQ982" t="s">
        <v>74</v>
      </c>
      <c r="BR982" t="s">
        <v>105</v>
      </c>
      <c r="BS982" t="s">
        <v>18426</v>
      </c>
      <c r="BT982" t="str">
        <f>HYPERLINK("https%3A%2F%2Fwww.webofscience.com%2Fwos%2Fwoscc%2Ffull-record%2FWOS:000385360200006","View Full Record in Web of Science")</f>
        <v>View Full Record in Web of Science</v>
      </c>
    </row>
    <row r="983" spans="1:72" x14ac:dyDescent="0.15">
      <c r="A983" t="s">
        <v>72</v>
      </c>
      <c r="B983" t="s">
        <v>18427</v>
      </c>
      <c r="C983" t="s">
        <v>74</v>
      </c>
      <c r="D983" t="s">
        <v>74</v>
      </c>
      <c r="E983" t="s">
        <v>74</v>
      </c>
      <c r="F983" t="s">
        <v>18428</v>
      </c>
      <c r="G983" t="s">
        <v>74</v>
      </c>
      <c r="H983" t="s">
        <v>74</v>
      </c>
      <c r="I983" t="s">
        <v>18429</v>
      </c>
      <c r="J983" t="s">
        <v>18430</v>
      </c>
      <c r="K983" t="s">
        <v>74</v>
      </c>
      <c r="L983" t="s">
        <v>74</v>
      </c>
      <c r="M983" t="s">
        <v>78</v>
      </c>
      <c r="N983" t="s">
        <v>79</v>
      </c>
      <c r="O983" t="s">
        <v>74</v>
      </c>
      <c r="P983" t="s">
        <v>74</v>
      </c>
      <c r="Q983" t="s">
        <v>74</v>
      </c>
      <c r="R983" t="s">
        <v>74</v>
      </c>
      <c r="S983" t="s">
        <v>74</v>
      </c>
      <c r="T983" t="s">
        <v>74</v>
      </c>
      <c r="U983" t="s">
        <v>18431</v>
      </c>
      <c r="V983" t="s">
        <v>18432</v>
      </c>
      <c r="W983" t="s">
        <v>18433</v>
      </c>
      <c r="X983" t="s">
        <v>18434</v>
      </c>
      <c r="Y983" t="s">
        <v>18435</v>
      </c>
      <c r="Z983" t="s">
        <v>18436</v>
      </c>
      <c r="AA983" t="s">
        <v>18437</v>
      </c>
      <c r="AB983" t="s">
        <v>18438</v>
      </c>
      <c r="AC983" t="s">
        <v>18439</v>
      </c>
      <c r="AD983" t="s">
        <v>18440</v>
      </c>
      <c r="AE983" t="s">
        <v>18441</v>
      </c>
      <c r="AF983" t="s">
        <v>74</v>
      </c>
      <c r="AG983">
        <v>24</v>
      </c>
      <c r="AH983">
        <v>30</v>
      </c>
      <c r="AI983">
        <v>33</v>
      </c>
      <c r="AJ983">
        <v>2</v>
      </c>
      <c r="AK983">
        <v>27</v>
      </c>
      <c r="AL983" t="s">
        <v>18442</v>
      </c>
      <c r="AM983" t="s">
        <v>142</v>
      </c>
      <c r="AN983" t="s">
        <v>18443</v>
      </c>
      <c r="AO983" t="s">
        <v>18444</v>
      </c>
      <c r="AP983" t="s">
        <v>18445</v>
      </c>
      <c r="AQ983" t="s">
        <v>74</v>
      </c>
      <c r="AR983" t="s">
        <v>18446</v>
      </c>
      <c r="AS983" t="s">
        <v>18447</v>
      </c>
      <c r="AT983" t="s">
        <v>17151</v>
      </c>
      <c r="AU983">
        <v>2016</v>
      </c>
      <c r="AV983">
        <v>90</v>
      </c>
      <c r="AW983">
        <v>21</v>
      </c>
      <c r="AX983" t="s">
        <v>74</v>
      </c>
      <c r="AY983" t="s">
        <v>74</v>
      </c>
      <c r="AZ983" t="s">
        <v>74</v>
      </c>
      <c r="BA983" t="s">
        <v>74</v>
      </c>
      <c r="BB983">
        <v>9674</v>
      </c>
      <c r="BC983">
        <v>9682</v>
      </c>
      <c r="BD983" t="s">
        <v>74</v>
      </c>
      <c r="BE983" t="s">
        <v>18448</v>
      </c>
      <c r="BF983" t="str">
        <f>HYPERLINK("http://dx.doi.org/10.1128/JVI.01404-16","http://dx.doi.org/10.1128/JVI.01404-16")</f>
        <v>http://dx.doi.org/10.1128/JVI.01404-16</v>
      </c>
      <c r="BG983" t="s">
        <v>74</v>
      </c>
      <c r="BH983" t="s">
        <v>74</v>
      </c>
      <c r="BI983">
        <v>9</v>
      </c>
      <c r="BJ983" t="s">
        <v>3315</v>
      </c>
      <c r="BK983" t="s">
        <v>101</v>
      </c>
      <c r="BL983" t="s">
        <v>3315</v>
      </c>
      <c r="BM983" t="s">
        <v>18449</v>
      </c>
      <c r="BN983">
        <v>27535050</v>
      </c>
      <c r="BO983" t="s">
        <v>18450</v>
      </c>
      <c r="BP983" t="s">
        <v>74</v>
      </c>
      <c r="BQ983" t="s">
        <v>74</v>
      </c>
      <c r="BR983" t="s">
        <v>105</v>
      </c>
      <c r="BS983" t="s">
        <v>18451</v>
      </c>
      <c r="BT983" t="str">
        <f>HYPERLINK("https%3A%2F%2Fwww.webofscience.com%2Fwos%2Fwoscc%2Ffull-record%2FWOS:000385525700011","View Full Record in Web of Science")</f>
        <v>View Full Record in Web of Science</v>
      </c>
    </row>
    <row r="984" spans="1:72" x14ac:dyDescent="0.15">
      <c r="A984" t="s">
        <v>72</v>
      </c>
      <c r="B984" t="s">
        <v>18452</v>
      </c>
      <c r="C984" t="s">
        <v>74</v>
      </c>
      <c r="D984" t="s">
        <v>74</v>
      </c>
      <c r="E984" t="s">
        <v>74</v>
      </c>
      <c r="F984" t="s">
        <v>18453</v>
      </c>
      <c r="G984" t="s">
        <v>74</v>
      </c>
      <c r="H984" t="s">
        <v>74</v>
      </c>
      <c r="I984" t="s">
        <v>18454</v>
      </c>
      <c r="J984" t="s">
        <v>9065</v>
      </c>
      <c r="K984" t="s">
        <v>74</v>
      </c>
      <c r="L984" t="s">
        <v>74</v>
      </c>
      <c r="M984" t="s">
        <v>78</v>
      </c>
      <c r="N984" t="s">
        <v>79</v>
      </c>
      <c r="O984" t="s">
        <v>74</v>
      </c>
      <c r="P984" t="s">
        <v>74</v>
      </c>
      <c r="Q984" t="s">
        <v>74</v>
      </c>
      <c r="R984" t="s">
        <v>74</v>
      </c>
      <c r="S984" t="s">
        <v>74</v>
      </c>
      <c r="T984" t="s">
        <v>18455</v>
      </c>
      <c r="U984" t="s">
        <v>18456</v>
      </c>
      <c r="V984" t="s">
        <v>18457</v>
      </c>
      <c r="W984" t="s">
        <v>18458</v>
      </c>
      <c r="X984" t="s">
        <v>2805</v>
      </c>
      <c r="Y984" t="s">
        <v>18459</v>
      </c>
      <c r="Z984" t="s">
        <v>18460</v>
      </c>
      <c r="AA984" t="s">
        <v>18461</v>
      </c>
      <c r="AB984" t="s">
        <v>18462</v>
      </c>
      <c r="AC984" t="s">
        <v>18463</v>
      </c>
      <c r="AD984" t="s">
        <v>18464</v>
      </c>
      <c r="AE984" t="s">
        <v>18465</v>
      </c>
      <c r="AF984" t="s">
        <v>74</v>
      </c>
      <c r="AG984">
        <v>112</v>
      </c>
      <c r="AH984">
        <v>5</v>
      </c>
      <c r="AI984">
        <v>5</v>
      </c>
      <c r="AJ984">
        <v>0</v>
      </c>
      <c r="AK984">
        <v>20</v>
      </c>
      <c r="AL984" t="s">
        <v>2325</v>
      </c>
      <c r="AM984" t="s">
        <v>292</v>
      </c>
      <c r="AN984" t="s">
        <v>2326</v>
      </c>
      <c r="AO984" t="s">
        <v>9076</v>
      </c>
      <c r="AP984" t="s">
        <v>9077</v>
      </c>
      <c r="AQ984" t="s">
        <v>74</v>
      </c>
      <c r="AR984" t="s">
        <v>9078</v>
      </c>
      <c r="AS984" t="s">
        <v>9079</v>
      </c>
      <c r="AT984" t="s">
        <v>17151</v>
      </c>
      <c r="AU984">
        <v>2016</v>
      </c>
      <c r="AV984">
        <v>73</v>
      </c>
      <c r="AW984" t="s">
        <v>74</v>
      </c>
      <c r="AX984" t="s">
        <v>74</v>
      </c>
      <c r="AY984" t="s">
        <v>74</v>
      </c>
      <c r="AZ984" t="s">
        <v>74</v>
      </c>
      <c r="BA984" t="s">
        <v>74</v>
      </c>
      <c r="BB984">
        <v>46</v>
      </c>
      <c r="BC984">
        <v>52</v>
      </c>
      <c r="BD984" t="s">
        <v>74</v>
      </c>
      <c r="BE984" t="s">
        <v>18466</v>
      </c>
      <c r="BF984" t="str">
        <f>HYPERLINK("http://dx.doi.org/10.1016/j.marpol.2016.07.028","http://dx.doi.org/10.1016/j.marpol.2016.07.028")</f>
        <v>http://dx.doi.org/10.1016/j.marpol.2016.07.028</v>
      </c>
      <c r="BG984" t="s">
        <v>74</v>
      </c>
      <c r="BH984" t="s">
        <v>74</v>
      </c>
      <c r="BI984">
        <v>7</v>
      </c>
      <c r="BJ984" t="s">
        <v>9081</v>
      </c>
      <c r="BK984" t="s">
        <v>1918</v>
      </c>
      <c r="BL984" t="s">
        <v>9082</v>
      </c>
      <c r="BM984" t="s">
        <v>18467</v>
      </c>
      <c r="BN984" t="s">
        <v>74</v>
      </c>
      <c r="BO984" t="s">
        <v>74</v>
      </c>
      <c r="BP984" t="s">
        <v>74</v>
      </c>
      <c r="BQ984" t="s">
        <v>74</v>
      </c>
      <c r="BR984" t="s">
        <v>105</v>
      </c>
      <c r="BS984" t="s">
        <v>18468</v>
      </c>
      <c r="BT984" t="str">
        <f>HYPERLINK("https%3A%2F%2Fwww.webofscience.com%2Fwos%2Fwoscc%2Ffull-record%2FWOS:000385325300006","View Full Record in Web of Science")</f>
        <v>View Full Record in Web of Science</v>
      </c>
    </row>
    <row r="985" spans="1:72" x14ac:dyDescent="0.15">
      <c r="A985" t="s">
        <v>72</v>
      </c>
      <c r="B985" t="s">
        <v>18469</v>
      </c>
      <c r="C985" t="s">
        <v>74</v>
      </c>
      <c r="D985" t="s">
        <v>74</v>
      </c>
      <c r="E985" t="s">
        <v>74</v>
      </c>
      <c r="F985" t="s">
        <v>18470</v>
      </c>
      <c r="G985" t="s">
        <v>74</v>
      </c>
      <c r="H985" t="s">
        <v>74</v>
      </c>
      <c r="I985" t="s">
        <v>18471</v>
      </c>
      <c r="J985" t="s">
        <v>18472</v>
      </c>
      <c r="K985" t="s">
        <v>74</v>
      </c>
      <c r="L985" t="s">
        <v>74</v>
      </c>
      <c r="M985" t="s">
        <v>78</v>
      </c>
      <c r="N985" t="s">
        <v>79</v>
      </c>
      <c r="O985" t="s">
        <v>74</v>
      </c>
      <c r="P985" t="s">
        <v>74</v>
      </c>
      <c r="Q985" t="s">
        <v>74</v>
      </c>
      <c r="R985" t="s">
        <v>74</v>
      </c>
      <c r="S985" t="s">
        <v>74</v>
      </c>
      <c r="T985" t="s">
        <v>18473</v>
      </c>
      <c r="U985" t="s">
        <v>18474</v>
      </c>
      <c r="V985" t="s">
        <v>18475</v>
      </c>
      <c r="W985" t="s">
        <v>18476</v>
      </c>
      <c r="X985" t="s">
        <v>18477</v>
      </c>
      <c r="Y985" t="s">
        <v>18478</v>
      </c>
      <c r="Z985" t="s">
        <v>18479</v>
      </c>
      <c r="AA985" t="s">
        <v>18480</v>
      </c>
      <c r="AB985" t="s">
        <v>18481</v>
      </c>
      <c r="AC985" t="s">
        <v>18482</v>
      </c>
      <c r="AD985" t="s">
        <v>18482</v>
      </c>
      <c r="AE985" t="s">
        <v>18483</v>
      </c>
      <c r="AF985" t="s">
        <v>74</v>
      </c>
      <c r="AG985">
        <v>31</v>
      </c>
      <c r="AH985">
        <v>1</v>
      </c>
      <c r="AI985">
        <v>1</v>
      </c>
      <c r="AJ985">
        <v>1</v>
      </c>
      <c r="AK985">
        <v>10</v>
      </c>
      <c r="AL985" t="s">
        <v>14022</v>
      </c>
      <c r="AM985" t="s">
        <v>14023</v>
      </c>
      <c r="AN985" t="s">
        <v>14024</v>
      </c>
      <c r="AO985" t="s">
        <v>18484</v>
      </c>
      <c r="AP985" t="s">
        <v>18485</v>
      </c>
      <c r="AQ985" t="s">
        <v>74</v>
      </c>
      <c r="AR985" t="s">
        <v>18486</v>
      </c>
      <c r="AS985" t="s">
        <v>18487</v>
      </c>
      <c r="AT985" t="s">
        <v>17151</v>
      </c>
      <c r="AU985">
        <v>2016</v>
      </c>
      <c r="AV985">
        <v>53</v>
      </c>
      <c r="AW985">
        <v>6</v>
      </c>
      <c r="AX985" t="s">
        <v>74</v>
      </c>
      <c r="AY985" t="s">
        <v>74</v>
      </c>
      <c r="AZ985" t="s">
        <v>74</v>
      </c>
      <c r="BA985" t="s">
        <v>74</v>
      </c>
      <c r="BB985">
        <v>1241</v>
      </c>
      <c r="BC985">
        <v>1247</v>
      </c>
      <c r="BD985" t="s">
        <v>74</v>
      </c>
      <c r="BE985" t="s">
        <v>18488</v>
      </c>
      <c r="BF985" t="str">
        <f>HYPERLINK("http://dx.doi.org/10.1177/0300985816638723","http://dx.doi.org/10.1177/0300985816638723")</f>
        <v>http://dx.doi.org/10.1177/0300985816638723</v>
      </c>
      <c r="BG985" t="s">
        <v>74</v>
      </c>
      <c r="BH985" t="s">
        <v>74</v>
      </c>
      <c r="BI985">
        <v>7</v>
      </c>
      <c r="BJ985" t="s">
        <v>18489</v>
      </c>
      <c r="BK985" t="s">
        <v>101</v>
      </c>
      <c r="BL985" t="s">
        <v>18489</v>
      </c>
      <c r="BM985" t="s">
        <v>18490</v>
      </c>
      <c r="BN985">
        <v>27034387</v>
      </c>
      <c r="BO985" t="s">
        <v>672</v>
      </c>
      <c r="BP985" t="s">
        <v>74</v>
      </c>
      <c r="BQ985" t="s">
        <v>74</v>
      </c>
      <c r="BR985" t="s">
        <v>105</v>
      </c>
      <c r="BS985" t="s">
        <v>18491</v>
      </c>
      <c r="BT985" t="str">
        <f>HYPERLINK("https%3A%2F%2Fwww.webofscience.com%2Fwos%2Fwoscc%2Ffull-record%2FWOS:000385819700018","View Full Record in Web of Science")</f>
        <v>View Full Record in Web of Science</v>
      </c>
    </row>
    <row r="986" spans="1:72" x14ac:dyDescent="0.15">
      <c r="A986" t="s">
        <v>72</v>
      </c>
      <c r="B986" t="s">
        <v>18492</v>
      </c>
      <c r="C986" t="s">
        <v>74</v>
      </c>
      <c r="D986" t="s">
        <v>74</v>
      </c>
      <c r="E986" t="s">
        <v>74</v>
      </c>
      <c r="F986" t="s">
        <v>18493</v>
      </c>
      <c r="G986" t="s">
        <v>74</v>
      </c>
      <c r="H986" t="s">
        <v>74</v>
      </c>
      <c r="I986" t="s">
        <v>18494</v>
      </c>
      <c r="J986" t="s">
        <v>18495</v>
      </c>
      <c r="K986" t="s">
        <v>74</v>
      </c>
      <c r="L986" t="s">
        <v>74</v>
      </c>
      <c r="M986" t="s">
        <v>78</v>
      </c>
      <c r="N986" t="s">
        <v>79</v>
      </c>
      <c r="O986" t="s">
        <v>74</v>
      </c>
      <c r="P986" t="s">
        <v>74</v>
      </c>
      <c r="Q986" t="s">
        <v>74</v>
      </c>
      <c r="R986" t="s">
        <v>74</v>
      </c>
      <c r="S986" t="s">
        <v>74</v>
      </c>
      <c r="T986" t="s">
        <v>18496</v>
      </c>
      <c r="U986" t="s">
        <v>18497</v>
      </c>
      <c r="V986" t="s">
        <v>18498</v>
      </c>
      <c r="W986" t="s">
        <v>18499</v>
      </c>
      <c r="X986" t="s">
        <v>18500</v>
      </c>
      <c r="Y986" t="s">
        <v>18501</v>
      </c>
      <c r="Z986" t="s">
        <v>18502</v>
      </c>
      <c r="AA986" t="s">
        <v>18503</v>
      </c>
      <c r="AB986" t="s">
        <v>18504</v>
      </c>
      <c r="AC986" t="s">
        <v>18505</v>
      </c>
      <c r="AD986" t="s">
        <v>18506</v>
      </c>
      <c r="AE986" t="s">
        <v>18507</v>
      </c>
      <c r="AF986" t="s">
        <v>74</v>
      </c>
      <c r="AG986">
        <v>108</v>
      </c>
      <c r="AH986">
        <v>41</v>
      </c>
      <c r="AI986">
        <v>48</v>
      </c>
      <c r="AJ986">
        <v>5</v>
      </c>
      <c r="AK986">
        <v>132</v>
      </c>
      <c r="AL986" t="s">
        <v>264</v>
      </c>
      <c r="AM986" t="s">
        <v>169</v>
      </c>
      <c r="AN986" t="s">
        <v>265</v>
      </c>
      <c r="AO986" t="s">
        <v>18508</v>
      </c>
      <c r="AP986" t="s">
        <v>18509</v>
      </c>
      <c r="AQ986" t="s">
        <v>74</v>
      </c>
      <c r="AR986" t="s">
        <v>18510</v>
      </c>
      <c r="AS986" t="s">
        <v>18511</v>
      </c>
      <c r="AT986" t="s">
        <v>17151</v>
      </c>
      <c r="AU986">
        <v>2016</v>
      </c>
      <c r="AV986">
        <v>107</v>
      </c>
      <c r="AW986" t="s">
        <v>74</v>
      </c>
      <c r="AX986" t="s">
        <v>74</v>
      </c>
      <c r="AY986" t="s">
        <v>74</v>
      </c>
      <c r="AZ986" t="s">
        <v>74</v>
      </c>
      <c r="BA986" t="s">
        <v>74</v>
      </c>
      <c r="BB986">
        <v>279</v>
      </c>
      <c r="BC986">
        <v>289</v>
      </c>
      <c r="BD986" t="s">
        <v>74</v>
      </c>
      <c r="BE986" t="s">
        <v>18512</v>
      </c>
      <c r="BF986" t="str">
        <f>HYPERLINK("http://dx.doi.org/10.1016/j.apsoil.2016.07.003","http://dx.doi.org/10.1016/j.apsoil.2016.07.003")</f>
        <v>http://dx.doi.org/10.1016/j.apsoil.2016.07.003</v>
      </c>
      <c r="BG986" t="s">
        <v>74</v>
      </c>
      <c r="BH986" t="s">
        <v>74</v>
      </c>
      <c r="BI986">
        <v>11</v>
      </c>
      <c r="BJ986" t="s">
        <v>3178</v>
      </c>
      <c r="BK986" t="s">
        <v>101</v>
      </c>
      <c r="BL986" t="s">
        <v>3179</v>
      </c>
      <c r="BM986" t="s">
        <v>18513</v>
      </c>
      <c r="BN986" t="s">
        <v>74</v>
      </c>
      <c r="BO986" t="s">
        <v>74</v>
      </c>
      <c r="BP986" t="s">
        <v>74</v>
      </c>
      <c r="BQ986" t="s">
        <v>74</v>
      </c>
      <c r="BR986" t="s">
        <v>105</v>
      </c>
      <c r="BS986" t="s">
        <v>18514</v>
      </c>
      <c r="BT986" t="str">
        <f>HYPERLINK("https%3A%2F%2Fwww.webofscience.com%2Fwos%2Fwoscc%2Ffull-record%2FWOS:000384860400029","View Full Record in Web of Science")</f>
        <v>View Full Record in Web of Science</v>
      </c>
    </row>
    <row r="987" spans="1:72" x14ac:dyDescent="0.15">
      <c r="A987" t="s">
        <v>72</v>
      </c>
      <c r="B987" t="s">
        <v>18515</v>
      </c>
      <c r="C987" t="s">
        <v>74</v>
      </c>
      <c r="D987" t="s">
        <v>74</v>
      </c>
      <c r="E987" t="s">
        <v>74</v>
      </c>
      <c r="F987" t="s">
        <v>18516</v>
      </c>
      <c r="G987" t="s">
        <v>74</v>
      </c>
      <c r="H987" t="s">
        <v>74</v>
      </c>
      <c r="I987" t="s">
        <v>18517</v>
      </c>
      <c r="J987" t="s">
        <v>18518</v>
      </c>
      <c r="K987" t="s">
        <v>74</v>
      </c>
      <c r="L987" t="s">
        <v>74</v>
      </c>
      <c r="M987" t="s">
        <v>78</v>
      </c>
      <c r="N987" t="s">
        <v>79</v>
      </c>
      <c r="O987" t="s">
        <v>74</v>
      </c>
      <c r="P987" t="s">
        <v>74</v>
      </c>
      <c r="Q987" t="s">
        <v>74</v>
      </c>
      <c r="R987" t="s">
        <v>74</v>
      </c>
      <c r="S987" t="s">
        <v>74</v>
      </c>
      <c r="T987" t="s">
        <v>18519</v>
      </c>
      <c r="U987" t="s">
        <v>18520</v>
      </c>
      <c r="V987" t="s">
        <v>18521</v>
      </c>
      <c r="W987" t="s">
        <v>18522</v>
      </c>
      <c r="X987" t="s">
        <v>18523</v>
      </c>
      <c r="Y987" t="s">
        <v>18524</v>
      </c>
      <c r="Z987" t="s">
        <v>18525</v>
      </c>
      <c r="AA987" t="s">
        <v>74</v>
      </c>
      <c r="AB987" t="s">
        <v>74</v>
      </c>
      <c r="AC987" t="s">
        <v>74</v>
      </c>
      <c r="AD987" t="s">
        <v>74</v>
      </c>
      <c r="AE987" t="s">
        <v>74</v>
      </c>
      <c r="AF987" t="s">
        <v>74</v>
      </c>
      <c r="AG987">
        <v>96</v>
      </c>
      <c r="AH987">
        <v>5</v>
      </c>
      <c r="AI987">
        <v>7</v>
      </c>
      <c r="AJ987">
        <v>0</v>
      </c>
      <c r="AK987">
        <v>52</v>
      </c>
      <c r="AL987" t="s">
        <v>18526</v>
      </c>
      <c r="AM987" t="s">
        <v>18527</v>
      </c>
      <c r="AN987" t="s">
        <v>18528</v>
      </c>
      <c r="AO987" t="s">
        <v>18529</v>
      </c>
      <c r="AP987" t="s">
        <v>18530</v>
      </c>
      <c r="AQ987" t="s">
        <v>74</v>
      </c>
      <c r="AR987" t="s">
        <v>18531</v>
      </c>
      <c r="AS987" t="s">
        <v>18532</v>
      </c>
      <c r="AT987" t="s">
        <v>17151</v>
      </c>
      <c r="AU987">
        <v>2016</v>
      </c>
      <c r="AV987">
        <v>316</v>
      </c>
      <c r="AW987">
        <v>9</v>
      </c>
      <c r="AX987" t="s">
        <v>74</v>
      </c>
      <c r="AY987" t="s">
        <v>74</v>
      </c>
      <c r="AZ987" t="s">
        <v>74</v>
      </c>
      <c r="BA987" t="s">
        <v>74</v>
      </c>
      <c r="BB987">
        <v>813</v>
      </c>
      <c r="BC987">
        <v>838</v>
      </c>
      <c r="BD987" t="s">
        <v>74</v>
      </c>
      <c r="BE987" t="s">
        <v>18533</v>
      </c>
      <c r="BF987" t="str">
        <f>HYPERLINK("http://dx.doi.org/10.2475/09.2016.01","http://dx.doi.org/10.2475/09.2016.01")</f>
        <v>http://dx.doi.org/10.2475/09.2016.01</v>
      </c>
      <c r="BG987" t="s">
        <v>74</v>
      </c>
      <c r="BH987" t="s">
        <v>74</v>
      </c>
      <c r="BI987">
        <v>26</v>
      </c>
      <c r="BJ987" t="s">
        <v>669</v>
      </c>
      <c r="BK987" t="s">
        <v>101</v>
      </c>
      <c r="BL987" t="s">
        <v>670</v>
      </c>
      <c r="BM987" t="s">
        <v>18534</v>
      </c>
      <c r="BN987" t="s">
        <v>74</v>
      </c>
      <c r="BO987" t="s">
        <v>74</v>
      </c>
      <c r="BP987" t="s">
        <v>74</v>
      </c>
      <c r="BQ987" t="s">
        <v>74</v>
      </c>
      <c r="BR987" t="s">
        <v>105</v>
      </c>
      <c r="BS987" t="s">
        <v>18535</v>
      </c>
      <c r="BT987" t="str">
        <f>HYPERLINK("https%3A%2F%2Fwww.webofscience.com%2Fwos%2Fwoscc%2Ffull-record%2FWOS:000388363100001","View Full Record in Web of Science")</f>
        <v>View Full Record in Web of Science</v>
      </c>
    </row>
    <row r="988" spans="1:72" x14ac:dyDescent="0.15">
      <c r="A988" t="s">
        <v>72</v>
      </c>
      <c r="B988" t="s">
        <v>18536</v>
      </c>
      <c r="C988" t="s">
        <v>74</v>
      </c>
      <c r="D988" t="s">
        <v>74</v>
      </c>
      <c r="E988" t="s">
        <v>74</v>
      </c>
      <c r="F988" t="s">
        <v>18537</v>
      </c>
      <c r="G988" t="s">
        <v>74</v>
      </c>
      <c r="H988" t="s">
        <v>74</v>
      </c>
      <c r="I988" t="s">
        <v>18538</v>
      </c>
      <c r="J988" t="s">
        <v>17669</v>
      </c>
      <c r="K988" t="s">
        <v>74</v>
      </c>
      <c r="L988" t="s">
        <v>74</v>
      </c>
      <c r="M988" t="s">
        <v>78</v>
      </c>
      <c r="N988" t="s">
        <v>79</v>
      </c>
      <c r="O988" t="s">
        <v>74</v>
      </c>
      <c r="P988" t="s">
        <v>74</v>
      </c>
      <c r="Q988" t="s">
        <v>74</v>
      </c>
      <c r="R988" t="s">
        <v>74</v>
      </c>
      <c r="S988" t="s">
        <v>74</v>
      </c>
      <c r="T988" t="s">
        <v>74</v>
      </c>
      <c r="U988" t="s">
        <v>18539</v>
      </c>
      <c r="V988" t="s">
        <v>18540</v>
      </c>
      <c r="W988" t="s">
        <v>18541</v>
      </c>
      <c r="X988" t="s">
        <v>18542</v>
      </c>
      <c r="Y988" t="s">
        <v>18543</v>
      </c>
      <c r="Z988" t="s">
        <v>18544</v>
      </c>
      <c r="AA988" t="s">
        <v>18545</v>
      </c>
      <c r="AB988" t="s">
        <v>18546</v>
      </c>
      <c r="AC988" t="s">
        <v>18547</v>
      </c>
      <c r="AD988" t="s">
        <v>18547</v>
      </c>
      <c r="AE988" t="s">
        <v>18548</v>
      </c>
      <c r="AF988" t="s">
        <v>74</v>
      </c>
      <c r="AG988">
        <v>44</v>
      </c>
      <c r="AH988">
        <v>40</v>
      </c>
      <c r="AI988">
        <v>45</v>
      </c>
      <c r="AJ988">
        <v>0</v>
      </c>
      <c r="AK988">
        <v>18</v>
      </c>
      <c r="AL988" t="s">
        <v>17715</v>
      </c>
      <c r="AM988" t="s">
        <v>9475</v>
      </c>
      <c r="AN988" t="s">
        <v>17716</v>
      </c>
      <c r="AO988" t="s">
        <v>17680</v>
      </c>
      <c r="AP988" t="s">
        <v>17681</v>
      </c>
      <c r="AQ988" t="s">
        <v>74</v>
      </c>
      <c r="AR988" t="s">
        <v>17682</v>
      </c>
      <c r="AS988" t="s">
        <v>17683</v>
      </c>
      <c r="AT988" t="s">
        <v>17151</v>
      </c>
      <c r="AU988">
        <v>2016</v>
      </c>
      <c r="AV988">
        <v>48</v>
      </c>
      <c r="AW988">
        <v>4</v>
      </c>
      <c r="AX988" t="s">
        <v>74</v>
      </c>
      <c r="AY988" t="s">
        <v>74</v>
      </c>
      <c r="AZ988" t="s">
        <v>74</v>
      </c>
      <c r="BA988" t="s">
        <v>74</v>
      </c>
      <c r="BB988">
        <v>673</v>
      </c>
      <c r="BC988">
        <v>684</v>
      </c>
      <c r="BD988" t="s">
        <v>74</v>
      </c>
      <c r="BE988" t="s">
        <v>18549</v>
      </c>
      <c r="BF988" t="str">
        <f>HYPERLINK("http://dx.doi.org/10.1657/AAAR0015-077","http://dx.doi.org/10.1657/AAAR0015-077")</f>
        <v>http://dx.doi.org/10.1657/AAAR0015-077</v>
      </c>
      <c r="BG988" t="s">
        <v>74</v>
      </c>
      <c r="BH988" t="s">
        <v>74</v>
      </c>
      <c r="BI988">
        <v>12</v>
      </c>
      <c r="BJ988" t="s">
        <v>17685</v>
      </c>
      <c r="BK988" t="s">
        <v>101</v>
      </c>
      <c r="BL988" t="s">
        <v>15299</v>
      </c>
      <c r="BM988" t="s">
        <v>17686</v>
      </c>
      <c r="BN988" t="s">
        <v>74</v>
      </c>
      <c r="BO988" t="s">
        <v>11696</v>
      </c>
      <c r="BP988" t="s">
        <v>74</v>
      </c>
      <c r="BQ988" t="s">
        <v>74</v>
      </c>
      <c r="BR988" t="s">
        <v>105</v>
      </c>
      <c r="BS988" t="s">
        <v>18550</v>
      </c>
      <c r="BT988" t="str">
        <f>HYPERLINK("https%3A%2F%2Fwww.webofscience.com%2Fwos%2Fwoscc%2Ffull-record%2FWOS:000389317200005","View Full Record in Web of Science")</f>
        <v>View Full Record in Web of Science</v>
      </c>
    </row>
    <row r="989" spans="1:72" x14ac:dyDescent="0.15">
      <c r="A989" t="s">
        <v>72</v>
      </c>
      <c r="B989" t="s">
        <v>18551</v>
      </c>
      <c r="C989" t="s">
        <v>74</v>
      </c>
      <c r="D989" t="s">
        <v>74</v>
      </c>
      <c r="E989" t="s">
        <v>74</v>
      </c>
      <c r="F989" t="s">
        <v>18552</v>
      </c>
      <c r="G989" t="s">
        <v>74</v>
      </c>
      <c r="H989" t="s">
        <v>74</v>
      </c>
      <c r="I989" t="s">
        <v>18553</v>
      </c>
      <c r="J989" t="s">
        <v>17669</v>
      </c>
      <c r="K989" t="s">
        <v>74</v>
      </c>
      <c r="L989" t="s">
        <v>74</v>
      </c>
      <c r="M989" t="s">
        <v>78</v>
      </c>
      <c r="N989" t="s">
        <v>79</v>
      </c>
      <c r="O989" t="s">
        <v>74</v>
      </c>
      <c r="P989" t="s">
        <v>74</v>
      </c>
      <c r="Q989" t="s">
        <v>74</v>
      </c>
      <c r="R989" t="s">
        <v>74</v>
      </c>
      <c r="S989" t="s">
        <v>74</v>
      </c>
      <c r="T989" t="s">
        <v>74</v>
      </c>
      <c r="U989" t="s">
        <v>18554</v>
      </c>
      <c r="V989" t="s">
        <v>18555</v>
      </c>
      <c r="W989" t="s">
        <v>18556</v>
      </c>
      <c r="X989" t="s">
        <v>18557</v>
      </c>
      <c r="Y989" t="s">
        <v>18558</v>
      </c>
      <c r="Z989" t="s">
        <v>18559</v>
      </c>
      <c r="AA989" t="s">
        <v>18560</v>
      </c>
      <c r="AB989" t="s">
        <v>18561</v>
      </c>
      <c r="AC989" t="s">
        <v>18562</v>
      </c>
      <c r="AD989" t="s">
        <v>18563</v>
      </c>
      <c r="AE989" t="s">
        <v>18564</v>
      </c>
      <c r="AF989" t="s">
        <v>74</v>
      </c>
      <c r="AG989">
        <v>74</v>
      </c>
      <c r="AH989">
        <v>12</v>
      </c>
      <c r="AI989">
        <v>16</v>
      </c>
      <c r="AJ989">
        <v>0</v>
      </c>
      <c r="AK989">
        <v>32</v>
      </c>
      <c r="AL989" t="s">
        <v>17715</v>
      </c>
      <c r="AM989" t="s">
        <v>9475</v>
      </c>
      <c r="AN989" t="s">
        <v>17716</v>
      </c>
      <c r="AO989" t="s">
        <v>17680</v>
      </c>
      <c r="AP989" t="s">
        <v>17681</v>
      </c>
      <c r="AQ989" t="s">
        <v>74</v>
      </c>
      <c r="AR989" t="s">
        <v>17682</v>
      </c>
      <c r="AS989" t="s">
        <v>17683</v>
      </c>
      <c r="AT989" t="s">
        <v>17151</v>
      </c>
      <c r="AU989">
        <v>2016</v>
      </c>
      <c r="AV989">
        <v>48</v>
      </c>
      <c r="AW989">
        <v>4</v>
      </c>
      <c r="AX989" t="s">
        <v>74</v>
      </c>
      <c r="AY989" t="s">
        <v>74</v>
      </c>
      <c r="AZ989" t="s">
        <v>74</v>
      </c>
      <c r="BA989" t="s">
        <v>74</v>
      </c>
      <c r="BB989">
        <v>685</v>
      </c>
      <c r="BC989">
        <v>701</v>
      </c>
      <c r="BD989" t="s">
        <v>74</v>
      </c>
      <c r="BE989" t="s">
        <v>18565</v>
      </c>
      <c r="BF989" t="str">
        <f>HYPERLINK("http://dx.doi.org/10.1657/AAAR0015-062","http://dx.doi.org/10.1657/AAAR0015-062")</f>
        <v>http://dx.doi.org/10.1657/AAAR0015-062</v>
      </c>
      <c r="BG989" t="s">
        <v>74</v>
      </c>
      <c r="BH989" t="s">
        <v>74</v>
      </c>
      <c r="BI989">
        <v>17</v>
      </c>
      <c r="BJ989" t="s">
        <v>17685</v>
      </c>
      <c r="BK989" t="s">
        <v>101</v>
      </c>
      <c r="BL989" t="s">
        <v>15299</v>
      </c>
      <c r="BM989" t="s">
        <v>17686</v>
      </c>
      <c r="BN989" t="s">
        <v>74</v>
      </c>
      <c r="BO989" t="s">
        <v>506</v>
      </c>
      <c r="BP989" t="s">
        <v>74</v>
      </c>
      <c r="BQ989" t="s">
        <v>74</v>
      </c>
      <c r="BR989" t="s">
        <v>105</v>
      </c>
      <c r="BS989" t="s">
        <v>18566</v>
      </c>
      <c r="BT989" t="str">
        <f>HYPERLINK("https%3A%2F%2Fwww.webofscience.com%2Fwos%2Fwoscc%2Ffull-record%2FWOS:000389317200006","View Full Record in Web of Science")</f>
        <v>View Full Record in Web of Science</v>
      </c>
    </row>
    <row r="990" spans="1:72" x14ac:dyDescent="0.15">
      <c r="A990" t="s">
        <v>72</v>
      </c>
      <c r="B990" t="s">
        <v>18567</v>
      </c>
      <c r="C990" t="s">
        <v>74</v>
      </c>
      <c r="D990" t="s">
        <v>74</v>
      </c>
      <c r="E990" t="s">
        <v>74</v>
      </c>
      <c r="F990" t="s">
        <v>18568</v>
      </c>
      <c r="G990" t="s">
        <v>74</v>
      </c>
      <c r="H990" t="s">
        <v>74</v>
      </c>
      <c r="I990" t="s">
        <v>18569</v>
      </c>
      <c r="J990" t="s">
        <v>17669</v>
      </c>
      <c r="K990" t="s">
        <v>74</v>
      </c>
      <c r="L990" t="s">
        <v>74</v>
      </c>
      <c r="M990" t="s">
        <v>78</v>
      </c>
      <c r="N990" t="s">
        <v>79</v>
      </c>
      <c r="O990" t="s">
        <v>74</v>
      </c>
      <c r="P990" t="s">
        <v>74</v>
      </c>
      <c r="Q990" t="s">
        <v>74</v>
      </c>
      <c r="R990" t="s">
        <v>74</v>
      </c>
      <c r="S990" t="s">
        <v>74</v>
      </c>
      <c r="T990" t="s">
        <v>74</v>
      </c>
      <c r="U990" t="s">
        <v>18570</v>
      </c>
      <c r="V990" t="s">
        <v>18571</v>
      </c>
      <c r="W990" t="s">
        <v>18572</v>
      </c>
      <c r="X990" t="s">
        <v>18573</v>
      </c>
      <c r="Y990" t="s">
        <v>18574</v>
      </c>
      <c r="Z990" t="s">
        <v>18575</v>
      </c>
      <c r="AA990" t="s">
        <v>18576</v>
      </c>
      <c r="AB990" t="s">
        <v>18577</v>
      </c>
      <c r="AC990" t="s">
        <v>18578</v>
      </c>
      <c r="AD990" t="s">
        <v>18578</v>
      </c>
      <c r="AE990" t="s">
        <v>18579</v>
      </c>
      <c r="AF990" t="s">
        <v>74</v>
      </c>
      <c r="AG990">
        <v>35</v>
      </c>
      <c r="AH990">
        <v>16</v>
      </c>
      <c r="AI990">
        <v>18</v>
      </c>
      <c r="AJ990">
        <v>0</v>
      </c>
      <c r="AK990">
        <v>25</v>
      </c>
      <c r="AL990" t="s">
        <v>1967</v>
      </c>
      <c r="AM990" t="s">
        <v>1910</v>
      </c>
      <c r="AN990" t="s">
        <v>1968</v>
      </c>
      <c r="AO990" t="s">
        <v>17680</v>
      </c>
      <c r="AP990" t="s">
        <v>17681</v>
      </c>
      <c r="AQ990" t="s">
        <v>74</v>
      </c>
      <c r="AR990" t="s">
        <v>17682</v>
      </c>
      <c r="AS990" t="s">
        <v>17683</v>
      </c>
      <c r="AT990" t="s">
        <v>17151</v>
      </c>
      <c r="AU990">
        <v>2016</v>
      </c>
      <c r="AV990">
        <v>48</v>
      </c>
      <c r="AW990">
        <v>4</v>
      </c>
      <c r="AX990" t="s">
        <v>74</v>
      </c>
      <c r="AY990" t="s">
        <v>74</v>
      </c>
      <c r="AZ990" t="s">
        <v>74</v>
      </c>
      <c r="BA990" t="s">
        <v>74</v>
      </c>
      <c r="BB990">
        <v>703</v>
      </c>
      <c r="BC990">
        <v>722</v>
      </c>
      <c r="BD990" t="s">
        <v>74</v>
      </c>
      <c r="BE990" t="s">
        <v>18580</v>
      </c>
      <c r="BF990" t="str">
        <f>HYPERLINK("http://dx.doi.org/10.1657/AAAR0016-011","http://dx.doi.org/10.1657/AAAR0016-011")</f>
        <v>http://dx.doi.org/10.1657/AAAR0016-011</v>
      </c>
      <c r="BG990" t="s">
        <v>74</v>
      </c>
      <c r="BH990" t="s">
        <v>74</v>
      </c>
      <c r="BI990">
        <v>20</v>
      </c>
      <c r="BJ990" t="s">
        <v>17685</v>
      </c>
      <c r="BK990" t="s">
        <v>101</v>
      </c>
      <c r="BL990" t="s">
        <v>15299</v>
      </c>
      <c r="BM990" t="s">
        <v>17686</v>
      </c>
      <c r="BN990" t="s">
        <v>74</v>
      </c>
      <c r="BO990" t="s">
        <v>1803</v>
      </c>
      <c r="BP990" t="s">
        <v>74</v>
      </c>
      <c r="BQ990" t="s">
        <v>74</v>
      </c>
      <c r="BR990" t="s">
        <v>105</v>
      </c>
      <c r="BS990" t="s">
        <v>18581</v>
      </c>
      <c r="BT990" t="str">
        <f>HYPERLINK("https%3A%2F%2Fwww.webofscience.com%2Fwos%2Fwoscc%2Ffull-record%2FWOS:000389317200007","View Full Record in Web of Science")</f>
        <v>View Full Record in Web of Science</v>
      </c>
    </row>
    <row r="991" spans="1:72" x14ac:dyDescent="0.15">
      <c r="A991" t="s">
        <v>72</v>
      </c>
      <c r="B991" t="s">
        <v>18582</v>
      </c>
      <c r="C991" t="s">
        <v>74</v>
      </c>
      <c r="D991" t="s">
        <v>74</v>
      </c>
      <c r="E991" t="s">
        <v>74</v>
      </c>
      <c r="F991" t="s">
        <v>18583</v>
      </c>
      <c r="G991" t="s">
        <v>74</v>
      </c>
      <c r="H991" t="s">
        <v>74</v>
      </c>
      <c r="I991" t="s">
        <v>18584</v>
      </c>
      <c r="J991" t="s">
        <v>17669</v>
      </c>
      <c r="K991" t="s">
        <v>74</v>
      </c>
      <c r="L991" t="s">
        <v>74</v>
      </c>
      <c r="M991" t="s">
        <v>78</v>
      </c>
      <c r="N991" t="s">
        <v>79</v>
      </c>
      <c r="O991" t="s">
        <v>74</v>
      </c>
      <c r="P991" t="s">
        <v>74</v>
      </c>
      <c r="Q991" t="s">
        <v>74</v>
      </c>
      <c r="R991" t="s">
        <v>74</v>
      </c>
      <c r="S991" t="s">
        <v>74</v>
      </c>
      <c r="T991" t="s">
        <v>74</v>
      </c>
      <c r="U991" t="s">
        <v>74</v>
      </c>
      <c r="V991" t="s">
        <v>18585</v>
      </c>
      <c r="W991" t="s">
        <v>18586</v>
      </c>
      <c r="X991" t="s">
        <v>18587</v>
      </c>
      <c r="Y991" t="s">
        <v>18588</v>
      </c>
      <c r="Z991" t="s">
        <v>18589</v>
      </c>
      <c r="AA991" t="s">
        <v>18590</v>
      </c>
      <c r="AB991" t="s">
        <v>18591</v>
      </c>
      <c r="AC991" t="s">
        <v>18592</v>
      </c>
      <c r="AD991" t="s">
        <v>18593</v>
      </c>
      <c r="AE991" t="s">
        <v>18594</v>
      </c>
      <c r="AF991" t="s">
        <v>74</v>
      </c>
      <c r="AG991">
        <v>6</v>
      </c>
      <c r="AH991">
        <v>14</v>
      </c>
      <c r="AI991">
        <v>15</v>
      </c>
      <c r="AJ991">
        <v>0</v>
      </c>
      <c r="AK991">
        <v>14</v>
      </c>
      <c r="AL991" t="s">
        <v>17715</v>
      </c>
      <c r="AM991" t="s">
        <v>9475</v>
      </c>
      <c r="AN991" t="s">
        <v>17716</v>
      </c>
      <c r="AO991" t="s">
        <v>17680</v>
      </c>
      <c r="AP991" t="s">
        <v>17681</v>
      </c>
      <c r="AQ991" t="s">
        <v>74</v>
      </c>
      <c r="AR991" t="s">
        <v>17682</v>
      </c>
      <c r="AS991" t="s">
        <v>17683</v>
      </c>
      <c r="AT991" t="s">
        <v>17151</v>
      </c>
      <c r="AU991">
        <v>2016</v>
      </c>
      <c r="AV991">
        <v>48</v>
      </c>
      <c r="AW991">
        <v>4</v>
      </c>
      <c r="AX991" t="s">
        <v>74</v>
      </c>
      <c r="AY991" t="s">
        <v>74</v>
      </c>
      <c r="AZ991" t="s">
        <v>74</v>
      </c>
      <c r="BA991" t="s">
        <v>74</v>
      </c>
      <c r="BB991">
        <v>739</v>
      </c>
      <c r="BC991">
        <v>754</v>
      </c>
      <c r="BD991" t="s">
        <v>74</v>
      </c>
      <c r="BE991" t="s">
        <v>18595</v>
      </c>
      <c r="BF991" t="str">
        <f>HYPERLINK("http://dx.doi.org/10.1657/AAAR0016-013","http://dx.doi.org/10.1657/AAAR0016-013")</f>
        <v>http://dx.doi.org/10.1657/AAAR0016-013</v>
      </c>
      <c r="BG991" t="s">
        <v>74</v>
      </c>
      <c r="BH991" t="s">
        <v>74</v>
      </c>
      <c r="BI991">
        <v>16</v>
      </c>
      <c r="BJ991" t="s">
        <v>17685</v>
      </c>
      <c r="BK991" t="s">
        <v>101</v>
      </c>
      <c r="BL991" t="s">
        <v>15299</v>
      </c>
      <c r="BM991" t="s">
        <v>17686</v>
      </c>
      <c r="BN991" t="s">
        <v>74</v>
      </c>
      <c r="BO991" t="s">
        <v>11696</v>
      </c>
      <c r="BP991" t="s">
        <v>74</v>
      </c>
      <c r="BQ991" t="s">
        <v>74</v>
      </c>
      <c r="BR991" t="s">
        <v>105</v>
      </c>
      <c r="BS991" t="s">
        <v>18596</v>
      </c>
      <c r="BT991" t="str">
        <f>HYPERLINK("https%3A%2F%2Fwww.webofscience.com%2Fwos%2Fwoscc%2Ffull-record%2FWOS:000389317200009","View Full Record in Web of Science")</f>
        <v>View Full Record in Web of Science</v>
      </c>
    </row>
    <row r="992" spans="1:72" x14ac:dyDescent="0.15">
      <c r="A992" t="s">
        <v>72</v>
      </c>
      <c r="B992" t="s">
        <v>18597</v>
      </c>
      <c r="C992" t="s">
        <v>74</v>
      </c>
      <c r="D992" t="s">
        <v>74</v>
      </c>
      <c r="E992" t="s">
        <v>74</v>
      </c>
      <c r="F992" t="s">
        <v>18598</v>
      </c>
      <c r="G992" t="s">
        <v>74</v>
      </c>
      <c r="H992" t="s">
        <v>74</v>
      </c>
      <c r="I992" t="s">
        <v>18599</v>
      </c>
      <c r="J992" t="s">
        <v>17669</v>
      </c>
      <c r="K992" t="s">
        <v>74</v>
      </c>
      <c r="L992" t="s">
        <v>74</v>
      </c>
      <c r="M992" t="s">
        <v>78</v>
      </c>
      <c r="N992" t="s">
        <v>79</v>
      </c>
      <c r="O992" t="s">
        <v>74</v>
      </c>
      <c r="P992" t="s">
        <v>74</v>
      </c>
      <c r="Q992" t="s">
        <v>74</v>
      </c>
      <c r="R992" t="s">
        <v>74</v>
      </c>
      <c r="S992" t="s">
        <v>74</v>
      </c>
      <c r="T992" t="s">
        <v>74</v>
      </c>
      <c r="U992" t="s">
        <v>18600</v>
      </c>
      <c r="V992" t="s">
        <v>18601</v>
      </c>
      <c r="W992" t="s">
        <v>18602</v>
      </c>
      <c r="X992" t="s">
        <v>14220</v>
      </c>
      <c r="Y992" t="s">
        <v>18603</v>
      </c>
      <c r="Z992" t="s">
        <v>18604</v>
      </c>
      <c r="AA992" t="s">
        <v>18605</v>
      </c>
      <c r="AB992" t="s">
        <v>18606</v>
      </c>
      <c r="AC992" t="s">
        <v>18607</v>
      </c>
      <c r="AD992" t="s">
        <v>18608</v>
      </c>
      <c r="AE992" t="s">
        <v>18609</v>
      </c>
      <c r="AF992" t="s">
        <v>74</v>
      </c>
      <c r="AG992">
        <v>45</v>
      </c>
      <c r="AH992">
        <v>8</v>
      </c>
      <c r="AI992">
        <v>9</v>
      </c>
      <c r="AJ992">
        <v>0</v>
      </c>
      <c r="AK992">
        <v>8</v>
      </c>
      <c r="AL992" t="s">
        <v>1967</v>
      </c>
      <c r="AM992" t="s">
        <v>1910</v>
      </c>
      <c r="AN992" t="s">
        <v>1968</v>
      </c>
      <c r="AO992" t="s">
        <v>17680</v>
      </c>
      <c r="AP992" t="s">
        <v>17681</v>
      </c>
      <c r="AQ992" t="s">
        <v>74</v>
      </c>
      <c r="AR992" t="s">
        <v>17682</v>
      </c>
      <c r="AS992" t="s">
        <v>17683</v>
      </c>
      <c r="AT992" t="s">
        <v>17151</v>
      </c>
      <c r="AU992">
        <v>2016</v>
      </c>
      <c r="AV992">
        <v>48</v>
      </c>
      <c r="AW992">
        <v>4</v>
      </c>
      <c r="AX992" t="s">
        <v>74</v>
      </c>
      <c r="AY992" t="s">
        <v>74</v>
      </c>
      <c r="AZ992" t="s">
        <v>74</v>
      </c>
      <c r="BA992" t="s">
        <v>74</v>
      </c>
      <c r="BB992">
        <v>755</v>
      </c>
      <c r="BC992">
        <v>766</v>
      </c>
      <c r="BD992" t="s">
        <v>74</v>
      </c>
      <c r="BE992" t="s">
        <v>18610</v>
      </c>
      <c r="BF992" t="str">
        <f>HYPERLINK("http://dx.doi.org/10.1657/AAAR0016-015","http://dx.doi.org/10.1657/AAAR0016-015")</f>
        <v>http://dx.doi.org/10.1657/AAAR0016-015</v>
      </c>
      <c r="BG992" t="s">
        <v>74</v>
      </c>
      <c r="BH992" t="s">
        <v>74</v>
      </c>
      <c r="BI992">
        <v>12</v>
      </c>
      <c r="BJ992" t="s">
        <v>17685</v>
      </c>
      <c r="BK992" t="s">
        <v>101</v>
      </c>
      <c r="BL992" t="s">
        <v>15299</v>
      </c>
      <c r="BM992" t="s">
        <v>17686</v>
      </c>
      <c r="BN992" t="s">
        <v>74</v>
      </c>
      <c r="BO992" t="s">
        <v>672</v>
      </c>
      <c r="BP992" t="s">
        <v>74</v>
      </c>
      <c r="BQ992" t="s">
        <v>74</v>
      </c>
      <c r="BR992" t="s">
        <v>105</v>
      </c>
      <c r="BS992" t="s">
        <v>18611</v>
      </c>
      <c r="BT992" t="str">
        <f>HYPERLINK("https%3A%2F%2Fwww.webofscience.com%2Fwos%2Fwoscc%2Ffull-record%2FWOS:000389317200010","View Full Record in Web of Science")</f>
        <v>View Full Record in Web of Science</v>
      </c>
    </row>
    <row r="993" spans="1:72" x14ac:dyDescent="0.15">
      <c r="A993" t="s">
        <v>72</v>
      </c>
      <c r="B993" t="s">
        <v>18612</v>
      </c>
      <c r="C993" t="s">
        <v>74</v>
      </c>
      <c r="D993" t="s">
        <v>74</v>
      </c>
      <c r="E993" t="s">
        <v>74</v>
      </c>
      <c r="F993" t="s">
        <v>18613</v>
      </c>
      <c r="G993" t="s">
        <v>74</v>
      </c>
      <c r="H993" t="s">
        <v>74</v>
      </c>
      <c r="I993" t="s">
        <v>18614</v>
      </c>
      <c r="J993" t="s">
        <v>1318</v>
      </c>
      <c r="K993" t="s">
        <v>74</v>
      </c>
      <c r="L993" t="s">
        <v>74</v>
      </c>
      <c r="M993" t="s">
        <v>78</v>
      </c>
      <c r="N993" t="s">
        <v>79</v>
      </c>
      <c r="O993" t="s">
        <v>74</v>
      </c>
      <c r="P993" t="s">
        <v>74</v>
      </c>
      <c r="Q993" t="s">
        <v>74</v>
      </c>
      <c r="R993" t="s">
        <v>74</v>
      </c>
      <c r="S993" t="s">
        <v>74</v>
      </c>
      <c r="T993" t="s">
        <v>74</v>
      </c>
      <c r="U993" t="s">
        <v>18615</v>
      </c>
      <c r="V993" t="s">
        <v>18616</v>
      </c>
      <c r="W993" t="s">
        <v>18617</v>
      </c>
      <c r="X993" t="s">
        <v>18618</v>
      </c>
      <c r="Y993" t="s">
        <v>18619</v>
      </c>
      <c r="Z993" t="s">
        <v>18620</v>
      </c>
      <c r="AA993" t="s">
        <v>18621</v>
      </c>
      <c r="AB993" t="s">
        <v>18622</v>
      </c>
      <c r="AC993" t="s">
        <v>18623</v>
      </c>
      <c r="AD993" t="s">
        <v>18624</v>
      </c>
      <c r="AE993" t="s">
        <v>18625</v>
      </c>
      <c r="AF993" t="s">
        <v>74</v>
      </c>
      <c r="AG993">
        <v>92</v>
      </c>
      <c r="AH993">
        <v>34</v>
      </c>
      <c r="AI993">
        <v>39</v>
      </c>
      <c r="AJ993">
        <v>0</v>
      </c>
      <c r="AK993">
        <v>9</v>
      </c>
      <c r="AL993" t="s">
        <v>608</v>
      </c>
      <c r="AM993" t="s">
        <v>609</v>
      </c>
      <c r="AN993" t="s">
        <v>610</v>
      </c>
      <c r="AO993" t="s">
        <v>1329</v>
      </c>
      <c r="AP993" t="s">
        <v>1330</v>
      </c>
      <c r="AQ993" t="s">
        <v>74</v>
      </c>
      <c r="AR993" t="s">
        <v>1318</v>
      </c>
      <c r="AS993" t="s">
        <v>1331</v>
      </c>
      <c r="AT993" t="s">
        <v>17577</v>
      </c>
      <c r="AU993">
        <v>2016</v>
      </c>
      <c r="AV993">
        <v>13</v>
      </c>
      <c r="AW993">
        <v>21</v>
      </c>
      <c r="AX993" t="s">
        <v>74</v>
      </c>
      <c r="AY993" t="s">
        <v>74</v>
      </c>
      <c r="AZ993" t="s">
        <v>74</v>
      </c>
      <c r="BA993" t="s">
        <v>74</v>
      </c>
      <c r="BB993">
        <v>5917</v>
      </c>
      <c r="BC993">
        <v>5935</v>
      </c>
      <c r="BD993" t="s">
        <v>74</v>
      </c>
      <c r="BE993" t="s">
        <v>18626</v>
      </c>
      <c r="BF993" t="str">
        <f>HYPERLINK("http://dx.doi.org/10.5194/bg-13-5917-2016","http://dx.doi.org/10.5194/bg-13-5917-2016")</f>
        <v>http://dx.doi.org/10.5194/bg-13-5917-2016</v>
      </c>
      <c r="BG993" t="s">
        <v>74</v>
      </c>
      <c r="BH993" t="s">
        <v>74</v>
      </c>
      <c r="BI993">
        <v>19</v>
      </c>
      <c r="BJ993" t="s">
        <v>1333</v>
      </c>
      <c r="BK993" t="s">
        <v>101</v>
      </c>
      <c r="BL993" t="s">
        <v>1334</v>
      </c>
      <c r="BM993" t="s">
        <v>18627</v>
      </c>
      <c r="BN993" t="s">
        <v>74</v>
      </c>
      <c r="BO993" t="s">
        <v>16370</v>
      </c>
      <c r="BP993" t="s">
        <v>74</v>
      </c>
      <c r="BQ993" t="s">
        <v>74</v>
      </c>
      <c r="BR993" t="s">
        <v>105</v>
      </c>
      <c r="BS993" t="s">
        <v>18628</v>
      </c>
      <c r="BT993" t="str">
        <f>HYPERLINK("https%3A%2F%2Fwww.webofscience.com%2Fwos%2Fwoscc%2Ffull-record%2FWOS:000386493400001","View Full Record in Web of Science")</f>
        <v>View Full Record in Web of Science</v>
      </c>
    </row>
    <row r="994" spans="1:72" x14ac:dyDescent="0.15">
      <c r="A994" t="s">
        <v>72</v>
      </c>
      <c r="B994" t="s">
        <v>18629</v>
      </c>
      <c r="C994" t="s">
        <v>74</v>
      </c>
      <c r="D994" t="s">
        <v>74</v>
      </c>
      <c r="E994" t="s">
        <v>74</v>
      </c>
      <c r="F994" t="s">
        <v>18630</v>
      </c>
      <c r="G994" t="s">
        <v>74</v>
      </c>
      <c r="H994" t="s">
        <v>74</v>
      </c>
      <c r="I994" t="s">
        <v>18631</v>
      </c>
      <c r="J994" t="s">
        <v>18632</v>
      </c>
      <c r="K994" t="s">
        <v>74</v>
      </c>
      <c r="L994" t="s">
        <v>74</v>
      </c>
      <c r="M994" t="s">
        <v>78</v>
      </c>
      <c r="N994" t="s">
        <v>79</v>
      </c>
      <c r="O994" t="s">
        <v>74</v>
      </c>
      <c r="P994" t="s">
        <v>74</v>
      </c>
      <c r="Q994" t="s">
        <v>74</v>
      </c>
      <c r="R994" t="s">
        <v>74</v>
      </c>
      <c r="S994" t="s">
        <v>74</v>
      </c>
      <c r="T994" t="s">
        <v>18633</v>
      </c>
      <c r="U994" t="s">
        <v>18634</v>
      </c>
      <c r="V994" t="s">
        <v>18635</v>
      </c>
      <c r="W994" t="s">
        <v>18636</v>
      </c>
      <c r="X994" t="s">
        <v>18637</v>
      </c>
      <c r="Y994" t="s">
        <v>18638</v>
      </c>
      <c r="Z994" t="s">
        <v>18639</v>
      </c>
      <c r="AA994" t="s">
        <v>18640</v>
      </c>
      <c r="AB994" t="s">
        <v>18641</v>
      </c>
      <c r="AC994" t="s">
        <v>18642</v>
      </c>
      <c r="AD994" t="s">
        <v>18643</v>
      </c>
      <c r="AE994" t="s">
        <v>18644</v>
      </c>
      <c r="AF994" t="s">
        <v>74</v>
      </c>
      <c r="AG994">
        <v>22</v>
      </c>
      <c r="AH994">
        <v>19</v>
      </c>
      <c r="AI994">
        <v>22</v>
      </c>
      <c r="AJ994">
        <v>2</v>
      </c>
      <c r="AK994">
        <v>39</v>
      </c>
      <c r="AL994" t="s">
        <v>92</v>
      </c>
      <c r="AM994" t="s">
        <v>93</v>
      </c>
      <c r="AN994" t="s">
        <v>94</v>
      </c>
      <c r="AO994" t="s">
        <v>18645</v>
      </c>
      <c r="AP994" t="s">
        <v>18646</v>
      </c>
      <c r="AQ994" t="s">
        <v>74</v>
      </c>
      <c r="AR994" t="s">
        <v>18647</v>
      </c>
      <c r="AS994" t="s">
        <v>18648</v>
      </c>
      <c r="AT994" t="s">
        <v>17577</v>
      </c>
      <c r="AU994">
        <v>2016</v>
      </c>
      <c r="AV994">
        <v>12</v>
      </c>
      <c r="AW994">
        <v>11</v>
      </c>
      <c r="AX994" t="s">
        <v>74</v>
      </c>
      <c r="AY994" t="s">
        <v>74</v>
      </c>
      <c r="AZ994" t="s">
        <v>74</v>
      </c>
      <c r="BA994" t="s">
        <v>74</v>
      </c>
      <c r="BB994" t="s">
        <v>74</v>
      </c>
      <c r="BC994" t="s">
        <v>74</v>
      </c>
      <c r="BD994">
        <v>20160277</v>
      </c>
      <c r="BE994" t="s">
        <v>18649</v>
      </c>
      <c r="BF994" t="str">
        <f>HYPERLINK("http://dx.doi.org/10.1098/rsbl.2016.0277","http://dx.doi.org/10.1098/rsbl.2016.0277")</f>
        <v>http://dx.doi.org/10.1098/rsbl.2016.0277</v>
      </c>
      <c r="BG994" t="s">
        <v>74</v>
      </c>
      <c r="BH994" t="s">
        <v>74</v>
      </c>
      <c r="BI994">
        <v>5</v>
      </c>
      <c r="BJ994" t="s">
        <v>12778</v>
      </c>
      <c r="BK994" t="s">
        <v>101</v>
      </c>
      <c r="BL994" t="s">
        <v>12779</v>
      </c>
      <c r="BM994" t="s">
        <v>18650</v>
      </c>
      <c r="BN994">
        <v>27807248</v>
      </c>
      <c r="BO994" t="s">
        <v>1803</v>
      </c>
      <c r="BP994" t="s">
        <v>74</v>
      </c>
      <c r="BQ994" t="s">
        <v>74</v>
      </c>
      <c r="BR994" t="s">
        <v>105</v>
      </c>
      <c r="BS994" t="s">
        <v>18651</v>
      </c>
      <c r="BT994" t="str">
        <f>HYPERLINK("https%3A%2F%2Fwww.webofscience.com%2Fwos%2Fwoscc%2Ffull-record%2FWOS:000389637100003","View Full Record in Web of Science")</f>
        <v>View Full Record in Web of Science</v>
      </c>
    </row>
    <row r="995" spans="1:72" x14ac:dyDescent="0.15">
      <c r="A995" t="s">
        <v>72</v>
      </c>
      <c r="B995" t="s">
        <v>18652</v>
      </c>
      <c r="C995" t="s">
        <v>74</v>
      </c>
      <c r="D995" t="s">
        <v>74</v>
      </c>
      <c r="E995" t="s">
        <v>74</v>
      </c>
      <c r="F995" t="s">
        <v>18653</v>
      </c>
      <c r="G995" t="s">
        <v>74</v>
      </c>
      <c r="H995" t="s">
        <v>74</v>
      </c>
      <c r="I995" t="s">
        <v>18654</v>
      </c>
      <c r="J995" t="s">
        <v>18655</v>
      </c>
      <c r="K995" t="s">
        <v>74</v>
      </c>
      <c r="L995" t="s">
        <v>74</v>
      </c>
      <c r="M995" t="s">
        <v>78</v>
      </c>
      <c r="N995" t="s">
        <v>185</v>
      </c>
      <c r="O995" t="s">
        <v>74</v>
      </c>
      <c r="P995" t="s">
        <v>74</v>
      </c>
      <c r="Q995" t="s">
        <v>74</v>
      </c>
      <c r="R995" t="s">
        <v>74</v>
      </c>
      <c r="S995" t="s">
        <v>74</v>
      </c>
      <c r="T995" t="s">
        <v>74</v>
      </c>
      <c r="U995" t="s">
        <v>74</v>
      </c>
      <c r="V995" t="s">
        <v>18656</v>
      </c>
      <c r="W995" t="s">
        <v>18657</v>
      </c>
      <c r="X995" t="s">
        <v>18658</v>
      </c>
      <c r="Y995" t="s">
        <v>18659</v>
      </c>
      <c r="Z995" t="s">
        <v>18660</v>
      </c>
      <c r="AA995" t="s">
        <v>74</v>
      </c>
      <c r="AB995" t="s">
        <v>74</v>
      </c>
      <c r="AC995" t="s">
        <v>74</v>
      </c>
      <c r="AD995" t="s">
        <v>74</v>
      </c>
      <c r="AE995" t="s">
        <v>74</v>
      </c>
      <c r="AF995" t="s">
        <v>74</v>
      </c>
      <c r="AG995">
        <v>0</v>
      </c>
      <c r="AH995">
        <v>5</v>
      </c>
      <c r="AI995">
        <v>6</v>
      </c>
      <c r="AJ995">
        <v>0</v>
      </c>
      <c r="AK995">
        <v>7</v>
      </c>
      <c r="AL995" t="s">
        <v>3097</v>
      </c>
      <c r="AM995" t="s">
        <v>1581</v>
      </c>
      <c r="AN995" t="s">
        <v>18661</v>
      </c>
      <c r="AO995" t="s">
        <v>18662</v>
      </c>
      <c r="AP995" t="s">
        <v>18663</v>
      </c>
      <c r="AQ995" t="s">
        <v>74</v>
      </c>
      <c r="AR995" t="s">
        <v>18664</v>
      </c>
      <c r="AS995" t="s">
        <v>18665</v>
      </c>
      <c r="AT995" t="s">
        <v>17151</v>
      </c>
      <c r="AU995">
        <v>2016</v>
      </c>
      <c r="AV995">
        <v>75</v>
      </c>
      <c r="AW995">
        <v>3</v>
      </c>
      <c r="AX995" t="s">
        <v>74</v>
      </c>
      <c r="AY995" t="s">
        <v>74</v>
      </c>
      <c r="AZ995" t="s">
        <v>74</v>
      </c>
      <c r="BA995" t="s">
        <v>74</v>
      </c>
      <c r="BB995">
        <v>445</v>
      </c>
      <c r="BC995">
        <v>448</v>
      </c>
      <c r="BD995" t="s">
        <v>74</v>
      </c>
      <c r="BE995" t="s">
        <v>18666</v>
      </c>
      <c r="BF995" t="str">
        <f>HYPERLINK("http://dx.doi.org/10.1017/S0008197316000672","http://dx.doi.org/10.1017/S0008197316000672")</f>
        <v>http://dx.doi.org/10.1017/S0008197316000672</v>
      </c>
      <c r="BG995" t="s">
        <v>74</v>
      </c>
      <c r="BH995" t="s">
        <v>74</v>
      </c>
      <c r="BI995">
        <v>4</v>
      </c>
      <c r="BJ995" t="s">
        <v>4429</v>
      </c>
      <c r="BK995" t="s">
        <v>1918</v>
      </c>
      <c r="BL995" t="s">
        <v>4430</v>
      </c>
      <c r="BM995" t="s">
        <v>18667</v>
      </c>
      <c r="BN995" t="s">
        <v>74</v>
      </c>
      <c r="BO995" t="s">
        <v>74</v>
      </c>
      <c r="BP995" t="s">
        <v>74</v>
      </c>
      <c r="BQ995" t="s">
        <v>74</v>
      </c>
      <c r="BR995" t="s">
        <v>105</v>
      </c>
      <c r="BS995" t="s">
        <v>18668</v>
      </c>
      <c r="BT995" t="str">
        <f>HYPERLINK("https%3A%2F%2Fwww.webofscience.com%2Fwos%2Fwoscc%2Ffull-record%2FWOS:000390422900001","View Full Record in Web of Science")</f>
        <v>View Full Record in Web of Science</v>
      </c>
    </row>
    <row r="996" spans="1:72" x14ac:dyDescent="0.15">
      <c r="A996" t="s">
        <v>72</v>
      </c>
      <c r="B996" t="s">
        <v>18669</v>
      </c>
      <c r="C996" t="s">
        <v>74</v>
      </c>
      <c r="D996" t="s">
        <v>74</v>
      </c>
      <c r="E996" t="s">
        <v>74</v>
      </c>
      <c r="F996" t="s">
        <v>18670</v>
      </c>
      <c r="G996" t="s">
        <v>74</v>
      </c>
      <c r="H996" t="s">
        <v>74</v>
      </c>
      <c r="I996" t="s">
        <v>18671</v>
      </c>
      <c r="J996" t="s">
        <v>18090</v>
      </c>
      <c r="K996" t="s">
        <v>74</v>
      </c>
      <c r="L996" t="s">
        <v>74</v>
      </c>
      <c r="M996" t="s">
        <v>78</v>
      </c>
      <c r="N996" t="s">
        <v>79</v>
      </c>
      <c r="O996" t="s">
        <v>74</v>
      </c>
      <c r="P996" t="s">
        <v>74</v>
      </c>
      <c r="Q996" t="s">
        <v>74</v>
      </c>
      <c r="R996" t="s">
        <v>74</v>
      </c>
      <c r="S996" t="s">
        <v>74</v>
      </c>
      <c r="T996" t="s">
        <v>74</v>
      </c>
      <c r="U996" t="s">
        <v>18672</v>
      </c>
      <c r="V996" t="s">
        <v>18673</v>
      </c>
      <c r="W996" t="s">
        <v>18674</v>
      </c>
      <c r="X996" t="s">
        <v>18675</v>
      </c>
      <c r="Y996" t="s">
        <v>18676</v>
      </c>
      <c r="Z996" t="s">
        <v>18677</v>
      </c>
      <c r="AA996" t="s">
        <v>18678</v>
      </c>
      <c r="AB996" t="s">
        <v>18679</v>
      </c>
      <c r="AC996" t="s">
        <v>18680</v>
      </c>
      <c r="AD996" t="s">
        <v>18681</v>
      </c>
      <c r="AE996" t="s">
        <v>18682</v>
      </c>
      <c r="AF996" t="s">
        <v>74</v>
      </c>
      <c r="AG996">
        <v>102</v>
      </c>
      <c r="AH996">
        <v>82</v>
      </c>
      <c r="AI996">
        <v>85</v>
      </c>
      <c r="AJ996">
        <v>11</v>
      </c>
      <c r="AK996">
        <v>105</v>
      </c>
      <c r="AL996" t="s">
        <v>211</v>
      </c>
      <c r="AM996" t="s">
        <v>212</v>
      </c>
      <c r="AN996" t="s">
        <v>213</v>
      </c>
      <c r="AO996" t="s">
        <v>18102</v>
      </c>
      <c r="AP996" t="s">
        <v>18103</v>
      </c>
      <c r="AQ996" t="s">
        <v>74</v>
      </c>
      <c r="AR996" t="s">
        <v>18090</v>
      </c>
      <c r="AS996" t="s">
        <v>18104</v>
      </c>
      <c r="AT996" t="s">
        <v>17151</v>
      </c>
      <c r="AU996">
        <v>2016</v>
      </c>
      <c r="AV996">
        <v>139</v>
      </c>
      <c r="AW996">
        <v>1</v>
      </c>
      <c r="AX996" t="s">
        <v>74</v>
      </c>
      <c r="AY996" t="s">
        <v>74</v>
      </c>
      <c r="AZ996" t="s">
        <v>74</v>
      </c>
      <c r="BA996" t="s">
        <v>74</v>
      </c>
      <c r="BB996">
        <v>101</v>
      </c>
      <c r="BC996">
        <v>114</v>
      </c>
      <c r="BD996" t="s">
        <v>74</v>
      </c>
      <c r="BE996" t="s">
        <v>18683</v>
      </c>
      <c r="BF996" t="str">
        <f>HYPERLINK("http://dx.doi.org/10.1007/s10584-016-1650-0","http://dx.doi.org/10.1007/s10584-016-1650-0")</f>
        <v>http://dx.doi.org/10.1007/s10584-016-1650-0</v>
      </c>
      <c r="BG996" t="s">
        <v>74</v>
      </c>
      <c r="BH996" t="s">
        <v>74</v>
      </c>
      <c r="BI996">
        <v>14</v>
      </c>
      <c r="BJ996" t="s">
        <v>981</v>
      </c>
      <c r="BK996" t="s">
        <v>101</v>
      </c>
      <c r="BL996" t="s">
        <v>982</v>
      </c>
      <c r="BM996" t="s">
        <v>18106</v>
      </c>
      <c r="BN996" t="s">
        <v>74</v>
      </c>
      <c r="BO996" t="s">
        <v>1695</v>
      </c>
      <c r="BP996" t="s">
        <v>74</v>
      </c>
      <c r="BQ996" t="s">
        <v>74</v>
      </c>
      <c r="BR996" t="s">
        <v>105</v>
      </c>
      <c r="BS996" t="s">
        <v>18684</v>
      </c>
      <c r="BT996" t="str">
        <f>HYPERLINK("https%3A%2F%2Fwww.webofscience.com%2Fwos%2Fwoscc%2Ffull-record%2FWOS:000387580100007","View Full Record in Web of Science")</f>
        <v>View Full Record in Web of Science</v>
      </c>
    </row>
    <row r="997" spans="1:72" x14ac:dyDescent="0.15">
      <c r="A997" t="s">
        <v>72</v>
      </c>
      <c r="B997" t="s">
        <v>18685</v>
      </c>
      <c r="C997" t="s">
        <v>74</v>
      </c>
      <c r="D997" t="s">
        <v>74</v>
      </c>
      <c r="E997" t="s">
        <v>74</v>
      </c>
      <c r="F997" t="s">
        <v>18686</v>
      </c>
      <c r="G997" t="s">
        <v>74</v>
      </c>
      <c r="H997" t="s">
        <v>74</v>
      </c>
      <c r="I997" t="s">
        <v>18687</v>
      </c>
      <c r="J997" t="s">
        <v>14461</v>
      </c>
      <c r="K997" t="s">
        <v>74</v>
      </c>
      <c r="L997" t="s">
        <v>74</v>
      </c>
      <c r="M997" t="s">
        <v>78</v>
      </c>
      <c r="N997" t="s">
        <v>79</v>
      </c>
      <c r="O997" t="s">
        <v>74</v>
      </c>
      <c r="P997" t="s">
        <v>74</v>
      </c>
      <c r="Q997" t="s">
        <v>74</v>
      </c>
      <c r="R997" t="s">
        <v>74</v>
      </c>
      <c r="S997" t="s">
        <v>74</v>
      </c>
      <c r="T997" t="s">
        <v>18688</v>
      </c>
      <c r="U997" t="s">
        <v>18689</v>
      </c>
      <c r="V997" t="s">
        <v>18690</v>
      </c>
      <c r="W997" t="s">
        <v>18691</v>
      </c>
      <c r="X997" t="s">
        <v>2805</v>
      </c>
      <c r="Y997" t="s">
        <v>18692</v>
      </c>
      <c r="Z997" t="s">
        <v>18693</v>
      </c>
      <c r="AA997" t="s">
        <v>18694</v>
      </c>
      <c r="AB997" t="s">
        <v>18695</v>
      </c>
      <c r="AC997" t="s">
        <v>18696</v>
      </c>
      <c r="AD997" t="s">
        <v>18697</v>
      </c>
      <c r="AE997" t="s">
        <v>18698</v>
      </c>
      <c r="AF997" t="s">
        <v>74</v>
      </c>
      <c r="AG997">
        <v>39</v>
      </c>
      <c r="AH997">
        <v>14</v>
      </c>
      <c r="AI997">
        <v>14</v>
      </c>
      <c r="AJ997">
        <v>1</v>
      </c>
      <c r="AK997">
        <v>23</v>
      </c>
      <c r="AL997" t="s">
        <v>8606</v>
      </c>
      <c r="AM997" t="s">
        <v>187</v>
      </c>
      <c r="AN997" t="s">
        <v>18367</v>
      </c>
      <c r="AO997" t="s">
        <v>14474</v>
      </c>
      <c r="AP997" t="s">
        <v>14475</v>
      </c>
      <c r="AQ997" t="s">
        <v>74</v>
      </c>
      <c r="AR997" t="s">
        <v>14476</v>
      </c>
      <c r="AS997" t="s">
        <v>14477</v>
      </c>
      <c r="AT997" t="s">
        <v>17151</v>
      </c>
      <c r="AU997">
        <v>2016</v>
      </c>
      <c r="AV997">
        <v>201</v>
      </c>
      <c r="AW997" t="s">
        <v>74</v>
      </c>
      <c r="AX997" t="s">
        <v>74</v>
      </c>
      <c r="AY997" t="s">
        <v>74</v>
      </c>
      <c r="AZ997" t="s">
        <v>74</v>
      </c>
      <c r="BA997" t="s">
        <v>74</v>
      </c>
      <c r="BB997">
        <v>101</v>
      </c>
      <c r="BC997">
        <v>109</v>
      </c>
      <c r="BD997" t="s">
        <v>74</v>
      </c>
      <c r="BE997" t="s">
        <v>18699</v>
      </c>
      <c r="BF997" t="str">
        <f>HYPERLINK("http://dx.doi.org/10.1016/j.cbpa.2016.07.001","http://dx.doi.org/10.1016/j.cbpa.2016.07.001")</f>
        <v>http://dx.doi.org/10.1016/j.cbpa.2016.07.001</v>
      </c>
      <c r="BG997" t="s">
        <v>74</v>
      </c>
      <c r="BH997" t="s">
        <v>74</v>
      </c>
      <c r="BI997">
        <v>9</v>
      </c>
      <c r="BJ997" t="s">
        <v>14479</v>
      </c>
      <c r="BK997" t="s">
        <v>101</v>
      </c>
      <c r="BL997" t="s">
        <v>14479</v>
      </c>
      <c r="BM997" t="s">
        <v>18369</v>
      </c>
      <c r="BN997">
        <v>27395444</v>
      </c>
      <c r="BO997" t="s">
        <v>74</v>
      </c>
      <c r="BP997" t="s">
        <v>74</v>
      </c>
      <c r="BQ997" t="s">
        <v>74</v>
      </c>
      <c r="BR997" t="s">
        <v>105</v>
      </c>
      <c r="BS997" t="s">
        <v>18700</v>
      </c>
      <c r="BT997" t="str">
        <f>HYPERLINK("https%3A%2F%2Fwww.webofscience.com%2Fwos%2Fwoscc%2Ffull-record%2FWOS:000385325700013","View Full Record in Web of Science")</f>
        <v>View Full Record in Web of Science</v>
      </c>
    </row>
    <row r="998" spans="1:72" x14ac:dyDescent="0.15">
      <c r="A998" t="s">
        <v>72</v>
      </c>
      <c r="B998" t="s">
        <v>18701</v>
      </c>
      <c r="C998" t="s">
        <v>74</v>
      </c>
      <c r="D998" t="s">
        <v>74</v>
      </c>
      <c r="E998" t="s">
        <v>74</v>
      </c>
      <c r="F998" t="s">
        <v>18702</v>
      </c>
      <c r="G998" t="s">
        <v>74</v>
      </c>
      <c r="H998" t="s">
        <v>74</v>
      </c>
      <c r="I998" t="s">
        <v>18703</v>
      </c>
      <c r="J998" t="s">
        <v>18704</v>
      </c>
      <c r="K998" t="s">
        <v>74</v>
      </c>
      <c r="L998" t="s">
        <v>74</v>
      </c>
      <c r="M998" t="s">
        <v>78</v>
      </c>
      <c r="N998" t="s">
        <v>79</v>
      </c>
      <c r="O998" t="s">
        <v>74</v>
      </c>
      <c r="P998" t="s">
        <v>74</v>
      </c>
      <c r="Q998" t="s">
        <v>74</v>
      </c>
      <c r="R998" t="s">
        <v>74</v>
      </c>
      <c r="S998" t="s">
        <v>74</v>
      </c>
      <c r="T998" t="s">
        <v>18705</v>
      </c>
      <c r="U998" t="s">
        <v>18706</v>
      </c>
      <c r="V998" t="s">
        <v>18707</v>
      </c>
      <c r="W998" t="s">
        <v>18708</v>
      </c>
      <c r="X998" t="s">
        <v>15371</v>
      </c>
      <c r="Y998" t="s">
        <v>15372</v>
      </c>
      <c r="Z998" t="s">
        <v>18709</v>
      </c>
      <c r="AA998" t="s">
        <v>18710</v>
      </c>
      <c r="AB998" t="s">
        <v>18711</v>
      </c>
      <c r="AC998" t="s">
        <v>18712</v>
      </c>
      <c r="AD998" t="s">
        <v>18713</v>
      </c>
      <c r="AE998" t="s">
        <v>18714</v>
      </c>
      <c r="AF998" t="s">
        <v>74</v>
      </c>
      <c r="AG998">
        <v>118</v>
      </c>
      <c r="AH998">
        <v>17</v>
      </c>
      <c r="AI998">
        <v>18</v>
      </c>
      <c r="AJ998">
        <v>0</v>
      </c>
      <c r="AK998">
        <v>31</v>
      </c>
      <c r="AL998" t="s">
        <v>2377</v>
      </c>
      <c r="AM998" t="s">
        <v>2378</v>
      </c>
      <c r="AN998" t="s">
        <v>2379</v>
      </c>
      <c r="AO998" t="s">
        <v>18715</v>
      </c>
      <c r="AP998" t="s">
        <v>18716</v>
      </c>
      <c r="AQ998" t="s">
        <v>74</v>
      </c>
      <c r="AR998" t="s">
        <v>18717</v>
      </c>
      <c r="AS998" t="s">
        <v>18718</v>
      </c>
      <c r="AT998" t="s">
        <v>17151</v>
      </c>
      <c r="AU998">
        <v>2016</v>
      </c>
      <c r="AV998">
        <v>245</v>
      </c>
      <c r="AW998">
        <v>11</v>
      </c>
      <c r="AX998" t="s">
        <v>74</v>
      </c>
      <c r="AY998" t="s">
        <v>74</v>
      </c>
      <c r="AZ998" t="s">
        <v>74</v>
      </c>
      <c r="BA998" t="s">
        <v>74</v>
      </c>
      <c r="BB998">
        <v>1066</v>
      </c>
      <c r="BC998">
        <v>1080</v>
      </c>
      <c r="BD998" t="s">
        <v>74</v>
      </c>
      <c r="BE998" t="s">
        <v>18719</v>
      </c>
      <c r="BF998" t="str">
        <f>HYPERLINK("http://dx.doi.org/10.1002/dvdy.24437","http://dx.doi.org/10.1002/dvdy.24437")</f>
        <v>http://dx.doi.org/10.1002/dvdy.24437</v>
      </c>
      <c r="BG998" t="s">
        <v>74</v>
      </c>
      <c r="BH998" t="s">
        <v>74</v>
      </c>
      <c r="BI998">
        <v>15</v>
      </c>
      <c r="BJ998" t="s">
        <v>18720</v>
      </c>
      <c r="BK998" t="s">
        <v>101</v>
      </c>
      <c r="BL998" t="s">
        <v>18720</v>
      </c>
      <c r="BM998" t="s">
        <v>18721</v>
      </c>
      <c r="BN998">
        <v>27507212</v>
      </c>
      <c r="BO998" t="s">
        <v>8060</v>
      </c>
      <c r="BP998" t="s">
        <v>74</v>
      </c>
      <c r="BQ998" t="s">
        <v>74</v>
      </c>
      <c r="BR998" t="s">
        <v>105</v>
      </c>
      <c r="BS998" t="s">
        <v>18722</v>
      </c>
      <c r="BT998" t="str">
        <f>HYPERLINK("https%3A%2F%2Fwww.webofscience.com%2Fwos%2Fwoscc%2Ffull-record%2FWOS:000385833300002","View Full Record in Web of Science")</f>
        <v>View Full Record in Web of Science</v>
      </c>
    </row>
    <row r="999" spans="1:72" x14ac:dyDescent="0.15">
      <c r="A999" t="s">
        <v>72</v>
      </c>
      <c r="B999" t="s">
        <v>18723</v>
      </c>
      <c r="C999" t="s">
        <v>74</v>
      </c>
      <c r="D999" t="s">
        <v>74</v>
      </c>
      <c r="E999" t="s">
        <v>74</v>
      </c>
      <c r="F999" t="s">
        <v>18724</v>
      </c>
      <c r="G999" t="s">
        <v>74</v>
      </c>
      <c r="H999" t="s">
        <v>74</v>
      </c>
      <c r="I999" t="s">
        <v>18725</v>
      </c>
      <c r="J999" t="s">
        <v>1187</v>
      </c>
      <c r="K999" t="s">
        <v>74</v>
      </c>
      <c r="L999" t="s">
        <v>74</v>
      </c>
      <c r="M999" t="s">
        <v>78</v>
      </c>
      <c r="N999" t="s">
        <v>79</v>
      </c>
      <c r="O999" t="s">
        <v>74</v>
      </c>
      <c r="P999" t="s">
        <v>74</v>
      </c>
      <c r="Q999" t="s">
        <v>74</v>
      </c>
      <c r="R999" t="s">
        <v>74</v>
      </c>
      <c r="S999" t="s">
        <v>74</v>
      </c>
      <c r="T999" t="s">
        <v>18726</v>
      </c>
      <c r="U999" t="s">
        <v>18727</v>
      </c>
      <c r="V999" t="s">
        <v>18728</v>
      </c>
      <c r="W999" t="s">
        <v>18729</v>
      </c>
      <c r="X999" t="s">
        <v>18730</v>
      </c>
      <c r="Y999" t="s">
        <v>18731</v>
      </c>
      <c r="Z999" t="s">
        <v>18732</v>
      </c>
      <c r="AA999" t="s">
        <v>74</v>
      </c>
      <c r="AB999" t="s">
        <v>18733</v>
      </c>
      <c r="AC999" t="s">
        <v>18734</v>
      </c>
      <c r="AD999" t="s">
        <v>18735</v>
      </c>
      <c r="AE999" t="s">
        <v>18736</v>
      </c>
      <c r="AF999" t="s">
        <v>74</v>
      </c>
      <c r="AG999">
        <v>57</v>
      </c>
      <c r="AH999">
        <v>6</v>
      </c>
      <c r="AI999">
        <v>6</v>
      </c>
      <c r="AJ999">
        <v>1</v>
      </c>
      <c r="AK999">
        <v>78</v>
      </c>
      <c r="AL999" t="s">
        <v>264</v>
      </c>
      <c r="AM999" t="s">
        <v>169</v>
      </c>
      <c r="AN999" t="s">
        <v>265</v>
      </c>
      <c r="AO999" t="s">
        <v>1200</v>
      </c>
      <c r="AP999" t="s">
        <v>1201</v>
      </c>
      <c r="AQ999" t="s">
        <v>74</v>
      </c>
      <c r="AR999" t="s">
        <v>1202</v>
      </c>
      <c r="AS999" t="s">
        <v>1203</v>
      </c>
      <c r="AT999" t="s">
        <v>17577</v>
      </c>
      <c r="AU999">
        <v>2016</v>
      </c>
      <c r="AV999">
        <v>453</v>
      </c>
      <c r="AW999" t="s">
        <v>74</v>
      </c>
      <c r="AX999" t="s">
        <v>74</v>
      </c>
      <c r="AY999" t="s">
        <v>74</v>
      </c>
      <c r="AZ999" t="s">
        <v>74</v>
      </c>
      <c r="BA999" t="s">
        <v>74</v>
      </c>
      <c r="BB999">
        <v>161</v>
      </c>
      <c r="BC999">
        <v>170</v>
      </c>
      <c r="BD999" t="s">
        <v>74</v>
      </c>
      <c r="BE999" t="s">
        <v>18737</v>
      </c>
      <c r="BF999" t="str">
        <f>HYPERLINK("http://dx.doi.org/10.1016/j.epsl.2016.07.054","http://dx.doi.org/10.1016/j.epsl.2016.07.054")</f>
        <v>http://dx.doi.org/10.1016/j.epsl.2016.07.054</v>
      </c>
      <c r="BG999" t="s">
        <v>74</v>
      </c>
      <c r="BH999" t="s">
        <v>74</v>
      </c>
      <c r="BI999">
        <v>10</v>
      </c>
      <c r="BJ999" t="s">
        <v>299</v>
      </c>
      <c r="BK999" t="s">
        <v>101</v>
      </c>
      <c r="BL999" t="s">
        <v>299</v>
      </c>
      <c r="BM999" t="s">
        <v>18738</v>
      </c>
      <c r="BN999" t="s">
        <v>74</v>
      </c>
      <c r="BO999" t="s">
        <v>463</v>
      </c>
      <c r="BP999" t="s">
        <v>74</v>
      </c>
      <c r="BQ999" t="s">
        <v>74</v>
      </c>
      <c r="BR999" t="s">
        <v>105</v>
      </c>
      <c r="BS999" t="s">
        <v>18739</v>
      </c>
      <c r="BT999" t="str">
        <f>HYPERLINK("https%3A%2F%2Fwww.webofscience.com%2Fwos%2Fwoscc%2Ffull-record%2FWOS:000383932300016","View Full Record in Web of Science")</f>
        <v>View Full Record in Web of Science</v>
      </c>
    </row>
    <row r="1000" spans="1:72" x14ac:dyDescent="0.15">
      <c r="A1000" t="s">
        <v>72</v>
      </c>
      <c r="B1000" t="s">
        <v>18740</v>
      </c>
      <c r="C1000" t="s">
        <v>74</v>
      </c>
      <c r="D1000" t="s">
        <v>74</v>
      </c>
      <c r="E1000" t="s">
        <v>74</v>
      </c>
      <c r="F1000" t="s">
        <v>18741</v>
      </c>
      <c r="G1000" t="s">
        <v>74</v>
      </c>
      <c r="H1000" t="s">
        <v>74</v>
      </c>
      <c r="I1000" t="s">
        <v>18742</v>
      </c>
      <c r="J1000" t="s">
        <v>1187</v>
      </c>
      <c r="K1000" t="s">
        <v>74</v>
      </c>
      <c r="L1000" t="s">
        <v>74</v>
      </c>
      <c r="M1000" t="s">
        <v>78</v>
      </c>
      <c r="N1000" t="s">
        <v>79</v>
      </c>
      <c r="O1000" t="s">
        <v>74</v>
      </c>
      <c r="P1000" t="s">
        <v>74</v>
      </c>
      <c r="Q1000" t="s">
        <v>74</v>
      </c>
      <c r="R1000" t="s">
        <v>74</v>
      </c>
      <c r="S1000" t="s">
        <v>74</v>
      </c>
      <c r="T1000" t="s">
        <v>18743</v>
      </c>
      <c r="U1000" t="s">
        <v>18744</v>
      </c>
      <c r="V1000" t="s">
        <v>18745</v>
      </c>
      <c r="W1000" t="s">
        <v>18746</v>
      </c>
      <c r="X1000" t="s">
        <v>18747</v>
      </c>
      <c r="Y1000" t="s">
        <v>18748</v>
      </c>
      <c r="Z1000" t="s">
        <v>18749</v>
      </c>
      <c r="AA1000" t="s">
        <v>18750</v>
      </c>
      <c r="AB1000" t="s">
        <v>18751</v>
      </c>
      <c r="AC1000" t="s">
        <v>18752</v>
      </c>
      <c r="AD1000" t="s">
        <v>18753</v>
      </c>
      <c r="AE1000" t="s">
        <v>18754</v>
      </c>
      <c r="AF1000" t="s">
        <v>74</v>
      </c>
      <c r="AG1000">
        <v>83</v>
      </c>
      <c r="AH1000">
        <v>37</v>
      </c>
      <c r="AI1000">
        <v>51</v>
      </c>
      <c r="AJ1000">
        <v>1</v>
      </c>
      <c r="AK1000">
        <v>96</v>
      </c>
      <c r="AL1000" t="s">
        <v>264</v>
      </c>
      <c r="AM1000" t="s">
        <v>169</v>
      </c>
      <c r="AN1000" t="s">
        <v>265</v>
      </c>
      <c r="AO1000" t="s">
        <v>1200</v>
      </c>
      <c r="AP1000" t="s">
        <v>1201</v>
      </c>
      <c r="AQ1000" t="s">
        <v>74</v>
      </c>
      <c r="AR1000" t="s">
        <v>1202</v>
      </c>
      <c r="AS1000" t="s">
        <v>1203</v>
      </c>
      <c r="AT1000" t="s">
        <v>17577</v>
      </c>
      <c r="AU1000">
        <v>2016</v>
      </c>
      <c r="AV1000">
        <v>453</v>
      </c>
      <c r="AW1000" t="s">
        <v>74</v>
      </c>
      <c r="AX1000" t="s">
        <v>74</v>
      </c>
      <c r="AY1000" t="s">
        <v>74</v>
      </c>
      <c r="AZ1000" t="s">
        <v>74</v>
      </c>
      <c r="BA1000" t="s">
        <v>74</v>
      </c>
      <c r="BB1000">
        <v>243</v>
      </c>
      <c r="BC1000">
        <v>251</v>
      </c>
      <c r="BD1000" t="s">
        <v>74</v>
      </c>
      <c r="BE1000" t="s">
        <v>18755</v>
      </c>
      <c r="BF1000" t="str">
        <f>HYPERLINK("http://dx.doi.org/10.1016/j.epsl.2016.08.008","http://dx.doi.org/10.1016/j.epsl.2016.08.008")</f>
        <v>http://dx.doi.org/10.1016/j.epsl.2016.08.008</v>
      </c>
      <c r="BG1000" t="s">
        <v>74</v>
      </c>
      <c r="BH1000" t="s">
        <v>74</v>
      </c>
      <c r="BI1000">
        <v>9</v>
      </c>
      <c r="BJ1000" t="s">
        <v>299</v>
      </c>
      <c r="BK1000" t="s">
        <v>101</v>
      </c>
      <c r="BL1000" t="s">
        <v>299</v>
      </c>
      <c r="BM1000" t="s">
        <v>18738</v>
      </c>
      <c r="BN1000" t="s">
        <v>74</v>
      </c>
      <c r="BO1000" t="s">
        <v>74</v>
      </c>
      <c r="BP1000" t="s">
        <v>74</v>
      </c>
      <c r="BQ1000" t="s">
        <v>74</v>
      </c>
      <c r="BR1000" t="s">
        <v>105</v>
      </c>
      <c r="BS1000" t="s">
        <v>18756</v>
      </c>
      <c r="BT1000" t="str">
        <f>HYPERLINK("https%3A%2F%2Fwww.webofscience.com%2Fwos%2Fwoscc%2Ffull-record%2FWOS:000383932300024","View Full Record in Web of Science")</f>
        <v>View Full Record in Web of Science</v>
      </c>
    </row>
    <row r="1001" spans="1:72" x14ac:dyDescent="0.15">
      <c r="A1001" t="s">
        <v>72</v>
      </c>
      <c r="B1001" t="s">
        <v>18757</v>
      </c>
      <c r="C1001" t="s">
        <v>74</v>
      </c>
      <c r="D1001" t="s">
        <v>74</v>
      </c>
      <c r="E1001" t="s">
        <v>74</v>
      </c>
      <c r="F1001" t="s">
        <v>18758</v>
      </c>
      <c r="G1001" t="s">
        <v>74</v>
      </c>
      <c r="H1001" t="s">
        <v>74</v>
      </c>
      <c r="I1001" t="s">
        <v>18759</v>
      </c>
      <c r="J1001" t="s">
        <v>13367</v>
      </c>
      <c r="K1001" t="s">
        <v>74</v>
      </c>
      <c r="L1001" t="s">
        <v>74</v>
      </c>
      <c r="M1001" t="s">
        <v>78</v>
      </c>
      <c r="N1001" t="s">
        <v>79</v>
      </c>
      <c r="O1001" t="s">
        <v>74</v>
      </c>
      <c r="P1001" t="s">
        <v>74</v>
      </c>
      <c r="Q1001" t="s">
        <v>74</v>
      </c>
      <c r="R1001" t="s">
        <v>74</v>
      </c>
      <c r="S1001" t="s">
        <v>74</v>
      </c>
      <c r="T1001" t="s">
        <v>74</v>
      </c>
      <c r="U1001" t="s">
        <v>18760</v>
      </c>
      <c r="V1001" t="s">
        <v>18761</v>
      </c>
      <c r="W1001" t="s">
        <v>18762</v>
      </c>
      <c r="X1001" t="s">
        <v>18763</v>
      </c>
      <c r="Y1001" t="s">
        <v>18764</v>
      </c>
      <c r="Z1001" t="s">
        <v>18765</v>
      </c>
      <c r="AA1001" t="s">
        <v>18766</v>
      </c>
      <c r="AB1001" t="s">
        <v>18767</v>
      </c>
      <c r="AC1001" t="s">
        <v>18768</v>
      </c>
      <c r="AD1001" t="s">
        <v>16561</v>
      </c>
      <c r="AE1001" t="s">
        <v>18769</v>
      </c>
      <c r="AF1001" t="s">
        <v>74</v>
      </c>
      <c r="AG1001">
        <v>69</v>
      </c>
      <c r="AH1001">
        <v>58</v>
      </c>
      <c r="AI1001">
        <v>64</v>
      </c>
      <c r="AJ1001">
        <v>5</v>
      </c>
      <c r="AK1001">
        <v>43</v>
      </c>
      <c r="AL1001" t="s">
        <v>2377</v>
      </c>
      <c r="AM1001" t="s">
        <v>2378</v>
      </c>
      <c r="AN1001" t="s">
        <v>2379</v>
      </c>
      <c r="AO1001" t="s">
        <v>13379</v>
      </c>
      <c r="AP1001" t="s">
        <v>13380</v>
      </c>
      <c r="AQ1001" t="s">
        <v>74</v>
      </c>
      <c r="AR1001" t="s">
        <v>13381</v>
      </c>
      <c r="AS1001" t="s">
        <v>13382</v>
      </c>
      <c r="AT1001" t="s">
        <v>17151</v>
      </c>
      <c r="AU1001">
        <v>2016</v>
      </c>
      <c r="AV1001">
        <v>18</v>
      </c>
      <c r="AW1001">
        <v>11</v>
      </c>
      <c r="AX1001" t="s">
        <v>74</v>
      </c>
      <c r="AY1001" t="s">
        <v>74</v>
      </c>
      <c r="AZ1001" t="s">
        <v>270</v>
      </c>
      <c r="BA1001" t="s">
        <v>74</v>
      </c>
      <c r="BB1001">
        <v>3714</v>
      </c>
      <c r="BC1001">
        <v>3727</v>
      </c>
      <c r="BD1001" t="s">
        <v>74</v>
      </c>
      <c r="BE1001" t="s">
        <v>18770</v>
      </c>
      <c r="BF1001" t="str">
        <f>HYPERLINK("http://dx.doi.org/10.1111/1462-2920.13291","http://dx.doi.org/10.1111/1462-2920.13291")</f>
        <v>http://dx.doi.org/10.1111/1462-2920.13291</v>
      </c>
      <c r="BG1001" t="s">
        <v>74</v>
      </c>
      <c r="BH1001" t="s">
        <v>74</v>
      </c>
      <c r="BI1001">
        <v>14</v>
      </c>
      <c r="BJ1001" t="s">
        <v>2026</v>
      </c>
      <c r="BK1001" t="s">
        <v>101</v>
      </c>
      <c r="BL1001" t="s">
        <v>2026</v>
      </c>
      <c r="BM1001" t="s">
        <v>18771</v>
      </c>
      <c r="BN1001">
        <v>26950773</v>
      </c>
      <c r="BO1001" t="s">
        <v>301</v>
      </c>
      <c r="BP1001" t="s">
        <v>74</v>
      </c>
      <c r="BQ1001" t="s">
        <v>74</v>
      </c>
      <c r="BR1001" t="s">
        <v>105</v>
      </c>
      <c r="BS1001" t="s">
        <v>18772</v>
      </c>
      <c r="BT1001" t="str">
        <f>HYPERLINK("https%3A%2F%2Fwww.webofscience.com%2Fwos%2Fwoscc%2Ffull-record%2FWOS:000388614800009","View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2024-07-28T15:23:56Z</dcterms:created>
  <dcterms:modified xsi:type="dcterms:W3CDTF">2024-07-28T15:23:56Z</dcterms:modified>
</cp:coreProperties>
</file>